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TH!$R$10:$R$2477</definedName>
    <definedName name="_C112">TH!$U$10:$U$2477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TH!$A$9:$AE$2469</definedName>
    <definedName name="_xlnm._FilterDatabase" localSheetId="17" hidden="1">TK!$A$1:$J$1</definedName>
    <definedName name="_M">TH!$B$10:$B$2477</definedName>
    <definedName name="_N111">TH!$Q$10:$Q$2477</definedName>
    <definedName name="_N112">TH!$T$10:$T$2477</definedName>
    <definedName name="_TM1">IF('IN-TC'!$S$4=1,1,IF('IN-TC'!$S$4=2,4,IF('IN-TC'!$S$4=3,7,10)))</definedName>
    <definedName name="_TM2">IF('IN-TC'!$S$4=1,3,IF('IN-TC'!$S$4=2,6,IF('IN-TC'!$S$4=3,9,12)))</definedName>
    <definedName name="DG">TH!$J$10:$J$2477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TH!$H$10:$H$2477</definedName>
    <definedName name="KHC">TH!$M$10:$M$2477</definedName>
    <definedName name="KHN">TH!$L$10:$L$2477</definedName>
    <definedName name="Loai">OFFSET(TH!$N$5,,,COUNTA(TH!$N$5:$N$40896))</definedName>
    <definedName name="Loai1">OFFSET(TH!$P$5,,,COUNTA(TH!$P$5:$P$40896))</definedName>
    <definedName name="Loai10">OFFSET(TH!$O$5,,,COUNTA(TH!$O$5:$O$40693))</definedName>
    <definedName name="Loai2">OFFSET(TH!$S$5,,,COUNTA(TH!$S$5:$S$40896))</definedName>
    <definedName name="Loai3">OFFSET('SO-TS'!$P$14,,,COUNTA('SO-TS'!$P$14:$P$3891))</definedName>
    <definedName name="Loai4">OFFSET(TH!$V$5,,,COUNTA(TH!$V$5:$V$40896))</definedName>
    <definedName name="Loai5">OFFSET(TH!$W$5,,,COUNTA(TH!$W$5:$W$40896))</definedName>
    <definedName name="Loai6">OFFSET(TH!$AA$5,,,COUNTA(TH!$AA$5:$AA$40896))</definedName>
    <definedName name="Loai7">OFFSET(TH!$X$5,,,COUNTA(TH!$X$5:$X$40896))</definedName>
    <definedName name="Loai8">OFFSET(TH!$Y$5,,,COUNTA(TH!$Y$5:$Y$40896))</definedName>
    <definedName name="Loai9">OFFSET(TH!$Z$5,,,COUNTA(TH!$Z$5:$Z$40896))</definedName>
    <definedName name="MH">TH!$F$10:$F$2477</definedName>
    <definedName name="NXT">NXT!$A$12:$A$668</definedName>
    <definedName name="_xlnm.Print_Area" localSheetId="4">'111'!$A$1:$J$78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22">'154'!$A$2:$M$43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TH!$I$10:$I$2477</definedName>
    <definedName name="TH">TH!$K$10:$K$2477</definedName>
    <definedName name="TM">TH!$A$10:$M$2477</definedName>
  </definedNames>
  <calcPr calcId="144525"/>
</workbook>
</file>

<file path=xl/calcChain.xml><?xml version="1.0" encoding="utf-8"?>
<calcChain xmlns="http://schemas.openxmlformats.org/spreadsheetml/2006/main">
  <c r="AC817" i="34" l="1"/>
  <c r="Z817" i="34"/>
  <c r="Y817" i="34"/>
  <c r="U817" i="34"/>
  <c r="T817" i="34"/>
  <c r="S817" i="34"/>
  <c r="O817" i="34"/>
  <c r="N817" i="34"/>
  <c r="C817" i="34"/>
  <c r="B817" i="34" s="1"/>
  <c r="P817" i="34" s="1"/>
  <c r="V817" i="34" l="1"/>
  <c r="A817" i="34"/>
  <c r="Q817" i="34"/>
  <c r="R817" i="34"/>
  <c r="AA817" i="34"/>
  <c r="N21" i="34" l="1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Y1345" i="34"/>
  <c r="Z1345" i="34"/>
  <c r="N1346" i="34"/>
  <c r="O1346" i="34"/>
  <c r="Y1346" i="34"/>
  <c r="Z1346" i="34"/>
  <c r="N1347" i="34"/>
  <c r="O1347" i="34"/>
  <c r="Y1347" i="34"/>
  <c r="Z1347" i="34"/>
  <c r="N1348" i="34"/>
  <c r="O1348" i="34"/>
  <c r="Y1348" i="34"/>
  <c r="Z1348" i="34"/>
  <c r="N1349" i="34"/>
  <c r="O1349" i="34"/>
  <c r="Y1349" i="34"/>
  <c r="Z1349" i="34"/>
  <c r="N1350" i="34"/>
  <c r="O1350" i="34"/>
  <c r="Y1350" i="34"/>
  <c r="Z1350" i="34"/>
  <c r="N1351" i="34"/>
  <c r="O1351" i="34"/>
  <c r="Y1351" i="34"/>
  <c r="Z1351" i="34"/>
  <c r="N1352" i="34"/>
  <c r="O1352" i="34"/>
  <c r="Y1352" i="34"/>
  <c r="Z1352" i="34"/>
  <c r="N1353" i="34"/>
  <c r="O1353" i="34"/>
  <c r="Y1353" i="34"/>
  <c r="Z1353" i="34"/>
  <c r="N1354" i="34"/>
  <c r="O1354" i="34"/>
  <c r="Y1354" i="34"/>
  <c r="Z1354" i="34"/>
  <c r="N1355" i="34"/>
  <c r="O1355" i="34"/>
  <c r="Y1355" i="34"/>
  <c r="Z1355" i="34"/>
  <c r="N1356" i="34"/>
  <c r="O1356" i="34"/>
  <c r="Y1356" i="34"/>
  <c r="Z1356" i="34"/>
  <c r="N1357" i="34"/>
  <c r="O1357" i="34"/>
  <c r="Y1357" i="34"/>
  <c r="Z1357" i="34"/>
  <c r="N1358" i="34"/>
  <c r="O1358" i="34"/>
  <c r="Y1358" i="34"/>
  <c r="Z1358" i="34"/>
  <c r="N1359" i="34"/>
  <c r="O1359" i="34"/>
  <c r="Y1359" i="34"/>
  <c r="Z1359" i="34"/>
  <c r="N1360" i="34"/>
  <c r="O1360" i="34"/>
  <c r="Y1360" i="34"/>
  <c r="Z1360" i="34"/>
  <c r="N1361" i="34"/>
  <c r="O1361" i="34"/>
  <c r="Y1361" i="34"/>
  <c r="Z1361" i="34"/>
  <c r="N1362" i="34"/>
  <c r="O1362" i="34"/>
  <c r="Y1362" i="34"/>
  <c r="Z1362" i="34"/>
  <c r="N1363" i="34"/>
  <c r="O1363" i="34"/>
  <c r="Y1363" i="34"/>
  <c r="Z1363" i="34"/>
  <c r="N1364" i="34"/>
  <c r="O1364" i="34"/>
  <c r="Y1364" i="34"/>
  <c r="Z1364" i="34"/>
  <c r="N1365" i="34"/>
  <c r="O1365" i="34"/>
  <c r="Y1365" i="34"/>
  <c r="Z1365" i="34"/>
  <c r="N1366" i="34"/>
  <c r="O1366" i="34"/>
  <c r="Y1366" i="34"/>
  <c r="Z1366" i="34"/>
  <c r="N1367" i="34"/>
  <c r="O1367" i="34"/>
  <c r="Y1367" i="34"/>
  <c r="Z1367" i="34"/>
  <c r="N1368" i="34"/>
  <c r="O1368" i="34"/>
  <c r="Y1368" i="34"/>
  <c r="Z1368" i="34"/>
  <c r="N1369" i="34"/>
  <c r="O1369" i="34"/>
  <c r="Y1369" i="34"/>
  <c r="Z1369" i="34"/>
  <c r="N1370" i="34"/>
  <c r="O1370" i="34"/>
  <c r="Y1370" i="34"/>
  <c r="Z1370" i="34"/>
  <c r="N1371" i="34"/>
  <c r="O1371" i="34"/>
  <c r="Y1371" i="34"/>
  <c r="Z1371" i="34"/>
  <c r="N1372" i="34"/>
  <c r="O1372" i="34"/>
  <c r="Y1372" i="34"/>
  <c r="Z1372" i="34"/>
  <c r="N1373" i="34"/>
  <c r="O1373" i="34"/>
  <c r="Y1373" i="34"/>
  <c r="Z1373" i="34"/>
  <c r="N1374" i="34"/>
  <c r="O1374" i="34"/>
  <c r="Y1374" i="34"/>
  <c r="Z1374" i="34"/>
  <c r="N1375" i="34"/>
  <c r="O1375" i="34"/>
  <c r="Y1375" i="34"/>
  <c r="Z1375" i="34"/>
  <c r="N1376" i="34"/>
  <c r="O1376" i="34"/>
  <c r="Y1376" i="34"/>
  <c r="Z1376" i="34"/>
  <c r="N1377" i="34"/>
  <c r="O1377" i="34"/>
  <c r="Y1377" i="34"/>
  <c r="Z1377" i="34"/>
  <c r="N1378" i="34"/>
  <c r="O1378" i="34"/>
  <c r="Y1378" i="34"/>
  <c r="Z1378" i="34"/>
  <c r="N1379" i="34"/>
  <c r="O1379" i="34"/>
  <c r="Y1379" i="34"/>
  <c r="Z1379" i="34"/>
  <c r="N1380" i="34"/>
  <c r="O1380" i="34"/>
  <c r="Y1380" i="34"/>
  <c r="Z1380" i="34"/>
  <c r="N1381" i="34"/>
  <c r="O1381" i="34"/>
  <c r="Y1381" i="34"/>
  <c r="Z1381" i="34"/>
  <c r="N1382" i="34"/>
  <c r="O1382" i="34"/>
  <c r="Y1382" i="34"/>
  <c r="Z1382" i="34"/>
  <c r="N1383" i="34"/>
  <c r="O1383" i="34"/>
  <c r="Y1383" i="34"/>
  <c r="Z1383" i="34"/>
  <c r="N1384" i="34"/>
  <c r="O1384" i="34"/>
  <c r="Y1384" i="34"/>
  <c r="Z1384" i="34"/>
  <c r="N1385" i="34"/>
  <c r="O1385" i="34"/>
  <c r="Y1385" i="34"/>
  <c r="Z1385" i="34"/>
  <c r="N1386" i="34"/>
  <c r="O1386" i="34"/>
  <c r="Y1386" i="34"/>
  <c r="Z1386" i="34"/>
  <c r="N1387" i="34"/>
  <c r="O1387" i="34"/>
  <c r="Y1387" i="34"/>
  <c r="Z1387" i="34"/>
  <c r="N1388" i="34"/>
  <c r="O1388" i="34"/>
  <c r="Y1388" i="34"/>
  <c r="Z1388" i="34"/>
  <c r="N1389" i="34"/>
  <c r="O1389" i="34"/>
  <c r="Y1389" i="34"/>
  <c r="Z1389" i="34"/>
  <c r="N1390" i="34"/>
  <c r="O1390" i="34"/>
  <c r="Y1390" i="34"/>
  <c r="Z1390" i="34"/>
  <c r="N1391" i="34"/>
  <c r="O1391" i="34"/>
  <c r="Y1391" i="34"/>
  <c r="Z1391" i="34"/>
  <c r="N1392" i="34"/>
  <c r="O1392" i="34"/>
  <c r="Y1392" i="34"/>
  <c r="Z1392" i="34"/>
  <c r="N1393" i="34"/>
  <c r="O1393" i="34"/>
  <c r="Y1393" i="34"/>
  <c r="Z1393" i="34"/>
  <c r="N1394" i="34"/>
  <c r="O1394" i="34"/>
  <c r="Y1394" i="34"/>
  <c r="Z1394" i="34"/>
  <c r="N1395" i="34"/>
  <c r="O1395" i="34"/>
  <c r="Y1395" i="34"/>
  <c r="Z1395" i="34"/>
  <c r="N1396" i="34"/>
  <c r="O1396" i="34"/>
  <c r="Y1396" i="34"/>
  <c r="Z1396" i="34"/>
  <c r="N1397" i="34"/>
  <c r="O1397" i="34"/>
  <c r="Y1397" i="34"/>
  <c r="Z1397" i="34"/>
  <c r="N1398" i="34"/>
  <c r="O1398" i="34"/>
  <c r="Y1398" i="34"/>
  <c r="Z1398" i="34"/>
  <c r="N1399" i="34"/>
  <c r="O1399" i="34"/>
  <c r="Y1399" i="34"/>
  <c r="Z1399" i="34"/>
  <c r="N1400" i="34"/>
  <c r="O1400" i="34"/>
  <c r="Y1400" i="34"/>
  <c r="Z1400" i="34"/>
  <c r="N1401" i="34"/>
  <c r="O1401" i="34"/>
  <c r="Y1401" i="34"/>
  <c r="Z1401" i="34"/>
  <c r="N1402" i="34"/>
  <c r="O1402" i="34"/>
  <c r="Y1402" i="34"/>
  <c r="Z1402" i="34"/>
  <c r="N1403" i="34"/>
  <c r="O1403" i="34"/>
  <c r="Y1403" i="34"/>
  <c r="Z1403" i="34"/>
  <c r="N1404" i="34"/>
  <c r="O1404" i="34"/>
  <c r="Y1404" i="34"/>
  <c r="Z1404" i="34"/>
  <c r="N1405" i="34"/>
  <c r="O1405" i="34"/>
  <c r="Y1405" i="34"/>
  <c r="Z1405" i="34"/>
  <c r="N1406" i="34"/>
  <c r="O1406" i="34"/>
  <c r="Y1406" i="34"/>
  <c r="Z1406" i="34"/>
  <c r="N1407" i="34"/>
  <c r="O1407" i="34"/>
  <c r="Y1407" i="34"/>
  <c r="Z1407" i="34"/>
  <c r="N1408" i="34"/>
  <c r="O1408" i="34"/>
  <c r="Y1408" i="34"/>
  <c r="Z1408" i="34"/>
  <c r="N1409" i="34"/>
  <c r="O1409" i="34"/>
  <c r="Y1409" i="34"/>
  <c r="Z1409" i="34"/>
  <c r="N1410" i="34"/>
  <c r="O1410" i="34"/>
  <c r="Y1410" i="34"/>
  <c r="Z1410" i="34"/>
  <c r="N1411" i="34"/>
  <c r="O1411" i="34"/>
  <c r="Y1411" i="34"/>
  <c r="Z1411" i="34"/>
  <c r="N1412" i="34"/>
  <c r="O1412" i="34"/>
  <c r="Y1412" i="34"/>
  <c r="Z1412" i="34"/>
  <c r="N1413" i="34"/>
  <c r="O1413" i="34"/>
  <c r="Y1413" i="34"/>
  <c r="Z1413" i="34"/>
  <c r="N1414" i="34"/>
  <c r="O1414" i="34"/>
  <c r="Y1414" i="34"/>
  <c r="Z1414" i="34"/>
  <c r="N1415" i="34"/>
  <c r="O1415" i="34"/>
  <c r="Y1415" i="34"/>
  <c r="Z1415" i="34"/>
  <c r="N1416" i="34"/>
  <c r="O1416" i="34"/>
  <c r="Y1416" i="34"/>
  <c r="Z1416" i="34"/>
  <c r="N1417" i="34"/>
  <c r="O1417" i="34"/>
  <c r="Y1417" i="34"/>
  <c r="Z1417" i="34"/>
  <c r="N1418" i="34"/>
  <c r="O1418" i="34"/>
  <c r="Y1418" i="34"/>
  <c r="Z1418" i="34"/>
  <c r="N1419" i="34"/>
  <c r="O1419" i="34"/>
  <c r="Y1419" i="34"/>
  <c r="Z1419" i="34"/>
  <c r="N1420" i="34"/>
  <c r="O1420" i="34"/>
  <c r="Y1420" i="34"/>
  <c r="Z1420" i="34"/>
  <c r="N1421" i="34"/>
  <c r="O1421" i="34"/>
  <c r="Y1421" i="34"/>
  <c r="Z1421" i="34"/>
  <c r="N1422" i="34"/>
  <c r="O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AC789" i="34" l="1"/>
  <c r="C789" i="34"/>
  <c r="B789" i="34" s="1"/>
  <c r="AC786" i="34"/>
  <c r="C786" i="34"/>
  <c r="B786" i="34" s="1"/>
  <c r="A786" i="34" l="1"/>
  <c r="AA786" i="34"/>
  <c r="P786" i="34"/>
  <c r="Q786" i="34"/>
  <c r="R786" i="34"/>
  <c r="V786" i="34"/>
  <c r="Q789" i="34"/>
  <c r="R789" i="34"/>
  <c r="V789" i="34"/>
  <c r="AA789" i="34"/>
  <c r="P789" i="34"/>
  <c r="A789" i="34"/>
  <c r="AC94" i="34"/>
  <c r="C94" i="34"/>
  <c r="B94" i="34" s="1"/>
  <c r="AC84" i="34"/>
  <c r="C84" i="34"/>
  <c r="B84" i="34" s="1"/>
  <c r="AC64" i="34"/>
  <c r="C64" i="34"/>
  <c r="B64" i="34" s="1"/>
  <c r="AC773" i="34"/>
  <c r="C773" i="34"/>
  <c r="B773" i="34" s="1"/>
  <c r="AC770" i="34"/>
  <c r="C770" i="34"/>
  <c r="B770" i="34" s="1"/>
  <c r="AC751" i="34"/>
  <c r="C751" i="34"/>
  <c r="B751" i="34" s="1"/>
  <c r="AC735" i="34"/>
  <c r="C735" i="34"/>
  <c r="B735" i="34" s="1"/>
  <c r="AC717" i="34"/>
  <c r="C717" i="34"/>
  <c r="B717" i="34" s="1"/>
  <c r="AC707" i="34"/>
  <c r="C707" i="34"/>
  <c r="B707" i="34" s="1"/>
  <c r="AC696" i="34"/>
  <c r="C696" i="34"/>
  <c r="B696" i="34" s="1"/>
  <c r="AC666" i="34"/>
  <c r="C666" i="34"/>
  <c r="B666" i="34" s="1"/>
  <c r="R717" i="34" l="1"/>
  <c r="V717" i="34"/>
  <c r="AA717" i="34"/>
  <c r="P717" i="34"/>
  <c r="Q717" i="34"/>
  <c r="Q773" i="34"/>
  <c r="R773" i="34"/>
  <c r="V773" i="34"/>
  <c r="AA773" i="34"/>
  <c r="P773" i="34"/>
  <c r="P666" i="34"/>
  <c r="Q666" i="34"/>
  <c r="R666" i="34"/>
  <c r="V666" i="34"/>
  <c r="AA666" i="34"/>
  <c r="R707" i="34"/>
  <c r="V707" i="34"/>
  <c r="AA707" i="34"/>
  <c r="P707" i="34"/>
  <c r="Q707" i="34"/>
  <c r="R735" i="34"/>
  <c r="V735" i="34"/>
  <c r="AA735" i="34"/>
  <c r="P735" i="34"/>
  <c r="Q735" i="34"/>
  <c r="AA770" i="34"/>
  <c r="P770" i="34"/>
  <c r="Q770" i="34"/>
  <c r="R770" i="34"/>
  <c r="V770" i="34"/>
  <c r="Q64" i="34"/>
  <c r="R64" i="34"/>
  <c r="V64" i="34"/>
  <c r="AA64" i="34"/>
  <c r="P64" i="34"/>
  <c r="P94" i="34"/>
  <c r="R94" i="34"/>
  <c r="V94" i="34"/>
  <c r="AA94" i="34"/>
  <c r="Q94" i="34"/>
  <c r="P696" i="34"/>
  <c r="Q696" i="34"/>
  <c r="R696" i="34"/>
  <c r="V696" i="34"/>
  <c r="AA696" i="34"/>
  <c r="R751" i="34"/>
  <c r="P751" i="34"/>
  <c r="Q751" i="34"/>
  <c r="V751" i="34"/>
  <c r="AA751" i="34"/>
  <c r="Q84" i="34"/>
  <c r="R84" i="34"/>
  <c r="V84" i="34"/>
  <c r="P84" i="34"/>
  <c r="AA84" i="34"/>
  <c r="A84" i="34"/>
  <c r="A94" i="34"/>
  <c r="A64" i="34"/>
  <c r="A773" i="34"/>
  <c r="A770" i="34"/>
  <c r="A751" i="34"/>
  <c r="A735" i="34"/>
  <c r="A717" i="34"/>
  <c r="A707" i="34"/>
  <c r="A696" i="34"/>
  <c r="A666" i="34"/>
  <c r="AC656" i="34"/>
  <c r="C656" i="34"/>
  <c r="B656" i="34" s="1"/>
  <c r="AC630" i="34"/>
  <c r="C630" i="34"/>
  <c r="B630" i="34" s="1"/>
  <c r="AC600" i="34"/>
  <c r="C600" i="34"/>
  <c r="B600" i="34" s="1"/>
  <c r="AC583" i="34"/>
  <c r="C583" i="34"/>
  <c r="B583" i="34" s="1"/>
  <c r="AC568" i="34"/>
  <c r="C568" i="34"/>
  <c r="B568" i="34" s="1"/>
  <c r="AC571" i="34"/>
  <c r="C571" i="34"/>
  <c r="B571" i="34" s="1"/>
  <c r="AC516" i="34"/>
  <c r="C516" i="34"/>
  <c r="B516" i="34" s="1"/>
  <c r="AC504" i="34"/>
  <c r="C504" i="34"/>
  <c r="B504" i="34" s="1"/>
  <c r="AC463" i="34"/>
  <c r="C463" i="34"/>
  <c r="B463" i="34" s="1"/>
  <c r="AC370" i="34"/>
  <c r="C370" i="34"/>
  <c r="B370" i="34" s="1"/>
  <c r="AC367" i="34"/>
  <c r="C367" i="34"/>
  <c r="B367" i="34" s="1"/>
  <c r="AC349" i="34"/>
  <c r="C349" i="34"/>
  <c r="B349" i="34" s="1"/>
  <c r="AC345" i="34"/>
  <c r="C345" i="34"/>
  <c r="B345" i="34" s="1"/>
  <c r="AC295" i="34"/>
  <c r="C295" i="34"/>
  <c r="B295" i="34" s="1"/>
  <c r="AC275" i="34"/>
  <c r="C275" i="34"/>
  <c r="B275" i="34" s="1"/>
  <c r="Q349" i="34" l="1"/>
  <c r="R349" i="34"/>
  <c r="V349" i="34"/>
  <c r="P349" i="34"/>
  <c r="AA349" i="34"/>
  <c r="Q275" i="34"/>
  <c r="R275" i="34"/>
  <c r="V275" i="34"/>
  <c r="AA275" i="34"/>
  <c r="P275" i="34"/>
  <c r="Q345" i="34"/>
  <c r="R345" i="34"/>
  <c r="V345" i="34"/>
  <c r="P345" i="34"/>
  <c r="AA345" i="34"/>
  <c r="AA367" i="34"/>
  <c r="P367" i="34"/>
  <c r="Q367" i="34"/>
  <c r="R367" i="34"/>
  <c r="V367" i="34"/>
  <c r="AA463" i="34"/>
  <c r="P463" i="34"/>
  <c r="Q463" i="34"/>
  <c r="R463" i="34"/>
  <c r="V463" i="34"/>
  <c r="P516" i="34"/>
  <c r="Q516" i="34"/>
  <c r="R516" i="34"/>
  <c r="V516" i="34"/>
  <c r="AA516" i="34"/>
  <c r="P568" i="34"/>
  <c r="R568" i="34"/>
  <c r="V568" i="34"/>
  <c r="AA568" i="34"/>
  <c r="Q568" i="34"/>
  <c r="P600" i="34"/>
  <c r="Q600" i="34"/>
  <c r="R600" i="34"/>
  <c r="V600" i="34"/>
  <c r="AA600" i="34"/>
  <c r="P656" i="34"/>
  <c r="Q656" i="34"/>
  <c r="R656" i="34"/>
  <c r="V656" i="34"/>
  <c r="AA656" i="34"/>
  <c r="Q295" i="34"/>
  <c r="R295" i="34"/>
  <c r="V295" i="34"/>
  <c r="AA295" i="34"/>
  <c r="P295" i="34"/>
  <c r="Q370" i="34"/>
  <c r="R370" i="34"/>
  <c r="V370" i="34"/>
  <c r="AA370" i="34"/>
  <c r="P370" i="34"/>
  <c r="R504" i="34"/>
  <c r="V504" i="34"/>
  <c r="P504" i="34"/>
  <c r="Q504" i="34"/>
  <c r="AA504" i="34"/>
  <c r="R571" i="34"/>
  <c r="V571" i="34"/>
  <c r="P571" i="34"/>
  <c r="Q571" i="34"/>
  <c r="AA571" i="34"/>
  <c r="R583" i="34"/>
  <c r="V583" i="34"/>
  <c r="P583" i="34"/>
  <c r="AA583" i="34"/>
  <c r="Q583" i="34"/>
  <c r="P630" i="34"/>
  <c r="Q630" i="34"/>
  <c r="R630" i="34"/>
  <c r="V630" i="34"/>
  <c r="AA630" i="34"/>
  <c r="A275" i="34"/>
  <c r="A656" i="34"/>
  <c r="A630" i="34"/>
  <c r="A600" i="34"/>
  <c r="A583" i="34"/>
  <c r="A568" i="34"/>
  <c r="A571" i="34"/>
  <c r="A516" i="34"/>
  <c r="A504" i="34"/>
  <c r="A463" i="34"/>
  <c r="A370" i="34"/>
  <c r="A367" i="34"/>
  <c r="A349" i="34"/>
  <c r="A345" i="34"/>
  <c r="A295" i="34"/>
  <c r="AC271" i="34"/>
  <c r="C271" i="34"/>
  <c r="B271" i="34" s="1"/>
  <c r="AC261" i="34"/>
  <c r="C261" i="34"/>
  <c r="B261" i="34" s="1"/>
  <c r="AC230" i="34"/>
  <c r="C230" i="34"/>
  <c r="B230" i="34" s="1"/>
  <c r="AC220" i="34"/>
  <c r="C220" i="34"/>
  <c r="B220" i="34" s="1"/>
  <c r="AC192" i="34"/>
  <c r="C192" i="34"/>
  <c r="B192" i="34" s="1"/>
  <c r="AC170" i="34"/>
  <c r="C170" i="34"/>
  <c r="B170" i="34" s="1"/>
  <c r="AC161" i="34"/>
  <c r="C161" i="34"/>
  <c r="B161" i="34" s="1"/>
  <c r="AC156" i="34"/>
  <c r="C156" i="34"/>
  <c r="B156" i="34" s="1"/>
  <c r="AC114" i="34"/>
  <c r="C114" i="34"/>
  <c r="B114" i="34" s="1"/>
  <c r="AA114" i="34" l="1"/>
  <c r="P114" i="34"/>
  <c r="Q114" i="34"/>
  <c r="R114" i="34"/>
  <c r="V114" i="34"/>
  <c r="P156" i="34"/>
  <c r="Q156" i="34"/>
  <c r="R156" i="34"/>
  <c r="V156" i="34"/>
  <c r="AA156" i="34"/>
  <c r="P170" i="34"/>
  <c r="Q170" i="34"/>
  <c r="R170" i="34"/>
  <c r="V170" i="34"/>
  <c r="AA170" i="34"/>
  <c r="R261" i="34"/>
  <c r="V261" i="34"/>
  <c r="P261" i="34"/>
  <c r="Q261" i="34"/>
  <c r="AA261" i="34"/>
  <c r="R161" i="34"/>
  <c r="V161" i="34"/>
  <c r="AA161" i="34"/>
  <c r="P161" i="34"/>
  <c r="Q161" i="34"/>
  <c r="Q230" i="34"/>
  <c r="R230" i="34"/>
  <c r="V230" i="34"/>
  <c r="AA230" i="34"/>
  <c r="P230" i="34"/>
  <c r="Q271" i="34"/>
  <c r="R271" i="34"/>
  <c r="V271" i="34"/>
  <c r="AA271" i="34"/>
  <c r="P271" i="34"/>
  <c r="Q192" i="34"/>
  <c r="R192" i="34"/>
  <c r="V192" i="34"/>
  <c r="AA192" i="34"/>
  <c r="P192" i="34"/>
  <c r="Q220" i="34"/>
  <c r="R220" i="34"/>
  <c r="V220" i="34"/>
  <c r="AA220" i="34"/>
  <c r="P220" i="34"/>
  <c r="A271" i="34"/>
  <c r="A261" i="34"/>
  <c r="A230" i="34"/>
  <c r="A220" i="34"/>
  <c r="A192" i="34"/>
  <c r="A170" i="34"/>
  <c r="A161" i="34"/>
  <c r="A156" i="34"/>
  <c r="A114" i="34"/>
  <c r="AC690" i="34"/>
  <c r="C690" i="34"/>
  <c r="B690" i="34" s="1"/>
  <c r="AC686" i="34"/>
  <c r="C686" i="34"/>
  <c r="B686" i="34" s="1"/>
  <c r="AC637" i="34"/>
  <c r="C637" i="34"/>
  <c r="B637" i="34" s="1"/>
  <c r="AC523" i="34"/>
  <c r="C523" i="34"/>
  <c r="B523" i="34" s="1"/>
  <c r="AC441" i="34"/>
  <c r="C441" i="34"/>
  <c r="B441" i="34" s="1"/>
  <c r="AC806" i="34"/>
  <c r="C806" i="34"/>
  <c r="B806" i="34" s="1"/>
  <c r="AC693" i="34"/>
  <c r="C693" i="34"/>
  <c r="B693" i="34" s="1"/>
  <c r="AC642" i="34"/>
  <c r="C642" i="34"/>
  <c r="B642" i="34" s="1"/>
  <c r="AC720" i="34"/>
  <c r="C720" i="34"/>
  <c r="B720" i="34" s="1"/>
  <c r="AC714" i="34"/>
  <c r="C714" i="34"/>
  <c r="B714" i="34" s="1"/>
  <c r="AC532" i="34"/>
  <c r="C532" i="34"/>
  <c r="B532" i="34" s="1"/>
  <c r="P720" i="34" l="1"/>
  <c r="Q720" i="34"/>
  <c r="R720" i="34"/>
  <c r="V720" i="34"/>
  <c r="AA720" i="34"/>
  <c r="AA441" i="34"/>
  <c r="P441" i="34"/>
  <c r="Q441" i="34"/>
  <c r="R441" i="34"/>
  <c r="V441" i="34"/>
  <c r="R637" i="34"/>
  <c r="V637" i="34"/>
  <c r="AA637" i="34"/>
  <c r="P637" i="34"/>
  <c r="Q637" i="34"/>
  <c r="P714" i="34"/>
  <c r="Q714" i="34"/>
  <c r="R714" i="34"/>
  <c r="V714" i="34"/>
  <c r="AA714" i="34"/>
  <c r="R523" i="34"/>
  <c r="V523" i="34"/>
  <c r="AA523" i="34"/>
  <c r="P523" i="34"/>
  <c r="Q523" i="34"/>
  <c r="P686" i="34"/>
  <c r="Q686" i="34"/>
  <c r="R686" i="34"/>
  <c r="V686" i="34"/>
  <c r="AA686" i="34"/>
  <c r="P642" i="34"/>
  <c r="Q642" i="34"/>
  <c r="R642" i="34"/>
  <c r="V642" i="34"/>
  <c r="AA642" i="34"/>
  <c r="AA806" i="34"/>
  <c r="P806" i="34"/>
  <c r="Q806" i="34"/>
  <c r="R806" i="34"/>
  <c r="V806" i="34"/>
  <c r="P532" i="34"/>
  <c r="Q532" i="34"/>
  <c r="R532" i="34"/>
  <c r="V532" i="34"/>
  <c r="AA532" i="34"/>
  <c r="R693" i="34"/>
  <c r="V693" i="34"/>
  <c r="AA693" i="34"/>
  <c r="P693" i="34"/>
  <c r="Q693" i="34"/>
  <c r="P690" i="34"/>
  <c r="Q690" i="34"/>
  <c r="R690" i="34"/>
  <c r="V690" i="34"/>
  <c r="AA690" i="34"/>
  <c r="A806" i="34"/>
  <c r="A532" i="34"/>
  <c r="A690" i="34"/>
  <c r="A686" i="34"/>
  <c r="A637" i="34"/>
  <c r="A523" i="34"/>
  <c r="A441" i="34"/>
  <c r="A693" i="34"/>
  <c r="A642" i="34"/>
  <c r="A720" i="34"/>
  <c r="A714" i="34"/>
  <c r="AC745" i="34"/>
  <c r="C745" i="34"/>
  <c r="B745" i="34" s="1"/>
  <c r="AC626" i="34"/>
  <c r="C626" i="34"/>
  <c r="B626" i="34" s="1"/>
  <c r="AC456" i="34"/>
  <c r="C456" i="34"/>
  <c r="B456" i="34" s="1"/>
  <c r="AC326" i="34"/>
  <c r="C326" i="34"/>
  <c r="B326" i="34" s="1"/>
  <c r="AC189" i="34"/>
  <c r="C189" i="34"/>
  <c r="B189" i="34" s="1"/>
  <c r="AC146" i="34"/>
  <c r="C146" i="34"/>
  <c r="B146" i="34" s="1"/>
  <c r="AC129" i="34"/>
  <c r="C129" i="34"/>
  <c r="B129" i="34" s="1"/>
  <c r="AC623" i="34"/>
  <c r="C623" i="34"/>
  <c r="B623" i="34" s="1"/>
  <c r="AC594" i="34"/>
  <c r="C594" i="34"/>
  <c r="B594" i="34" s="1"/>
  <c r="AC426" i="34"/>
  <c r="C426" i="34"/>
  <c r="B426" i="34" s="1"/>
  <c r="AC332" i="34"/>
  <c r="C332" i="34"/>
  <c r="B332" i="34" s="1"/>
  <c r="AC314" i="34"/>
  <c r="C314" i="34"/>
  <c r="B314" i="34" s="1"/>
  <c r="AC209" i="34"/>
  <c r="C209" i="34"/>
  <c r="B209" i="34" s="1"/>
  <c r="AC137" i="34"/>
  <c r="C137" i="34"/>
  <c r="B137" i="34" s="1"/>
  <c r="AC453" i="34"/>
  <c r="C453" i="34"/>
  <c r="B453" i="34" s="1"/>
  <c r="AC732" i="34"/>
  <c r="C732" i="34"/>
  <c r="B732" i="34" s="1"/>
  <c r="AC526" i="34"/>
  <c r="C526" i="34"/>
  <c r="B526" i="34" s="1"/>
  <c r="AC475" i="34"/>
  <c r="C475" i="34"/>
  <c r="B475" i="34" s="1"/>
  <c r="AA475" i="34" l="1"/>
  <c r="P475" i="34"/>
  <c r="Q475" i="34"/>
  <c r="R475" i="34"/>
  <c r="V475" i="34"/>
  <c r="P732" i="34"/>
  <c r="Q732" i="34"/>
  <c r="R732" i="34"/>
  <c r="V732" i="34"/>
  <c r="AA732" i="34"/>
  <c r="AA314" i="34"/>
  <c r="P314" i="34"/>
  <c r="Q314" i="34"/>
  <c r="R314" i="34"/>
  <c r="V314" i="34"/>
  <c r="R623" i="34"/>
  <c r="V623" i="34"/>
  <c r="AA623" i="34"/>
  <c r="P623" i="34"/>
  <c r="Q623" i="34"/>
  <c r="AA326" i="34"/>
  <c r="P326" i="34"/>
  <c r="Q326" i="34"/>
  <c r="R326" i="34"/>
  <c r="V326" i="34"/>
  <c r="P526" i="34"/>
  <c r="Q526" i="34"/>
  <c r="R526" i="34"/>
  <c r="V526" i="34"/>
  <c r="AA526" i="34"/>
  <c r="AA453" i="34"/>
  <c r="P453" i="34"/>
  <c r="Q453" i="34"/>
  <c r="R453" i="34"/>
  <c r="V453" i="34"/>
  <c r="AA209" i="34"/>
  <c r="P209" i="34"/>
  <c r="Q209" i="34"/>
  <c r="R209" i="34"/>
  <c r="V209" i="34"/>
  <c r="AA332" i="34"/>
  <c r="P332" i="34"/>
  <c r="Q332" i="34"/>
  <c r="R332" i="34"/>
  <c r="V332" i="34"/>
  <c r="P594" i="34"/>
  <c r="Q594" i="34"/>
  <c r="R594" i="34"/>
  <c r="V594" i="34"/>
  <c r="AA594" i="34"/>
  <c r="Q129" i="34"/>
  <c r="R129" i="34"/>
  <c r="V129" i="34"/>
  <c r="AA129" i="34"/>
  <c r="P129" i="34"/>
  <c r="AA189" i="34"/>
  <c r="P189" i="34"/>
  <c r="Q189" i="34"/>
  <c r="R189" i="34"/>
  <c r="V189" i="34"/>
  <c r="Q456" i="34"/>
  <c r="R456" i="34"/>
  <c r="V456" i="34"/>
  <c r="AA456" i="34"/>
  <c r="P456" i="34"/>
  <c r="R745" i="34"/>
  <c r="V745" i="34"/>
  <c r="AA745" i="34"/>
  <c r="P745" i="34"/>
  <c r="Q745" i="34"/>
  <c r="Q137" i="34"/>
  <c r="R137" i="34"/>
  <c r="V137" i="34"/>
  <c r="AA137" i="34"/>
  <c r="P137" i="34"/>
  <c r="Q426" i="34"/>
  <c r="R426" i="34"/>
  <c r="V426" i="34"/>
  <c r="AA426" i="34"/>
  <c r="P426" i="34"/>
  <c r="P146" i="34"/>
  <c r="Q146" i="34"/>
  <c r="R146" i="34"/>
  <c r="V146" i="34"/>
  <c r="AA146" i="34"/>
  <c r="P626" i="34"/>
  <c r="Q626" i="34"/>
  <c r="R626" i="34"/>
  <c r="V626" i="34"/>
  <c r="AA626" i="34"/>
  <c r="A426" i="34"/>
  <c r="A453" i="34"/>
  <c r="A594" i="34"/>
  <c r="A456" i="34"/>
  <c r="A745" i="34"/>
  <c r="A626" i="34"/>
  <c r="A326" i="34"/>
  <c r="A189" i="34"/>
  <c r="A146" i="34"/>
  <c r="A129" i="34"/>
  <c r="A623" i="34"/>
  <c r="A332" i="34"/>
  <c r="A314" i="34"/>
  <c r="A209" i="34"/>
  <c r="A137" i="34"/>
  <c r="A732" i="34"/>
  <c r="A526" i="34"/>
  <c r="A475" i="34"/>
  <c r="AC742" i="34"/>
  <c r="C742" i="34"/>
  <c r="B742" i="34" s="1"/>
  <c r="AC675" i="34"/>
  <c r="C675" i="34"/>
  <c r="B675" i="34" s="1"/>
  <c r="R675" i="34" l="1"/>
  <c r="V675" i="34"/>
  <c r="AA675" i="34"/>
  <c r="P675" i="34"/>
  <c r="Q675" i="34"/>
  <c r="P742" i="34"/>
  <c r="Q742" i="34"/>
  <c r="R742" i="34"/>
  <c r="V742" i="34"/>
  <c r="AA742" i="34"/>
  <c r="A742" i="34"/>
  <c r="A675" i="34"/>
  <c r="AC121" i="34" l="1"/>
  <c r="C121" i="34"/>
  <c r="B121" i="34" s="1"/>
  <c r="AC447" i="34"/>
  <c r="C447" i="34"/>
  <c r="B447" i="34" s="1"/>
  <c r="AC87" i="34"/>
  <c r="C87" i="34"/>
  <c r="B87" i="34" s="1"/>
  <c r="AC227" i="34"/>
  <c r="C227" i="34"/>
  <c r="B227" i="34" s="1"/>
  <c r="AC739" i="34"/>
  <c r="C739" i="34"/>
  <c r="B739" i="34" s="1"/>
  <c r="R739" i="34" l="1"/>
  <c r="V739" i="34"/>
  <c r="AA739" i="34"/>
  <c r="P739" i="34"/>
  <c r="Q739" i="34"/>
  <c r="AA87" i="34"/>
  <c r="R87" i="34"/>
  <c r="V87" i="34"/>
  <c r="Q87" i="34"/>
  <c r="P87" i="34"/>
  <c r="AA227" i="34"/>
  <c r="P227" i="34"/>
  <c r="Q227" i="34"/>
  <c r="R227" i="34"/>
  <c r="V227" i="34"/>
  <c r="AA447" i="34"/>
  <c r="P447" i="34"/>
  <c r="Q447" i="34"/>
  <c r="R447" i="34"/>
  <c r="V447" i="34"/>
  <c r="Q121" i="34"/>
  <c r="R121" i="34"/>
  <c r="V121" i="34"/>
  <c r="AA121" i="34"/>
  <c r="P121" i="34"/>
  <c r="A121" i="34"/>
  <c r="A447" i="34"/>
  <c r="A87" i="34"/>
  <c r="A227" i="34"/>
  <c r="A739" i="34"/>
  <c r="AC247" i="34"/>
  <c r="C247" i="34"/>
  <c r="B247" i="34" s="1"/>
  <c r="C648" i="34"/>
  <c r="B648" i="34" s="1"/>
  <c r="AC500" i="34"/>
  <c r="C500" i="34"/>
  <c r="B500" i="34" s="1"/>
  <c r="AC320" i="34"/>
  <c r="C320" i="34"/>
  <c r="B320" i="34" s="1"/>
  <c r="AC243" i="34"/>
  <c r="C243" i="34"/>
  <c r="B243" i="34" s="1"/>
  <c r="AC167" i="34"/>
  <c r="C167" i="34"/>
  <c r="B167" i="34" s="1"/>
  <c r="AC323" i="34"/>
  <c r="C323" i="34"/>
  <c r="B323" i="34" s="1"/>
  <c r="AC251" i="34"/>
  <c r="C251" i="34"/>
  <c r="B251" i="34" s="1"/>
  <c r="AC80" i="34"/>
  <c r="C80" i="34"/>
  <c r="B80" i="34" s="1"/>
  <c r="AC546" i="34"/>
  <c r="C546" i="34"/>
  <c r="B546" i="34" s="1"/>
  <c r="AC357" i="34"/>
  <c r="C357" i="34"/>
  <c r="B357" i="34" s="1"/>
  <c r="AC520" i="34"/>
  <c r="C520" i="34"/>
  <c r="B520" i="34" s="1"/>
  <c r="AC235" i="34"/>
  <c r="C235" i="34"/>
  <c r="B235" i="34" s="1"/>
  <c r="AC111" i="34"/>
  <c r="C111" i="34"/>
  <c r="B111" i="34" s="1"/>
  <c r="AC479" i="34"/>
  <c r="C479" i="34"/>
  <c r="B479" i="34" s="1"/>
  <c r="P546" i="34" l="1"/>
  <c r="Q546" i="34"/>
  <c r="R546" i="34"/>
  <c r="V546" i="34"/>
  <c r="AA546" i="34"/>
  <c r="AA251" i="34"/>
  <c r="P251" i="34"/>
  <c r="Q251" i="34"/>
  <c r="R251" i="34"/>
  <c r="V251" i="34"/>
  <c r="AA320" i="34"/>
  <c r="P320" i="34"/>
  <c r="Q320" i="34"/>
  <c r="R320" i="34"/>
  <c r="V320" i="34"/>
  <c r="P648" i="34"/>
  <c r="Q648" i="34"/>
  <c r="R648" i="34"/>
  <c r="V648" i="34"/>
  <c r="AA648" i="34"/>
  <c r="AA247" i="34"/>
  <c r="P247" i="34"/>
  <c r="Q247" i="34"/>
  <c r="R247" i="34"/>
  <c r="V247" i="34"/>
  <c r="AA479" i="34"/>
  <c r="P479" i="34"/>
  <c r="Q479" i="34"/>
  <c r="R479" i="34"/>
  <c r="V479" i="34"/>
  <c r="AA235" i="34"/>
  <c r="P235" i="34"/>
  <c r="Q235" i="34"/>
  <c r="R235" i="34"/>
  <c r="V235" i="34"/>
  <c r="P357" i="34"/>
  <c r="Q357" i="34"/>
  <c r="R357" i="34"/>
  <c r="V357" i="34"/>
  <c r="AA357" i="34"/>
  <c r="Q80" i="34"/>
  <c r="R80" i="34"/>
  <c r="V80" i="34"/>
  <c r="AA80" i="34"/>
  <c r="P80" i="34"/>
  <c r="Q323" i="34"/>
  <c r="R323" i="34"/>
  <c r="V323" i="34"/>
  <c r="AA323" i="34"/>
  <c r="P323" i="34"/>
  <c r="AA243" i="34"/>
  <c r="P243" i="34"/>
  <c r="Q243" i="34"/>
  <c r="R243" i="34"/>
  <c r="V243" i="34"/>
  <c r="R500" i="34"/>
  <c r="V500" i="34"/>
  <c r="P500" i="34"/>
  <c r="Q500" i="34"/>
  <c r="AA500" i="34"/>
  <c r="P520" i="34"/>
  <c r="Q520" i="34"/>
  <c r="R520" i="34"/>
  <c r="V520" i="34"/>
  <c r="AA520" i="34"/>
  <c r="Q111" i="34"/>
  <c r="R111" i="34"/>
  <c r="V111" i="34"/>
  <c r="AA111" i="34"/>
  <c r="P111" i="34"/>
  <c r="R167" i="34"/>
  <c r="V167" i="34"/>
  <c r="AA167" i="34"/>
  <c r="P167" i="34"/>
  <c r="Q167" i="34"/>
  <c r="A320" i="34"/>
  <c r="A235" i="34"/>
  <c r="A111" i="34"/>
  <c r="A80" i="34"/>
  <c r="A648" i="34"/>
  <c r="A500" i="34"/>
  <c r="A247" i="34"/>
  <c r="A243" i="34"/>
  <c r="A167" i="34"/>
  <c r="A323" i="34"/>
  <c r="A251" i="34"/>
  <c r="A546" i="34"/>
  <c r="A357" i="34"/>
  <c r="A520" i="34"/>
  <c r="A479" i="34"/>
  <c r="AC397" i="34"/>
  <c r="C397" i="34"/>
  <c r="B397" i="34" s="1"/>
  <c r="AC279" i="34"/>
  <c r="C279" i="34"/>
  <c r="B279" i="34" s="1"/>
  <c r="AA397" i="34" l="1"/>
  <c r="P397" i="34"/>
  <c r="Q397" i="34"/>
  <c r="R397" i="34"/>
  <c r="V397" i="34"/>
  <c r="Q279" i="34"/>
  <c r="R279" i="34"/>
  <c r="V279" i="34"/>
  <c r="AA279" i="34"/>
  <c r="P279" i="34"/>
  <c r="A397" i="34"/>
  <c r="A279" i="34"/>
  <c r="AC198" i="34" l="1"/>
  <c r="C198" i="34"/>
  <c r="B198" i="34" s="1"/>
  <c r="AC384" i="34"/>
  <c r="C384" i="34"/>
  <c r="B384" i="34" s="1"/>
  <c r="AC291" i="34"/>
  <c r="C291" i="34"/>
  <c r="B291" i="34" s="1"/>
  <c r="AC287" i="34"/>
  <c r="C287" i="34"/>
  <c r="B287" i="34" s="1"/>
  <c r="AC268" i="34"/>
  <c r="C268" i="34"/>
  <c r="B268" i="34" s="1"/>
  <c r="AC217" i="34"/>
  <c r="C217" i="34"/>
  <c r="B217" i="34" s="1"/>
  <c r="AC214" i="34"/>
  <c r="C214" i="34"/>
  <c r="B214" i="34" s="1"/>
  <c r="AC177" i="34"/>
  <c r="C177" i="34"/>
  <c r="B177" i="34" s="1"/>
  <c r="AC118" i="34"/>
  <c r="C118" i="34"/>
  <c r="B118" i="34" s="1"/>
  <c r="AC90" i="34"/>
  <c r="C90" i="34"/>
  <c r="B90" i="34" s="1"/>
  <c r="AC70" i="34"/>
  <c r="C70" i="34"/>
  <c r="B70" i="34" s="1"/>
  <c r="AC820" i="34"/>
  <c r="C820" i="34"/>
  <c r="B820" i="34" s="1"/>
  <c r="C800" i="34"/>
  <c r="B800" i="34" s="1"/>
  <c r="AC438" i="34"/>
  <c r="C438" i="34"/>
  <c r="B438" i="34" s="1"/>
  <c r="AC391" i="34"/>
  <c r="C391" i="34"/>
  <c r="B391" i="34" s="1"/>
  <c r="AC254" i="34"/>
  <c r="C254" i="34"/>
  <c r="B254" i="34" s="1"/>
  <c r="A391" i="34" l="1"/>
  <c r="AA391" i="34"/>
  <c r="P391" i="34"/>
  <c r="Q391" i="34"/>
  <c r="R391" i="34"/>
  <c r="V391" i="34"/>
  <c r="AA800" i="34"/>
  <c r="P800" i="34"/>
  <c r="Q800" i="34"/>
  <c r="R800" i="34"/>
  <c r="V800" i="34"/>
  <c r="AA820" i="34"/>
  <c r="P820" i="34"/>
  <c r="Q820" i="34"/>
  <c r="R820" i="34"/>
  <c r="V820" i="34"/>
  <c r="Q90" i="34"/>
  <c r="P90" i="34"/>
  <c r="R90" i="34"/>
  <c r="V90" i="34"/>
  <c r="AA90" i="34"/>
  <c r="R177" i="34"/>
  <c r="V177" i="34"/>
  <c r="P177" i="34"/>
  <c r="Q177" i="34"/>
  <c r="AA177" i="34"/>
  <c r="AA217" i="34"/>
  <c r="P217" i="34"/>
  <c r="Q217" i="34"/>
  <c r="R217" i="34"/>
  <c r="V217" i="34"/>
  <c r="Q287" i="34"/>
  <c r="R287" i="34"/>
  <c r="V287" i="34"/>
  <c r="AA287" i="34"/>
  <c r="P287" i="34"/>
  <c r="Q384" i="34"/>
  <c r="R384" i="34"/>
  <c r="V384" i="34"/>
  <c r="AA384" i="34"/>
  <c r="P384" i="34"/>
  <c r="Q254" i="34"/>
  <c r="R254" i="34"/>
  <c r="V254" i="34"/>
  <c r="AA254" i="34"/>
  <c r="P254" i="34"/>
  <c r="Q438" i="34"/>
  <c r="R438" i="34"/>
  <c r="V438" i="34"/>
  <c r="AA438" i="34"/>
  <c r="P438" i="34"/>
  <c r="Q70" i="34"/>
  <c r="R70" i="34"/>
  <c r="V70" i="34"/>
  <c r="AA70" i="34"/>
  <c r="P70" i="34"/>
  <c r="AA118" i="34"/>
  <c r="P118" i="34"/>
  <c r="Q118" i="34"/>
  <c r="R118" i="34"/>
  <c r="V118" i="34"/>
  <c r="Q214" i="34"/>
  <c r="R214" i="34"/>
  <c r="V214" i="34"/>
  <c r="AA214" i="34"/>
  <c r="P214" i="34"/>
  <c r="P268" i="34"/>
  <c r="AA268" i="34"/>
  <c r="Q268" i="34"/>
  <c r="R268" i="34"/>
  <c r="V268" i="34"/>
  <c r="Q291" i="34"/>
  <c r="R291" i="34"/>
  <c r="V291" i="34"/>
  <c r="AA291" i="34"/>
  <c r="P291" i="34"/>
  <c r="Q198" i="34"/>
  <c r="R198" i="34"/>
  <c r="V198" i="34"/>
  <c r="AA198" i="34"/>
  <c r="P198" i="34"/>
  <c r="A198" i="34"/>
  <c r="A90" i="34"/>
  <c r="A820" i="34"/>
  <c r="A214" i="34"/>
  <c r="A118" i="34"/>
  <c r="A291" i="34"/>
  <c r="A384" i="34"/>
  <c r="A287" i="34"/>
  <c r="A268" i="34"/>
  <c r="A217" i="34"/>
  <c r="A177" i="34"/>
  <c r="A70" i="34"/>
  <c r="A800" i="34"/>
  <c r="A438" i="34"/>
  <c r="A254" i="34"/>
  <c r="AC265" i="34" l="1"/>
  <c r="C265" i="34"/>
  <c r="B265" i="34" s="1"/>
  <c r="R265" i="34" l="1"/>
  <c r="V265" i="34"/>
  <c r="P265" i="34"/>
  <c r="Q265" i="34"/>
  <c r="AA265" i="34"/>
  <c r="A265" i="34"/>
  <c r="I13" i="12" l="1"/>
  <c r="A13" i="12"/>
  <c r="K2287" i="34" l="1"/>
  <c r="K2288" i="34"/>
  <c r="AD2288" i="34" s="1"/>
  <c r="K2289" i="34"/>
  <c r="AD2289" i="34" s="1"/>
  <c r="K2290" i="34"/>
  <c r="AD2290" i="34" s="1"/>
  <c r="K2291" i="34"/>
  <c r="AD2291" i="34" s="1"/>
  <c r="K2292" i="34"/>
  <c r="K2293" i="34"/>
  <c r="K2294" i="34"/>
  <c r="K2295" i="34"/>
  <c r="K2296" i="34"/>
  <c r="K2297" i="34"/>
  <c r="O175" i="60"/>
  <c r="N16" i="34" l="1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K1848" i="34" l="1"/>
  <c r="K1849" i="34"/>
  <c r="K1850" i="34"/>
  <c r="K1851" i="34"/>
  <c r="K1852" i="34"/>
  <c r="K1853" i="34"/>
  <c r="K1854" i="34"/>
  <c r="K1847" i="34"/>
  <c r="Q165" i="60"/>
  <c r="Q166" i="60"/>
  <c r="N13" i="34" l="1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41" i="34"/>
  <c r="C1441" i="34"/>
  <c r="B1441" i="34" s="1"/>
  <c r="K1263" i="34"/>
  <c r="K1261" i="34"/>
  <c r="K1254" i="34"/>
  <c r="K1252" i="34"/>
  <c r="K1227" i="34"/>
  <c r="K1265" i="34"/>
  <c r="R1435" i="34" l="1"/>
  <c r="V1435" i="34"/>
  <c r="AA1435" i="34"/>
  <c r="P1435" i="34"/>
  <c r="Q1435" i="34"/>
  <c r="R1441" i="34"/>
  <c r="V1441" i="34"/>
  <c r="AA1441" i="34"/>
  <c r="P1441" i="34"/>
  <c r="Q1441" i="34"/>
  <c r="P1434" i="34"/>
  <c r="Q1434" i="34"/>
  <c r="R1434" i="34"/>
  <c r="V1434" i="34"/>
  <c r="AA1434" i="34"/>
  <c r="P1436" i="34"/>
  <c r="Q1436" i="34"/>
  <c r="R1436" i="34"/>
  <c r="V1436" i="34"/>
  <c r="AA1436" i="34"/>
  <c r="P1438" i="34"/>
  <c r="Q1438" i="34"/>
  <c r="R1438" i="34"/>
  <c r="V1438" i="34"/>
  <c r="AA1438" i="34"/>
  <c r="P1440" i="34"/>
  <c r="Q1440" i="34"/>
  <c r="R1440" i="34"/>
  <c r="V1440" i="34"/>
  <c r="AA1440" i="34"/>
  <c r="R1437" i="34"/>
  <c r="V1437" i="34"/>
  <c r="AA1437" i="34"/>
  <c r="P1437" i="34"/>
  <c r="Q1437" i="34"/>
  <c r="R1433" i="34"/>
  <c r="V1433" i="34"/>
  <c r="AA1433" i="34"/>
  <c r="P1433" i="34"/>
  <c r="Q1433" i="34"/>
  <c r="R1439" i="34"/>
  <c r="V1439" i="34"/>
  <c r="AA1439" i="34"/>
  <c r="P1439" i="34"/>
  <c r="Q1439" i="34"/>
  <c r="A1433" i="34"/>
  <c r="A1437" i="34"/>
  <c r="A1439" i="34"/>
  <c r="A1441" i="34"/>
  <c r="A1435" i="34"/>
  <c r="A1440" i="34"/>
  <c r="A1438" i="34"/>
  <c r="A1436" i="34"/>
  <c r="A1434" i="34"/>
  <c r="Q182" i="60" l="1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0" i="34"/>
  <c r="C1460" i="34"/>
  <c r="B1460" i="34" s="1"/>
  <c r="R25" i="80"/>
  <c r="R26" i="80"/>
  <c r="R27" i="80"/>
  <c r="K1457" i="34"/>
  <c r="C1457" i="34"/>
  <c r="B1457" i="34" s="1"/>
  <c r="K1456" i="34"/>
  <c r="C1456" i="34"/>
  <c r="B1456" i="34" s="1"/>
  <c r="K1455" i="34"/>
  <c r="C1455" i="34"/>
  <c r="B1455" i="34" s="1"/>
  <c r="R22" i="80"/>
  <c r="R23" i="80"/>
  <c r="R12" i="80"/>
  <c r="R13" i="80"/>
  <c r="R8" i="80"/>
  <c r="R9" i="80"/>
  <c r="P1456" i="34" l="1"/>
  <c r="Q1456" i="34"/>
  <c r="R1456" i="34"/>
  <c r="V1456" i="34"/>
  <c r="AA1456" i="34"/>
  <c r="R1455" i="34"/>
  <c r="V1455" i="34"/>
  <c r="AA1455" i="34"/>
  <c r="P1455" i="34"/>
  <c r="Q1455" i="34"/>
  <c r="R1457" i="34"/>
  <c r="V1457" i="34"/>
  <c r="AA1457" i="34"/>
  <c r="P1457" i="34"/>
  <c r="Q1457" i="34"/>
  <c r="P1460" i="34"/>
  <c r="Q1460" i="34"/>
  <c r="R1460" i="34"/>
  <c r="V1460" i="34"/>
  <c r="AA1460" i="34"/>
  <c r="A1460" i="34"/>
  <c r="A1455" i="34"/>
  <c r="A1457" i="34"/>
  <c r="A1456" i="34"/>
  <c r="K2023" i="34" l="1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022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022" i="34"/>
  <c r="C2023" i="34"/>
  <c r="K2016" i="34"/>
  <c r="K2017" i="34"/>
  <c r="K2018" i="34"/>
  <c r="K2019" i="34"/>
  <c r="K2020" i="34"/>
  <c r="K2021" i="34"/>
  <c r="C2016" i="34"/>
  <c r="C2017" i="34"/>
  <c r="C2018" i="34"/>
  <c r="C2019" i="34"/>
  <c r="C2020" i="34"/>
  <c r="C2021" i="34"/>
  <c r="C1846" i="34"/>
  <c r="K1846" i="34"/>
  <c r="C1847" i="34"/>
  <c r="C1848" i="34"/>
  <c r="C1849" i="34"/>
  <c r="C1850" i="34"/>
  <c r="C1851" i="34"/>
  <c r="C1852" i="34"/>
  <c r="C1853" i="34"/>
  <c r="C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1583" i="34"/>
  <c r="K1583" i="34"/>
  <c r="C1584" i="34"/>
  <c r="B1584" i="34" s="1"/>
  <c r="K1584" i="34"/>
  <c r="C1585" i="34"/>
  <c r="K1585" i="34"/>
  <c r="C1586" i="34"/>
  <c r="B1586" i="34" s="1"/>
  <c r="K1586" i="34"/>
  <c r="C1587" i="34"/>
  <c r="K1587" i="34"/>
  <c r="C1588" i="34"/>
  <c r="B1588" i="34" s="1"/>
  <c r="K1588" i="34"/>
  <c r="C1589" i="34"/>
  <c r="K1589" i="34"/>
  <c r="C1590" i="34"/>
  <c r="B1590" i="34" s="1"/>
  <c r="K1590" i="34"/>
  <c r="C1591" i="34"/>
  <c r="K1591" i="34"/>
  <c r="C1592" i="34"/>
  <c r="B1592" i="34" s="1"/>
  <c r="K1592" i="34"/>
  <c r="C1593" i="34"/>
  <c r="K1593" i="34"/>
  <c r="C1594" i="34"/>
  <c r="B1594" i="34" s="1"/>
  <c r="K1594" i="34"/>
  <c r="C1595" i="34"/>
  <c r="K1595" i="34"/>
  <c r="C1596" i="34"/>
  <c r="B1596" i="34" s="1"/>
  <c r="K1596" i="34"/>
  <c r="C1597" i="34"/>
  <c r="K1597" i="34"/>
  <c r="C1598" i="34"/>
  <c r="B1598" i="34" s="1"/>
  <c r="K1598" i="34"/>
  <c r="C1599" i="34"/>
  <c r="K1599" i="34"/>
  <c r="C1600" i="34"/>
  <c r="B1600" i="34" s="1"/>
  <c r="K1600" i="34"/>
  <c r="C1601" i="34"/>
  <c r="K1601" i="34"/>
  <c r="C1602" i="34"/>
  <c r="B1602" i="34" s="1"/>
  <c r="K1602" i="34"/>
  <c r="C1603" i="34"/>
  <c r="K1603" i="34"/>
  <c r="C1604" i="34"/>
  <c r="B1604" i="34" s="1"/>
  <c r="K1604" i="34"/>
  <c r="C1605" i="34"/>
  <c r="K1605" i="34"/>
  <c r="C1606" i="34"/>
  <c r="B1606" i="34" s="1"/>
  <c r="K1606" i="34"/>
  <c r="C1607" i="34"/>
  <c r="K1607" i="34"/>
  <c r="C1608" i="34"/>
  <c r="B1608" i="34" s="1"/>
  <c r="K1608" i="34"/>
  <c r="C1609" i="34"/>
  <c r="K1609" i="34"/>
  <c r="C1610" i="34"/>
  <c r="B1610" i="34" s="1"/>
  <c r="K1610" i="34"/>
  <c r="C1611" i="34"/>
  <c r="K1611" i="34"/>
  <c r="C1612" i="34"/>
  <c r="B1612" i="34" s="1"/>
  <c r="K1612" i="34"/>
  <c r="C1613" i="34"/>
  <c r="K1613" i="34"/>
  <c r="C1614" i="34"/>
  <c r="B1614" i="34" s="1"/>
  <c r="K1614" i="34"/>
  <c r="C1615" i="34"/>
  <c r="K1615" i="34"/>
  <c r="C1616" i="34"/>
  <c r="B1616" i="34" s="1"/>
  <c r="K1616" i="34"/>
  <c r="C1617" i="34"/>
  <c r="K1617" i="34"/>
  <c r="C1618" i="34"/>
  <c r="B1618" i="34" s="1"/>
  <c r="K1618" i="34"/>
  <c r="C1619" i="34"/>
  <c r="K1619" i="34"/>
  <c r="C1620" i="34"/>
  <c r="B1620" i="34" s="1"/>
  <c r="K1620" i="34"/>
  <c r="C1621" i="34"/>
  <c r="K1621" i="34"/>
  <c r="C1622" i="34"/>
  <c r="B1622" i="34" s="1"/>
  <c r="K1622" i="34"/>
  <c r="C1623" i="34"/>
  <c r="K1623" i="34"/>
  <c r="C1624" i="34"/>
  <c r="B1624" i="34" s="1"/>
  <c r="K1624" i="34"/>
  <c r="C1625" i="34"/>
  <c r="K1625" i="34"/>
  <c r="C1626" i="34"/>
  <c r="B1626" i="34" s="1"/>
  <c r="K1626" i="34"/>
  <c r="C1627" i="34"/>
  <c r="K1627" i="34"/>
  <c r="C1628" i="34"/>
  <c r="B1628" i="34" s="1"/>
  <c r="K1628" i="34"/>
  <c r="C1629" i="34"/>
  <c r="K1629" i="34"/>
  <c r="C1630" i="34"/>
  <c r="B1630" i="34" s="1"/>
  <c r="K1630" i="34"/>
  <c r="C1631" i="34"/>
  <c r="K1631" i="34"/>
  <c r="C1632" i="34"/>
  <c r="B1632" i="34" s="1"/>
  <c r="K1632" i="34"/>
  <c r="C1633" i="34"/>
  <c r="K1633" i="34"/>
  <c r="C1634" i="34"/>
  <c r="B1634" i="34" s="1"/>
  <c r="K1634" i="34"/>
  <c r="C1635" i="34"/>
  <c r="K1635" i="34"/>
  <c r="C1636" i="34"/>
  <c r="B1636" i="34" s="1"/>
  <c r="K1636" i="34"/>
  <c r="C1637" i="34"/>
  <c r="K1637" i="34"/>
  <c r="C1638" i="34"/>
  <c r="B1638" i="34" s="1"/>
  <c r="K1638" i="34"/>
  <c r="C1639" i="34"/>
  <c r="K1639" i="34"/>
  <c r="C1640" i="34"/>
  <c r="B1640" i="34" s="1"/>
  <c r="K1640" i="34"/>
  <c r="C1641" i="34"/>
  <c r="K1641" i="34"/>
  <c r="C1642" i="34"/>
  <c r="B1642" i="34" s="1"/>
  <c r="K1642" i="34"/>
  <c r="C1643" i="34"/>
  <c r="K1643" i="34"/>
  <c r="C1644" i="34"/>
  <c r="B1644" i="34" s="1"/>
  <c r="K1644" i="34"/>
  <c r="C1645" i="34"/>
  <c r="K1645" i="34"/>
  <c r="C1646" i="34"/>
  <c r="B1646" i="34" s="1"/>
  <c r="K1646" i="34"/>
  <c r="C1647" i="34"/>
  <c r="K1647" i="34"/>
  <c r="C1648" i="34"/>
  <c r="B1648" i="34" s="1"/>
  <c r="K1648" i="34"/>
  <c r="C1649" i="34"/>
  <c r="K1649" i="34"/>
  <c r="C1650" i="34"/>
  <c r="B1650" i="34" s="1"/>
  <c r="K1650" i="34"/>
  <c r="C1651" i="34"/>
  <c r="K1651" i="34"/>
  <c r="C1652" i="34"/>
  <c r="B1652" i="34" s="1"/>
  <c r="K1652" i="34"/>
  <c r="C1653" i="34"/>
  <c r="K1653" i="34"/>
  <c r="C1654" i="34"/>
  <c r="B1654" i="34" s="1"/>
  <c r="K1654" i="34"/>
  <c r="C1655" i="34"/>
  <c r="K1655" i="34"/>
  <c r="C1656" i="34"/>
  <c r="B1656" i="34" s="1"/>
  <c r="K1656" i="34"/>
  <c r="C1657" i="34"/>
  <c r="K1657" i="34"/>
  <c r="C1658" i="34"/>
  <c r="B1658" i="34" s="1"/>
  <c r="K1658" i="34"/>
  <c r="C1659" i="34"/>
  <c r="K1659" i="34"/>
  <c r="C1660" i="34"/>
  <c r="B1660" i="34" s="1"/>
  <c r="K1660" i="34"/>
  <c r="C1661" i="34"/>
  <c r="K1661" i="34"/>
  <c r="C1662" i="34"/>
  <c r="B1662" i="34" s="1"/>
  <c r="K1662" i="34"/>
  <c r="C1663" i="34"/>
  <c r="K1663" i="34"/>
  <c r="C1664" i="34"/>
  <c r="B1664" i="34" s="1"/>
  <c r="K1664" i="34"/>
  <c r="C1665" i="34"/>
  <c r="K1665" i="34"/>
  <c r="C1666" i="34"/>
  <c r="B1666" i="34" s="1"/>
  <c r="K1666" i="34"/>
  <c r="C1667" i="34"/>
  <c r="K1667" i="34"/>
  <c r="C1668" i="34"/>
  <c r="B1668" i="34" s="1"/>
  <c r="K1668" i="34"/>
  <c r="C1669" i="34"/>
  <c r="K1669" i="34"/>
  <c r="C1670" i="34"/>
  <c r="B1670" i="34" s="1"/>
  <c r="K1670" i="34"/>
  <c r="C1671" i="34"/>
  <c r="K1671" i="34"/>
  <c r="C1672" i="34"/>
  <c r="B1672" i="34" s="1"/>
  <c r="K1672" i="34"/>
  <c r="C1673" i="34"/>
  <c r="K1673" i="34"/>
  <c r="C1674" i="34"/>
  <c r="B1674" i="34" s="1"/>
  <c r="K1674" i="34"/>
  <c r="C1675" i="34"/>
  <c r="K1675" i="34"/>
  <c r="C1676" i="34"/>
  <c r="B1676" i="34" s="1"/>
  <c r="K1676" i="34"/>
  <c r="C1677" i="34"/>
  <c r="K1677" i="34"/>
  <c r="C1678" i="34"/>
  <c r="B1678" i="34" s="1"/>
  <c r="K1678" i="34"/>
  <c r="C1679" i="34"/>
  <c r="K1679" i="34"/>
  <c r="C1680" i="34"/>
  <c r="B1680" i="34" s="1"/>
  <c r="K1680" i="34"/>
  <c r="C1681" i="34"/>
  <c r="K1681" i="34"/>
  <c r="C1682" i="34"/>
  <c r="B1682" i="34" s="1"/>
  <c r="K1682" i="34"/>
  <c r="C1683" i="34"/>
  <c r="K1683" i="34"/>
  <c r="C1684" i="34"/>
  <c r="B1684" i="34" s="1"/>
  <c r="K1684" i="34"/>
  <c r="C1685" i="34"/>
  <c r="K1685" i="34"/>
  <c r="C1686" i="34"/>
  <c r="B1686" i="34" s="1"/>
  <c r="K1686" i="34"/>
  <c r="C1687" i="34"/>
  <c r="K1687" i="34"/>
  <c r="C1688" i="34"/>
  <c r="B1688" i="34" s="1"/>
  <c r="K1688" i="34"/>
  <c r="C1689" i="34"/>
  <c r="K1689" i="34"/>
  <c r="C1690" i="34"/>
  <c r="B1690" i="34" s="1"/>
  <c r="K1690" i="34"/>
  <c r="C1691" i="34"/>
  <c r="K1691" i="34"/>
  <c r="C1692" i="34"/>
  <c r="B1692" i="34" s="1"/>
  <c r="K1692" i="34"/>
  <c r="C1693" i="34"/>
  <c r="K1693" i="34"/>
  <c r="C1694" i="34"/>
  <c r="B1694" i="34" s="1"/>
  <c r="K1694" i="34"/>
  <c r="C1695" i="34"/>
  <c r="K1695" i="34"/>
  <c r="C1696" i="34"/>
  <c r="B1696" i="34" s="1"/>
  <c r="K1696" i="34"/>
  <c r="C1697" i="34"/>
  <c r="K1697" i="34"/>
  <c r="C1698" i="34"/>
  <c r="B1698" i="34" s="1"/>
  <c r="K1698" i="34"/>
  <c r="C1699" i="34"/>
  <c r="K1699" i="34"/>
  <c r="C1700" i="34"/>
  <c r="B1700" i="34" s="1"/>
  <c r="K1700" i="34"/>
  <c r="C1701" i="34"/>
  <c r="K1701" i="34"/>
  <c r="C1702" i="34"/>
  <c r="B1702" i="34" s="1"/>
  <c r="K1702" i="34"/>
  <c r="C1703" i="34"/>
  <c r="K1703" i="34"/>
  <c r="C1704" i="34"/>
  <c r="B1704" i="34" s="1"/>
  <c r="K1704" i="34"/>
  <c r="C1705" i="34"/>
  <c r="K1705" i="34"/>
  <c r="C1706" i="34"/>
  <c r="B1706" i="34" s="1"/>
  <c r="K1706" i="34"/>
  <c r="C1707" i="34"/>
  <c r="K1707" i="34"/>
  <c r="C1708" i="34"/>
  <c r="B1708" i="34" s="1"/>
  <c r="K1708" i="34"/>
  <c r="C1709" i="34"/>
  <c r="K1709" i="34"/>
  <c r="C1710" i="34"/>
  <c r="B1710" i="34" s="1"/>
  <c r="K1710" i="34"/>
  <c r="C1711" i="34"/>
  <c r="K1711" i="34"/>
  <c r="C1712" i="34"/>
  <c r="B1712" i="34" s="1"/>
  <c r="K1712" i="34"/>
  <c r="C1713" i="34"/>
  <c r="K1713" i="34"/>
  <c r="C1714" i="34"/>
  <c r="B1714" i="34" s="1"/>
  <c r="K1714" i="34"/>
  <c r="C1715" i="34"/>
  <c r="K1715" i="34"/>
  <c r="C1716" i="34"/>
  <c r="B1716" i="34" s="1"/>
  <c r="K1716" i="34"/>
  <c r="C1717" i="34"/>
  <c r="K1717" i="34"/>
  <c r="C1718" i="34"/>
  <c r="B1718" i="34" s="1"/>
  <c r="K1718" i="34"/>
  <c r="C1719" i="34"/>
  <c r="K1719" i="34"/>
  <c r="C1720" i="34"/>
  <c r="B1720" i="34" s="1"/>
  <c r="K1720" i="34"/>
  <c r="C1721" i="34"/>
  <c r="K1721" i="34"/>
  <c r="C1722" i="34"/>
  <c r="B1722" i="34" s="1"/>
  <c r="K1722" i="34"/>
  <c r="C1723" i="34"/>
  <c r="K1723" i="34"/>
  <c r="C1724" i="34"/>
  <c r="B1724" i="34" s="1"/>
  <c r="K1724" i="34"/>
  <c r="C1725" i="34"/>
  <c r="K1725" i="34"/>
  <c r="C1726" i="34"/>
  <c r="B1726" i="34" s="1"/>
  <c r="K1726" i="34"/>
  <c r="C1727" i="34"/>
  <c r="K1727" i="34"/>
  <c r="C1728" i="34"/>
  <c r="B1728" i="34" s="1"/>
  <c r="K1728" i="34"/>
  <c r="C1729" i="34"/>
  <c r="K1729" i="34"/>
  <c r="C1730" i="34"/>
  <c r="B1730" i="34" s="1"/>
  <c r="K1730" i="34"/>
  <c r="C1731" i="34"/>
  <c r="K1731" i="34"/>
  <c r="C1732" i="34"/>
  <c r="B1732" i="34" s="1"/>
  <c r="K1732" i="34"/>
  <c r="C1733" i="34"/>
  <c r="K1733" i="34"/>
  <c r="C1734" i="34"/>
  <c r="B1734" i="34" s="1"/>
  <c r="K1734" i="34"/>
  <c r="C1735" i="34"/>
  <c r="K1735" i="34"/>
  <c r="C1736" i="34"/>
  <c r="B1736" i="34" s="1"/>
  <c r="K1736" i="34"/>
  <c r="C1737" i="34"/>
  <c r="K1737" i="34"/>
  <c r="C1738" i="34"/>
  <c r="B1738" i="34" s="1"/>
  <c r="K1738" i="34"/>
  <c r="C1739" i="34"/>
  <c r="K1739" i="34"/>
  <c r="C1740" i="34"/>
  <c r="B1740" i="34" s="1"/>
  <c r="K1740" i="34"/>
  <c r="C1741" i="34"/>
  <c r="K1741" i="34"/>
  <c r="C1742" i="34"/>
  <c r="B1742" i="34" s="1"/>
  <c r="K1742" i="34"/>
  <c r="C1743" i="34"/>
  <c r="K1743" i="34"/>
  <c r="C1744" i="34"/>
  <c r="B1744" i="34" s="1"/>
  <c r="K1744" i="34"/>
  <c r="C1745" i="34"/>
  <c r="K1745" i="34"/>
  <c r="C1746" i="34"/>
  <c r="B1746" i="34" s="1"/>
  <c r="K1746" i="34"/>
  <c r="C1747" i="34"/>
  <c r="K1747" i="34"/>
  <c r="C1748" i="34"/>
  <c r="B1748" i="34" s="1"/>
  <c r="K1748" i="34"/>
  <c r="C1749" i="34"/>
  <c r="K1749" i="34"/>
  <c r="C1750" i="34"/>
  <c r="B1750" i="34" s="1"/>
  <c r="K1750" i="34"/>
  <c r="C1751" i="34"/>
  <c r="K1751" i="34"/>
  <c r="C1752" i="34"/>
  <c r="B1752" i="34" s="1"/>
  <c r="K1752" i="34"/>
  <c r="C1753" i="34"/>
  <c r="K1753" i="34"/>
  <c r="C1754" i="34"/>
  <c r="B1754" i="34" s="1"/>
  <c r="K1754" i="34"/>
  <c r="C1755" i="34"/>
  <c r="K1755" i="34"/>
  <c r="C1756" i="34"/>
  <c r="B1756" i="34" s="1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K1582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5" i="34"/>
  <c r="B1445" i="34" s="1"/>
  <c r="K1445" i="34"/>
  <c r="C1446" i="34"/>
  <c r="B1446" i="34" s="1"/>
  <c r="K1446" i="34"/>
  <c r="C1447" i="34"/>
  <c r="B1447" i="34" s="1"/>
  <c r="K1447" i="34"/>
  <c r="C1448" i="34"/>
  <c r="B1448" i="34" s="1"/>
  <c r="K1448" i="34"/>
  <c r="C1449" i="34"/>
  <c r="B1449" i="34" s="1"/>
  <c r="K1449" i="34"/>
  <c r="C1450" i="34"/>
  <c r="B1450" i="34" s="1"/>
  <c r="K1450" i="34"/>
  <c r="C1451" i="34"/>
  <c r="B1451" i="34" s="1"/>
  <c r="K1451" i="34"/>
  <c r="C1452" i="34"/>
  <c r="B1452" i="34" s="1"/>
  <c r="K1452" i="34"/>
  <c r="C1453" i="34"/>
  <c r="B1453" i="34" s="1"/>
  <c r="K1453" i="34"/>
  <c r="C1454" i="34"/>
  <c r="B1454" i="34" s="1"/>
  <c r="K1454" i="34"/>
  <c r="C1458" i="34"/>
  <c r="B1458" i="34" s="1"/>
  <c r="K1458" i="34"/>
  <c r="C1459" i="34"/>
  <c r="B1459" i="34" s="1"/>
  <c r="K1459" i="34"/>
  <c r="C1461" i="34"/>
  <c r="B1461" i="34" s="1"/>
  <c r="K1461" i="34"/>
  <c r="C1462" i="34"/>
  <c r="B1462" i="34" s="1"/>
  <c r="K1462" i="34"/>
  <c r="C1463" i="34"/>
  <c r="B1463" i="34" s="1"/>
  <c r="K1463" i="34"/>
  <c r="C1464" i="34"/>
  <c r="B1464" i="34" s="1"/>
  <c r="K1464" i="34"/>
  <c r="C1465" i="34"/>
  <c r="B1465" i="34" s="1"/>
  <c r="K1465" i="34"/>
  <c r="C1466" i="34"/>
  <c r="B1466" i="34" s="1"/>
  <c r="K1466" i="34"/>
  <c r="C1467" i="34"/>
  <c r="B1467" i="34" s="1"/>
  <c r="K1467" i="34"/>
  <c r="C1468" i="34"/>
  <c r="B1468" i="34" s="1"/>
  <c r="K1468" i="34"/>
  <c r="C1469" i="34"/>
  <c r="B1469" i="34" s="1"/>
  <c r="K1469" i="34"/>
  <c r="C1470" i="34"/>
  <c r="B1470" i="34" s="1"/>
  <c r="K1470" i="34"/>
  <c r="C1471" i="34"/>
  <c r="B1471" i="34" s="1"/>
  <c r="K1471" i="34"/>
  <c r="C1472" i="34"/>
  <c r="B1472" i="34" s="1"/>
  <c r="K1472" i="34"/>
  <c r="C1473" i="34"/>
  <c r="B1473" i="34" s="1"/>
  <c r="K1473" i="34"/>
  <c r="C1474" i="34"/>
  <c r="B1474" i="34" s="1"/>
  <c r="K1474" i="34"/>
  <c r="C1475" i="34"/>
  <c r="B1475" i="34" s="1"/>
  <c r="K1475" i="34"/>
  <c r="C1476" i="34"/>
  <c r="B1476" i="34" s="1"/>
  <c r="K1476" i="34"/>
  <c r="C1477" i="34"/>
  <c r="B1477" i="34" s="1"/>
  <c r="K1477" i="34"/>
  <c r="C1478" i="34"/>
  <c r="B1478" i="34" s="1"/>
  <c r="K1478" i="34"/>
  <c r="C1479" i="34"/>
  <c r="B1479" i="34" s="1"/>
  <c r="K1479" i="34"/>
  <c r="C1480" i="34"/>
  <c r="B1480" i="34" s="1"/>
  <c r="K1480" i="34"/>
  <c r="C1481" i="34"/>
  <c r="B1481" i="34" s="1"/>
  <c r="K1481" i="34"/>
  <c r="C1482" i="34"/>
  <c r="B1482" i="34" s="1"/>
  <c r="K1482" i="34"/>
  <c r="C1483" i="34"/>
  <c r="B1483" i="34" s="1"/>
  <c r="K1483" i="34"/>
  <c r="C1484" i="34"/>
  <c r="B1484" i="34" s="1"/>
  <c r="K1484" i="34"/>
  <c r="C1485" i="34"/>
  <c r="B1485" i="34" s="1"/>
  <c r="K1485" i="34"/>
  <c r="C1486" i="34"/>
  <c r="B1486" i="34" s="1"/>
  <c r="K1486" i="34"/>
  <c r="C1487" i="34"/>
  <c r="B1487" i="34" s="1"/>
  <c r="K1487" i="34"/>
  <c r="C1488" i="34"/>
  <c r="B1488" i="34" s="1"/>
  <c r="K1488" i="34"/>
  <c r="C1489" i="34"/>
  <c r="B1489" i="34" s="1"/>
  <c r="K1489" i="34"/>
  <c r="C1490" i="34"/>
  <c r="B1490" i="34" s="1"/>
  <c r="K1490" i="34"/>
  <c r="C1491" i="34"/>
  <c r="B1491" i="34" s="1"/>
  <c r="K1491" i="34"/>
  <c r="C1492" i="34"/>
  <c r="B1492" i="34" s="1"/>
  <c r="K1492" i="34"/>
  <c r="C1493" i="34"/>
  <c r="B1493" i="34" s="1"/>
  <c r="K1493" i="34"/>
  <c r="C1494" i="34"/>
  <c r="B1494" i="34" s="1"/>
  <c r="K1494" i="34"/>
  <c r="C1495" i="34"/>
  <c r="B1495" i="34" s="1"/>
  <c r="K1495" i="34"/>
  <c r="C1496" i="34"/>
  <c r="B1496" i="34" s="1"/>
  <c r="K1496" i="34"/>
  <c r="C1497" i="34"/>
  <c r="B1497" i="34" s="1"/>
  <c r="K1497" i="34"/>
  <c r="C1498" i="34"/>
  <c r="B1498" i="34" s="1"/>
  <c r="K1498" i="34"/>
  <c r="C1499" i="34"/>
  <c r="B1499" i="34" s="1"/>
  <c r="K1499" i="34"/>
  <c r="C1500" i="34"/>
  <c r="B1500" i="34" s="1"/>
  <c r="K1500" i="34"/>
  <c r="C1501" i="34"/>
  <c r="B1501" i="34" s="1"/>
  <c r="K1501" i="34"/>
  <c r="C1502" i="34"/>
  <c r="B1502" i="34" s="1"/>
  <c r="K1502" i="34"/>
  <c r="C1503" i="34"/>
  <c r="B1503" i="34" s="1"/>
  <c r="K1503" i="34"/>
  <c r="C1504" i="34"/>
  <c r="B1504" i="34" s="1"/>
  <c r="K1504" i="34"/>
  <c r="C1505" i="34"/>
  <c r="B1505" i="34" s="1"/>
  <c r="K1505" i="34"/>
  <c r="C1506" i="34"/>
  <c r="B1506" i="34" s="1"/>
  <c r="K1506" i="34"/>
  <c r="C1507" i="34"/>
  <c r="B1507" i="34" s="1"/>
  <c r="K1507" i="34"/>
  <c r="C1508" i="34"/>
  <c r="B1508" i="34" s="1"/>
  <c r="K1508" i="34"/>
  <c r="C1509" i="34"/>
  <c r="B1509" i="34" s="1"/>
  <c r="K1509" i="34"/>
  <c r="C1510" i="34"/>
  <c r="B1510" i="34" s="1"/>
  <c r="K1510" i="34"/>
  <c r="C1511" i="34"/>
  <c r="B1511" i="34" s="1"/>
  <c r="K1511" i="34"/>
  <c r="C1512" i="34"/>
  <c r="B1512" i="34" s="1"/>
  <c r="K1512" i="34"/>
  <c r="C1513" i="34"/>
  <c r="B1513" i="34" s="1"/>
  <c r="K1513" i="34"/>
  <c r="C1514" i="34"/>
  <c r="B1514" i="34" s="1"/>
  <c r="K1514" i="34"/>
  <c r="C1515" i="34"/>
  <c r="B1515" i="34" s="1"/>
  <c r="K1515" i="34"/>
  <c r="C1516" i="34"/>
  <c r="B1516" i="34" s="1"/>
  <c r="K1516" i="34"/>
  <c r="C1517" i="34"/>
  <c r="B1517" i="34" s="1"/>
  <c r="K1517" i="34"/>
  <c r="C1518" i="34"/>
  <c r="B1518" i="34" s="1"/>
  <c r="K1518" i="34"/>
  <c r="C1519" i="34"/>
  <c r="B1519" i="34" s="1"/>
  <c r="K1519" i="34"/>
  <c r="C1520" i="34"/>
  <c r="B1520" i="34" s="1"/>
  <c r="K1520" i="34"/>
  <c r="C1521" i="34"/>
  <c r="B1521" i="34" s="1"/>
  <c r="K1521" i="34"/>
  <c r="C1522" i="34"/>
  <c r="B1522" i="34" s="1"/>
  <c r="K1522" i="34"/>
  <c r="C1523" i="34"/>
  <c r="B1523" i="34" s="1"/>
  <c r="K1523" i="34"/>
  <c r="C1524" i="34"/>
  <c r="B1524" i="34" s="1"/>
  <c r="K1524" i="34"/>
  <c r="C1525" i="34"/>
  <c r="B1525" i="34" s="1"/>
  <c r="K1525" i="34"/>
  <c r="C1526" i="34"/>
  <c r="B1526" i="34" s="1"/>
  <c r="K1526" i="34"/>
  <c r="C1527" i="34"/>
  <c r="B1527" i="34" s="1"/>
  <c r="K1527" i="34"/>
  <c r="C1528" i="34"/>
  <c r="B1528" i="34" s="1"/>
  <c r="K1528" i="34"/>
  <c r="C1529" i="34"/>
  <c r="B1529" i="34" s="1"/>
  <c r="K1529" i="34"/>
  <c r="C1530" i="34"/>
  <c r="B1530" i="34" s="1"/>
  <c r="K1530" i="34"/>
  <c r="C1531" i="34"/>
  <c r="B1531" i="34" s="1"/>
  <c r="K1531" i="34"/>
  <c r="C1532" i="34"/>
  <c r="B1532" i="34" s="1"/>
  <c r="K1532" i="34"/>
  <c r="C1533" i="34"/>
  <c r="B1533" i="34" s="1"/>
  <c r="K1533" i="34"/>
  <c r="C1534" i="34"/>
  <c r="B1534" i="34" s="1"/>
  <c r="K1534" i="34"/>
  <c r="C1535" i="34"/>
  <c r="B1535" i="34" s="1"/>
  <c r="K1535" i="34"/>
  <c r="C1536" i="34"/>
  <c r="B1536" i="34" s="1"/>
  <c r="K1536" i="34"/>
  <c r="C1537" i="34"/>
  <c r="B1537" i="34" s="1"/>
  <c r="K1537" i="34"/>
  <c r="C1538" i="34"/>
  <c r="B1538" i="34" s="1"/>
  <c r="K1538" i="34"/>
  <c r="C1539" i="34"/>
  <c r="B1539" i="34" s="1"/>
  <c r="K1539" i="34"/>
  <c r="C1540" i="34"/>
  <c r="B1540" i="34" s="1"/>
  <c r="K1540" i="34"/>
  <c r="C1541" i="34"/>
  <c r="B1541" i="34" s="1"/>
  <c r="K1541" i="34"/>
  <c r="C1542" i="34"/>
  <c r="B1542" i="34" s="1"/>
  <c r="K1542" i="34"/>
  <c r="C1543" i="34"/>
  <c r="B1543" i="34" s="1"/>
  <c r="K1543" i="34"/>
  <c r="C1544" i="34"/>
  <c r="B1544" i="34" s="1"/>
  <c r="K1544" i="34"/>
  <c r="C1545" i="34"/>
  <c r="B1545" i="34" s="1"/>
  <c r="K1545" i="34"/>
  <c r="C1546" i="34"/>
  <c r="B1546" i="34" s="1"/>
  <c r="K1546" i="34"/>
  <c r="C1547" i="34"/>
  <c r="B1547" i="34" s="1"/>
  <c r="K1547" i="34"/>
  <c r="C1548" i="34"/>
  <c r="B1548" i="34" s="1"/>
  <c r="K1548" i="34"/>
  <c r="C1549" i="34"/>
  <c r="B1549" i="34" s="1"/>
  <c r="K1549" i="34"/>
  <c r="C1550" i="34"/>
  <c r="B1550" i="34" s="1"/>
  <c r="K1550" i="34"/>
  <c r="C1551" i="34"/>
  <c r="B1551" i="34" s="1"/>
  <c r="K1551" i="34"/>
  <c r="C1552" i="34"/>
  <c r="B1552" i="34" s="1"/>
  <c r="K1552" i="34"/>
  <c r="C1553" i="34"/>
  <c r="B1553" i="34" s="1"/>
  <c r="K1553" i="34"/>
  <c r="C1554" i="34"/>
  <c r="B1554" i="34" s="1"/>
  <c r="K1554" i="34"/>
  <c r="C1555" i="34"/>
  <c r="B1555" i="34" s="1"/>
  <c r="K1555" i="34"/>
  <c r="C1556" i="34"/>
  <c r="B1556" i="34" s="1"/>
  <c r="K1556" i="34"/>
  <c r="C1557" i="34"/>
  <c r="B1557" i="34" s="1"/>
  <c r="K1557" i="34"/>
  <c r="C1558" i="34"/>
  <c r="B1558" i="34" s="1"/>
  <c r="K1558" i="34"/>
  <c r="C1559" i="34"/>
  <c r="B1559" i="34" s="1"/>
  <c r="K1559" i="34"/>
  <c r="C1560" i="34"/>
  <c r="B1560" i="34" s="1"/>
  <c r="K1560" i="34"/>
  <c r="C1561" i="34"/>
  <c r="B1561" i="34" s="1"/>
  <c r="K1561" i="34"/>
  <c r="C1562" i="34"/>
  <c r="B1562" i="34" s="1"/>
  <c r="K1562" i="34"/>
  <c r="C1563" i="34"/>
  <c r="B1563" i="34" s="1"/>
  <c r="K1563" i="34"/>
  <c r="C1564" i="34"/>
  <c r="B1564" i="34" s="1"/>
  <c r="K1564" i="34"/>
  <c r="C1565" i="34"/>
  <c r="B1565" i="34" s="1"/>
  <c r="K1565" i="34"/>
  <c r="C1566" i="34"/>
  <c r="B1566" i="34" s="1"/>
  <c r="K1566" i="34"/>
  <c r="C1567" i="34"/>
  <c r="B1567" i="34" s="1"/>
  <c r="K1567" i="34"/>
  <c r="C1568" i="34"/>
  <c r="B1568" i="34" s="1"/>
  <c r="K1568" i="34"/>
  <c r="C1569" i="34"/>
  <c r="B1569" i="34" s="1"/>
  <c r="K1569" i="34"/>
  <c r="C1570" i="34"/>
  <c r="B1570" i="34" s="1"/>
  <c r="K1570" i="34"/>
  <c r="C1571" i="34"/>
  <c r="B1571" i="34" s="1"/>
  <c r="K1571" i="34"/>
  <c r="C1572" i="34"/>
  <c r="B1572" i="34" s="1"/>
  <c r="K1572" i="34"/>
  <c r="C1573" i="34"/>
  <c r="B1573" i="34" s="1"/>
  <c r="K1573" i="34"/>
  <c r="C1574" i="34"/>
  <c r="B1574" i="34" s="1"/>
  <c r="K1574" i="34"/>
  <c r="C1575" i="34"/>
  <c r="B1575" i="34" s="1"/>
  <c r="K1575" i="34"/>
  <c r="C1576" i="34"/>
  <c r="B1576" i="34" s="1"/>
  <c r="K1576" i="34"/>
  <c r="C1577" i="34"/>
  <c r="B1577" i="34" s="1"/>
  <c r="K1577" i="34"/>
  <c r="C1578" i="34"/>
  <c r="B1578" i="34" s="1"/>
  <c r="K1578" i="34"/>
  <c r="C1579" i="34"/>
  <c r="B1579" i="34" s="1"/>
  <c r="K1579" i="34"/>
  <c r="C1580" i="34"/>
  <c r="B1580" i="34" s="1"/>
  <c r="K1580" i="34"/>
  <c r="C1581" i="34"/>
  <c r="B1581" i="34" s="1"/>
  <c r="K1581" i="34"/>
  <c r="C1582" i="34"/>
  <c r="B1582" i="34" s="1"/>
  <c r="B1583" i="34"/>
  <c r="B1585" i="34"/>
  <c r="B1587" i="34"/>
  <c r="B1589" i="34"/>
  <c r="B1591" i="34"/>
  <c r="B1593" i="34"/>
  <c r="B1595" i="34"/>
  <c r="B1597" i="34"/>
  <c r="B1599" i="34"/>
  <c r="B1601" i="34"/>
  <c r="B1603" i="34"/>
  <c r="B1605" i="34"/>
  <c r="B1607" i="34"/>
  <c r="B1609" i="34"/>
  <c r="B1611" i="34"/>
  <c r="B1613" i="34"/>
  <c r="B1615" i="34"/>
  <c r="B1617" i="34"/>
  <c r="B1619" i="34"/>
  <c r="B1621" i="34"/>
  <c r="B1623" i="34"/>
  <c r="B1625" i="34"/>
  <c r="B1627" i="34"/>
  <c r="B1629" i="34"/>
  <c r="B1631" i="34"/>
  <c r="B1633" i="34"/>
  <c r="B1635" i="34"/>
  <c r="B1637" i="34"/>
  <c r="B1639" i="34"/>
  <c r="B1641" i="34"/>
  <c r="B1643" i="34"/>
  <c r="B1645" i="34"/>
  <c r="B1647" i="34"/>
  <c r="B1649" i="34"/>
  <c r="B1651" i="34"/>
  <c r="B1653" i="34"/>
  <c r="B1655" i="34"/>
  <c r="B1657" i="34"/>
  <c r="B1659" i="34"/>
  <c r="B1661" i="34"/>
  <c r="B1663" i="34"/>
  <c r="B1665" i="34"/>
  <c r="B1667" i="34"/>
  <c r="B1669" i="34"/>
  <c r="B1671" i="34"/>
  <c r="B1673" i="34"/>
  <c r="B1675" i="34"/>
  <c r="B1677" i="34"/>
  <c r="B1679" i="34"/>
  <c r="B1681" i="34"/>
  <c r="B1683" i="34"/>
  <c r="B1685" i="34"/>
  <c r="B1687" i="34"/>
  <c r="B1689" i="34"/>
  <c r="B1691" i="34"/>
  <c r="B1693" i="34"/>
  <c r="B1695" i="34"/>
  <c r="B1697" i="34"/>
  <c r="B1699" i="34"/>
  <c r="B1701" i="34"/>
  <c r="B1703" i="34"/>
  <c r="B1705" i="34"/>
  <c r="B1707" i="34"/>
  <c r="B1709" i="34"/>
  <c r="B1711" i="34"/>
  <c r="B1713" i="34"/>
  <c r="B1715" i="34"/>
  <c r="B1717" i="34"/>
  <c r="B1719" i="34"/>
  <c r="B1721" i="34"/>
  <c r="B1723" i="34"/>
  <c r="B1725" i="34"/>
  <c r="B1727" i="34"/>
  <c r="B1729" i="34"/>
  <c r="B1731" i="34"/>
  <c r="B1733" i="34"/>
  <c r="B1735" i="34"/>
  <c r="B1737" i="34"/>
  <c r="B1739" i="34"/>
  <c r="B1741" i="34"/>
  <c r="B1743" i="34"/>
  <c r="B1745" i="34"/>
  <c r="B1747" i="34"/>
  <c r="B1749" i="34"/>
  <c r="B1751" i="34"/>
  <c r="B1753" i="34"/>
  <c r="B1755" i="34"/>
  <c r="B1757" i="34"/>
  <c r="K1443" i="34"/>
  <c r="K1444" i="34"/>
  <c r="C1443" i="34"/>
  <c r="C1444" i="34"/>
  <c r="C1442" i="34"/>
  <c r="K1442" i="34"/>
  <c r="J18" i="64"/>
  <c r="J17" i="64"/>
  <c r="K61" i="34"/>
  <c r="K31" i="34"/>
  <c r="K34" i="34"/>
  <c r="K37" i="34"/>
  <c r="K40" i="34"/>
  <c r="K43" i="34"/>
  <c r="K46" i="34"/>
  <c r="K49" i="34"/>
  <c r="K52" i="34"/>
  <c r="K55" i="34"/>
  <c r="K58" i="34"/>
  <c r="F61" i="34"/>
  <c r="C61" i="34"/>
  <c r="B61" i="34" s="1"/>
  <c r="C60" i="34"/>
  <c r="B60" i="34" s="1"/>
  <c r="C59" i="34"/>
  <c r="B59" i="34" s="1"/>
  <c r="F58" i="34"/>
  <c r="C58" i="34"/>
  <c r="B58" i="34" s="1"/>
  <c r="C57" i="34"/>
  <c r="B57" i="34" s="1"/>
  <c r="C56" i="34"/>
  <c r="B56" i="34" s="1"/>
  <c r="F55" i="34"/>
  <c r="C55" i="34"/>
  <c r="B55" i="34" s="1"/>
  <c r="C54" i="34"/>
  <c r="B54" i="34" s="1"/>
  <c r="C53" i="34"/>
  <c r="B53" i="34" s="1"/>
  <c r="F52" i="34"/>
  <c r="C52" i="34"/>
  <c r="B52" i="34" s="1"/>
  <c r="C51" i="34"/>
  <c r="B51" i="34" s="1"/>
  <c r="C50" i="34"/>
  <c r="B50" i="34" s="1"/>
  <c r="F49" i="34"/>
  <c r="C49" i="34"/>
  <c r="B49" i="34" s="1"/>
  <c r="C48" i="34"/>
  <c r="B48" i="34" s="1"/>
  <c r="C47" i="34"/>
  <c r="B47" i="34" s="1"/>
  <c r="F46" i="34"/>
  <c r="C46" i="34"/>
  <c r="B46" i="34" s="1"/>
  <c r="C45" i="34"/>
  <c r="B45" i="34" s="1"/>
  <c r="C44" i="34"/>
  <c r="B44" i="34" s="1"/>
  <c r="F43" i="34"/>
  <c r="C43" i="34"/>
  <c r="B43" i="34" s="1"/>
  <c r="C42" i="34"/>
  <c r="B42" i="34" s="1"/>
  <c r="C41" i="34"/>
  <c r="B41" i="34" s="1"/>
  <c r="F40" i="34"/>
  <c r="C40" i="34"/>
  <c r="B40" i="34" s="1"/>
  <c r="C39" i="34"/>
  <c r="B39" i="34" s="1"/>
  <c r="C38" i="34"/>
  <c r="B38" i="34" s="1"/>
  <c r="F37" i="34"/>
  <c r="C37" i="34"/>
  <c r="B37" i="34" s="1"/>
  <c r="C36" i="34"/>
  <c r="B36" i="34" s="1"/>
  <c r="C35" i="34"/>
  <c r="B35" i="34" s="1"/>
  <c r="F34" i="34"/>
  <c r="C34" i="34"/>
  <c r="B34" i="34" s="1"/>
  <c r="C33" i="34"/>
  <c r="B33" i="34" s="1"/>
  <c r="C32" i="34"/>
  <c r="B32" i="34" s="1"/>
  <c r="F31" i="34"/>
  <c r="C31" i="34"/>
  <c r="B31" i="34" s="1"/>
  <c r="C30" i="34"/>
  <c r="B30" i="34" s="1"/>
  <c r="C29" i="34"/>
  <c r="B29" i="34" s="1"/>
  <c r="K28" i="34"/>
  <c r="F28" i="34"/>
  <c r="G49" i="55" s="1" a="1"/>
  <c r="G49" i="55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G48" i="55" a="1"/>
  <c r="G48" i="55" s="1"/>
  <c r="I49" i="55" a="1"/>
  <c r="I49" i="55" s="1"/>
  <c r="G50" i="55" a="1"/>
  <c r="G50" i="55" s="1"/>
  <c r="I50" i="55" a="1"/>
  <c r="I50" i="55" s="1"/>
  <c r="G51" i="55" a="1"/>
  <c r="G51" i="55" s="1"/>
  <c r="I51" i="55" a="1"/>
  <c r="I51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6" i="55" a="1"/>
  <c r="G56" i="55" s="1"/>
  <c r="I56" i="55" a="1"/>
  <c r="I56" i="55" s="1"/>
  <c r="G57" i="55" a="1"/>
  <c r="G57" i="55" s="1"/>
  <c r="I57" i="55" a="1"/>
  <c r="I57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48" i="55" l="1" a="1"/>
  <c r="I48" i="55" s="1"/>
  <c r="G45" i="55" a="1"/>
  <c r="G45" i="55" s="1"/>
  <c r="P24" i="34"/>
  <c r="Q24" i="34"/>
  <c r="R24" i="34"/>
  <c r="V24" i="34"/>
  <c r="AA24" i="34"/>
  <c r="P28" i="34"/>
  <c r="Q28" i="34"/>
  <c r="R28" i="34"/>
  <c r="V28" i="34"/>
  <c r="AA28" i="34"/>
  <c r="P30" i="34"/>
  <c r="Q30" i="34"/>
  <c r="R30" i="34"/>
  <c r="V30" i="34"/>
  <c r="AA30" i="34"/>
  <c r="R33" i="34"/>
  <c r="V33" i="34"/>
  <c r="AA33" i="34"/>
  <c r="P33" i="34"/>
  <c r="Q33" i="34"/>
  <c r="P36" i="34"/>
  <c r="Q36" i="34"/>
  <c r="R36" i="34"/>
  <c r="V36" i="34"/>
  <c r="AA36" i="34"/>
  <c r="R39" i="34"/>
  <c r="V39" i="34"/>
  <c r="AA39" i="34"/>
  <c r="P39" i="34"/>
  <c r="Q39" i="34"/>
  <c r="P42" i="34"/>
  <c r="Q42" i="34"/>
  <c r="R42" i="34"/>
  <c r="V42" i="34"/>
  <c r="AA42" i="34"/>
  <c r="R45" i="34"/>
  <c r="V45" i="34"/>
  <c r="AA45" i="34"/>
  <c r="P45" i="34"/>
  <c r="Q45" i="34"/>
  <c r="P48" i="34"/>
  <c r="Q48" i="34"/>
  <c r="R48" i="34"/>
  <c r="V48" i="34"/>
  <c r="AA48" i="34"/>
  <c r="R51" i="34"/>
  <c r="V51" i="34"/>
  <c r="AA51" i="34"/>
  <c r="P51" i="34"/>
  <c r="Q51" i="34"/>
  <c r="P54" i="34"/>
  <c r="R54" i="34"/>
  <c r="V54" i="34"/>
  <c r="AA54" i="34"/>
  <c r="Q54" i="34"/>
  <c r="R57" i="34"/>
  <c r="V57" i="34"/>
  <c r="P57" i="34"/>
  <c r="Q57" i="34"/>
  <c r="AA57" i="34"/>
  <c r="P60" i="34"/>
  <c r="Q60" i="34"/>
  <c r="R60" i="34"/>
  <c r="V60" i="34"/>
  <c r="AA60" i="34"/>
  <c r="R1753" i="34"/>
  <c r="V1753" i="34"/>
  <c r="AA1753" i="34"/>
  <c r="P1753" i="34"/>
  <c r="Q1753" i="34"/>
  <c r="R1745" i="34"/>
  <c r="V1745" i="34"/>
  <c r="AA1745" i="34"/>
  <c r="P1745" i="34"/>
  <c r="Q1745" i="34"/>
  <c r="R1737" i="34"/>
  <c r="V1737" i="34"/>
  <c r="AA1737" i="34"/>
  <c r="P1737" i="34"/>
  <c r="Q1737" i="34"/>
  <c r="R1729" i="34"/>
  <c r="V1729" i="34"/>
  <c r="AA1729" i="34"/>
  <c r="P1729" i="34"/>
  <c r="Q1729" i="34"/>
  <c r="R1721" i="34"/>
  <c r="V1721" i="34"/>
  <c r="AA1721" i="34"/>
  <c r="P1721" i="34"/>
  <c r="Q1721" i="34"/>
  <c r="R1713" i="34"/>
  <c r="V1713" i="34"/>
  <c r="AA1713" i="34"/>
  <c r="P1713" i="34"/>
  <c r="Q1713" i="34"/>
  <c r="R1705" i="34"/>
  <c r="V1705" i="34"/>
  <c r="AA1705" i="34"/>
  <c r="P1705" i="34"/>
  <c r="Q1705" i="34"/>
  <c r="R1697" i="34"/>
  <c r="V1697" i="34"/>
  <c r="AA1697" i="34"/>
  <c r="P1697" i="34"/>
  <c r="Q1697" i="34"/>
  <c r="R1689" i="34"/>
  <c r="V1689" i="34"/>
  <c r="AA1689" i="34"/>
  <c r="P1689" i="34"/>
  <c r="Q1689" i="34"/>
  <c r="R1681" i="34"/>
  <c r="V1681" i="34"/>
  <c r="AA1681" i="34"/>
  <c r="P1681" i="34"/>
  <c r="Q1681" i="34"/>
  <c r="R1673" i="34"/>
  <c r="V1673" i="34"/>
  <c r="AA1673" i="34"/>
  <c r="P1673" i="34"/>
  <c r="Q1673" i="34"/>
  <c r="R1665" i="34"/>
  <c r="V1665" i="34"/>
  <c r="AA1665" i="34"/>
  <c r="P1665" i="34"/>
  <c r="Q1665" i="34"/>
  <c r="R1657" i="34"/>
  <c r="V1657" i="34"/>
  <c r="AA1657" i="34"/>
  <c r="P1657" i="34"/>
  <c r="Q1657" i="34"/>
  <c r="R1649" i="34"/>
  <c r="V1649" i="34"/>
  <c r="AA1649" i="34"/>
  <c r="P1649" i="34"/>
  <c r="Q1649" i="34"/>
  <c r="R1641" i="34"/>
  <c r="V1641" i="34"/>
  <c r="AA1641" i="34"/>
  <c r="P1641" i="34"/>
  <c r="Q1641" i="34"/>
  <c r="R1633" i="34"/>
  <c r="V1633" i="34"/>
  <c r="AA1633" i="34"/>
  <c r="P1633" i="34"/>
  <c r="Q1633" i="34"/>
  <c r="R1625" i="34"/>
  <c r="V1625" i="34"/>
  <c r="AA1625" i="34"/>
  <c r="P1625" i="34"/>
  <c r="Q1625" i="34"/>
  <c r="R1617" i="34"/>
  <c r="V1617" i="34"/>
  <c r="AA1617" i="34"/>
  <c r="P1617" i="34"/>
  <c r="Q1617" i="34"/>
  <c r="R1609" i="34"/>
  <c r="V1609" i="34"/>
  <c r="AA1609" i="34"/>
  <c r="P1609" i="34"/>
  <c r="Q1609" i="34"/>
  <c r="R1601" i="34"/>
  <c r="V1601" i="34"/>
  <c r="AA1601" i="34"/>
  <c r="P1601" i="34"/>
  <c r="Q1601" i="34"/>
  <c r="R1593" i="34"/>
  <c r="V1593" i="34"/>
  <c r="AA1593" i="34"/>
  <c r="P1593" i="34"/>
  <c r="Q1593" i="34"/>
  <c r="R1585" i="34"/>
  <c r="V1585" i="34"/>
  <c r="AA1585" i="34"/>
  <c r="P1585" i="34"/>
  <c r="Q1585" i="34"/>
  <c r="R1581" i="34"/>
  <c r="V1581" i="34"/>
  <c r="AA1581" i="34"/>
  <c r="P1581" i="34"/>
  <c r="Q1581" i="34"/>
  <c r="R1579" i="34"/>
  <c r="V1579" i="34"/>
  <c r="AA1579" i="34"/>
  <c r="P1579" i="34"/>
  <c r="Q1579" i="34"/>
  <c r="R1577" i="34"/>
  <c r="V1577" i="34"/>
  <c r="AA1577" i="34"/>
  <c r="P1577" i="34"/>
  <c r="Q1577" i="34"/>
  <c r="R1575" i="34"/>
  <c r="V1575" i="34"/>
  <c r="AA1575" i="34"/>
  <c r="P1575" i="34"/>
  <c r="Q1575" i="34"/>
  <c r="R1573" i="34"/>
  <c r="V1573" i="34"/>
  <c r="AA1573" i="34"/>
  <c r="P1573" i="34"/>
  <c r="Q1573" i="34"/>
  <c r="R1571" i="34"/>
  <c r="V1571" i="34"/>
  <c r="AA1571" i="34"/>
  <c r="P1571" i="34"/>
  <c r="Q1571" i="34"/>
  <c r="R1569" i="34"/>
  <c r="V1569" i="34"/>
  <c r="AA1569" i="34"/>
  <c r="P1569" i="34"/>
  <c r="Q1569" i="34"/>
  <c r="R1567" i="34"/>
  <c r="Q1567" i="34"/>
  <c r="V1567" i="34"/>
  <c r="AA1567" i="34"/>
  <c r="P1567" i="34"/>
  <c r="R1565" i="34"/>
  <c r="V1565" i="34"/>
  <c r="P1565" i="34"/>
  <c r="AA1565" i="34"/>
  <c r="Q1565" i="34"/>
  <c r="R1563" i="34"/>
  <c r="V1563" i="34"/>
  <c r="P1563" i="34"/>
  <c r="AA1563" i="34"/>
  <c r="Q1563" i="34"/>
  <c r="R1561" i="34"/>
  <c r="V1561" i="34"/>
  <c r="P1561" i="34"/>
  <c r="AA1561" i="34"/>
  <c r="Q1561" i="34"/>
  <c r="R1559" i="34"/>
  <c r="V1559" i="34"/>
  <c r="P1559" i="34"/>
  <c r="AA1559" i="34"/>
  <c r="Q1559" i="34"/>
  <c r="R1557" i="34"/>
  <c r="V1557" i="34"/>
  <c r="P1557" i="34"/>
  <c r="AA1557" i="34"/>
  <c r="Q1557" i="34"/>
  <c r="R1555" i="34"/>
  <c r="V1555" i="34"/>
  <c r="P1555" i="34"/>
  <c r="AA1555" i="34"/>
  <c r="Q1555" i="34"/>
  <c r="R1553" i="34"/>
  <c r="V1553" i="34"/>
  <c r="P1553" i="34"/>
  <c r="AA1553" i="34"/>
  <c r="Q1553" i="34"/>
  <c r="R1551" i="34"/>
  <c r="V1551" i="34"/>
  <c r="P1551" i="34"/>
  <c r="AA1551" i="34"/>
  <c r="Q1551" i="34"/>
  <c r="R1549" i="34"/>
  <c r="V1549" i="34"/>
  <c r="P1549" i="34"/>
  <c r="AA1549" i="34"/>
  <c r="Q1549" i="34"/>
  <c r="R1547" i="34"/>
  <c r="V1547" i="34"/>
  <c r="P1547" i="34"/>
  <c r="AA1547" i="34"/>
  <c r="Q1547" i="34"/>
  <c r="R1545" i="34"/>
  <c r="V1545" i="34"/>
  <c r="P1545" i="34"/>
  <c r="AA1545" i="34"/>
  <c r="Q1545" i="34"/>
  <c r="R1543" i="34"/>
  <c r="V1543" i="34"/>
  <c r="P1543" i="34"/>
  <c r="AA1543" i="34"/>
  <c r="Q1543" i="34"/>
  <c r="R1541" i="34"/>
  <c r="V1541" i="34"/>
  <c r="P1541" i="34"/>
  <c r="AA1541" i="34"/>
  <c r="Q1541" i="34"/>
  <c r="R1539" i="34"/>
  <c r="V1539" i="34"/>
  <c r="P1539" i="34"/>
  <c r="AA1539" i="34"/>
  <c r="Q1539" i="34"/>
  <c r="R1537" i="34"/>
  <c r="V1537" i="34"/>
  <c r="P1537" i="34"/>
  <c r="AA1537" i="34"/>
  <c r="Q1537" i="34"/>
  <c r="R1535" i="34"/>
  <c r="V1535" i="34"/>
  <c r="P1535" i="34"/>
  <c r="AA1535" i="34"/>
  <c r="Q1535" i="34"/>
  <c r="R1533" i="34"/>
  <c r="V1533" i="34"/>
  <c r="P1533" i="34"/>
  <c r="AA1533" i="34"/>
  <c r="Q1533" i="34"/>
  <c r="R1531" i="34"/>
  <c r="V1531" i="34"/>
  <c r="P1531" i="34"/>
  <c r="AA1531" i="34"/>
  <c r="Q1531" i="34"/>
  <c r="R1529" i="34"/>
  <c r="V1529" i="34"/>
  <c r="P1529" i="34"/>
  <c r="Q1529" i="34"/>
  <c r="AA1529" i="34"/>
  <c r="R1527" i="34"/>
  <c r="V1527" i="34"/>
  <c r="P1527" i="34"/>
  <c r="Q1527" i="34"/>
  <c r="AA1527" i="34"/>
  <c r="R1525" i="34"/>
  <c r="V1525" i="34"/>
  <c r="P1525" i="34"/>
  <c r="Q1525" i="34"/>
  <c r="AA1525" i="34"/>
  <c r="R1523" i="34"/>
  <c r="V1523" i="34"/>
  <c r="P1523" i="34"/>
  <c r="Q1523" i="34"/>
  <c r="AA1523" i="34"/>
  <c r="R1521" i="34"/>
  <c r="V1521" i="34"/>
  <c r="P1521" i="34"/>
  <c r="Q1521" i="34"/>
  <c r="AA1521" i="34"/>
  <c r="R1519" i="34"/>
  <c r="V1519" i="34"/>
  <c r="P1519" i="34"/>
  <c r="Q1519" i="34"/>
  <c r="AA1519" i="34"/>
  <c r="R1517" i="34"/>
  <c r="V1517" i="34"/>
  <c r="P1517" i="34"/>
  <c r="Q1517" i="34"/>
  <c r="AA1517" i="34"/>
  <c r="R1515" i="34"/>
  <c r="V1515" i="34"/>
  <c r="P1515" i="34"/>
  <c r="Q1515" i="34"/>
  <c r="AA1515" i="34"/>
  <c r="R1513" i="34"/>
  <c r="V1513" i="34"/>
  <c r="P1513" i="34"/>
  <c r="Q1513" i="34"/>
  <c r="AA1513" i="34"/>
  <c r="R1511" i="34"/>
  <c r="V1511" i="34"/>
  <c r="P1511" i="34"/>
  <c r="Q1511" i="34"/>
  <c r="AA1511" i="34"/>
  <c r="R1509" i="34"/>
  <c r="V1509" i="34"/>
  <c r="P1509" i="34"/>
  <c r="Q1509" i="34"/>
  <c r="AA1509" i="34"/>
  <c r="R1507" i="34"/>
  <c r="V1507" i="34"/>
  <c r="P1507" i="34"/>
  <c r="Q1507" i="34"/>
  <c r="AA1507" i="34"/>
  <c r="R1505" i="34"/>
  <c r="V1505" i="34"/>
  <c r="P1505" i="34"/>
  <c r="Q1505" i="34"/>
  <c r="AA1505" i="34"/>
  <c r="R1503" i="34"/>
  <c r="V1503" i="34"/>
  <c r="P1503" i="34"/>
  <c r="Q1503" i="34"/>
  <c r="AA1503" i="34"/>
  <c r="R1501" i="34"/>
  <c r="V1501" i="34"/>
  <c r="P1501" i="34"/>
  <c r="Q1501" i="34"/>
  <c r="AA1501" i="34"/>
  <c r="R1499" i="34"/>
  <c r="V1499" i="34"/>
  <c r="P1499" i="34"/>
  <c r="Q1499" i="34"/>
  <c r="AA1499" i="34"/>
  <c r="R1497" i="34"/>
  <c r="V1497" i="34"/>
  <c r="P1497" i="34"/>
  <c r="Q1497" i="34"/>
  <c r="AA1497" i="34"/>
  <c r="R1495" i="34"/>
  <c r="V1495" i="34"/>
  <c r="P1495" i="34"/>
  <c r="Q1495" i="34"/>
  <c r="AA1495" i="34"/>
  <c r="R1493" i="34"/>
  <c r="V1493" i="34"/>
  <c r="P1493" i="34"/>
  <c r="Q1493" i="34"/>
  <c r="AA1493" i="34"/>
  <c r="R1491" i="34"/>
  <c r="V1491" i="34"/>
  <c r="AA1491" i="34"/>
  <c r="P1491" i="34"/>
  <c r="Q1491" i="34"/>
  <c r="R1489" i="34"/>
  <c r="V1489" i="34"/>
  <c r="AA1489" i="34"/>
  <c r="P1489" i="34"/>
  <c r="Q1489" i="34"/>
  <c r="R1487" i="34"/>
  <c r="V1487" i="34"/>
  <c r="AA1487" i="34"/>
  <c r="P1487" i="34"/>
  <c r="Q1487" i="34"/>
  <c r="R1485" i="34"/>
  <c r="V1485" i="34"/>
  <c r="AA1485" i="34"/>
  <c r="P1485" i="34"/>
  <c r="Q1485" i="34"/>
  <c r="R1483" i="34"/>
  <c r="V1483" i="34"/>
  <c r="AA1483" i="34"/>
  <c r="P1483" i="34"/>
  <c r="Q1483" i="34"/>
  <c r="R1481" i="34"/>
  <c r="V1481" i="34"/>
  <c r="AA1481" i="34"/>
  <c r="P1481" i="34"/>
  <c r="Q1481" i="34"/>
  <c r="R1479" i="34"/>
  <c r="V1479" i="34"/>
  <c r="AA1479" i="34"/>
  <c r="P1479" i="34"/>
  <c r="Q1479" i="34"/>
  <c r="R1477" i="34"/>
  <c r="V1477" i="34"/>
  <c r="AA1477" i="34"/>
  <c r="P1477" i="34"/>
  <c r="Q1477" i="34"/>
  <c r="R1475" i="34"/>
  <c r="V1475" i="34"/>
  <c r="AA1475" i="34"/>
  <c r="P1475" i="34"/>
  <c r="Q1475" i="34"/>
  <c r="R1473" i="34"/>
  <c r="V1473" i="34"/>
  <c r="AA1473" i="34"/>
  <c r="P1473" i="34"/>
  <c r="Q1473" i="34"/>
  <c r="R1471" i="34"/>
  <c r="V1471" i="34"/>
  <c r="AA1471" i="34"/>
  <c r="P1471" i="34"/>
  <c r="Q1471" i="34"/>
  <c r="R1469" i="34"/>
  <c r="V1469" i="34"/>
  <c r="AA1469" i="34"/>
  <c r="P1469" i="34"/>
  <c r="Q1469" i="34"/>
  <c r="R1467" i="34"/>
  <c r="V1467" i="34"/>
  <c r="AA1467" i="34"/>
  <c r="P1467" i="34"/>
  <c r="Q1467" i="34"/>
  <c r="R1465" i="34"/>
  <c r="V1465" i="34"/>
  <c r="AA1465" i="34"/>
  <c r="P1465" i="34"/>
  <c r="Q1465" i="34"/>
  <c r="R1463" i="34"/>
  <c r="V1463" i="34"/>
  <c r="AA1463" i="34"/>
  <c r="P1463" i="34"/>
  <c r="Q1463" i="34"/>
  <c r="R1461" i="34"/>
  <c r="V1461" i="34"/>
  <c r="AA1461" i="34"/>
  <c r="P1461" i="34"/>
  <c r="Q1461" i="34"/>
  <c r="P1458" i="34"/>
  <c r="Q1458" i="34"/>
  <c r="R1458" i="34"/>
  <c r="V1458" i="34"/>
  <c r="AA1458" i="34"/>
  <c r="R1453" i="34"/>
  <c r="V1453" i="34"/>
  <c r="AA1453" i="34"/>
  <c r="P1453" i="34"/>
  <c r="Q1453" i="34"/>
  <c r="R1451" i="34"/>
  <c r="V1451" i="34"/>
  <c r="AA1451" i="34"/>
  <c r="P1451" i="34"/>
  <c r="Q1451" i="34"/>
  <c r="R1449" i="34"/>
  <c r="V1449" i="34"/>
  <c r="AA1449" i="34"/>
  <c r="P1449" i="34"/>
  <c r="Q1449" i="34"/>
  <c r="R1447" i="34"/>
  <c r="V1447" i="34"/>
  <c r="AA1447" i="34"/>
  <c r="P1447" i="34"/>
  <c r="Q1447" i="34"/>
  <c r="R1445" i="34"/>
  <c r="V1445" i="34"/>
  <c r="AA1445" i="34"/>
  <c r="P1445" i="34"/>
  <c r="Q1445" i="34"/>
  <c r="P1756" i="34"/>
  <c r="Q1756" i="34"/>
  <c r="R1756" i="34"/>
  <c r="V1756" i="34"/>
  <c r="AA1756" i="34"/>
  <c r="P1754" i="34"/>
  <c r="Q1754" i="34"/>
  <c r="R1754" i="34"/>
  <c r="V1754" i="34"/>
  <c r="AA1754" i="34"/>
  <c r="P1752" i="34"/>
  <c r="Q1752" i="34"/>
  <c r="R1752" i="34"/>
  <c r="V1752" i="34"/>
  <c r="AA1752" i="34"/>
  <c r="P1750" i="34"/>
  <c r="Q1750" i="34"/>
  <c r="R1750" i="34"/>
  <c r="V1750" i="34"/>
  <c r="AA1750" i="34"/>
  <c r="P1748" i="34"/>
  <c r="Q1748" i="34"/>
  <c r="R1748" i="34"/>
  <c r="V1748" i="34"/>
  <c r="AA1748" i="34"/>
  <c r="P1746" i="34"/>
  <c r="Q1746" i="34"/>
  <c r="R1746" i="34"/>
  <c r="V1746" i="34"/>
  <c r="AA1746" i="34"/>
  <c r="P1744" i="34"/>
  <c r="Q1744" i="34"/>
  <c r="R1744" i="34"/>
  <c r="V1744" i="34"/>
  <c r="AA1744" i="34"/>
  <c r="P1742" i="34"/>
  <c r="Q1742" i="34"/>
  <c r="R1742" i="34"/>
  <c r="V1742" i="34"/>
  <c r="AA1742" i="34"/>
  <c r="P1740" i="34"/>
  <c r="Q1740" i="34"/>
  <c r="R1740" i="34"/>
  <c r="V1740" i="34"/>
  <c r="AA1740" i="34"/>
  <c r="P1738" i="34"/>
  <c r="Q1738" i="34"/>
  <c r="R1738" i="34"/>
  <c r="V1738" i="34"/>
  <c r="AA1738" i="34"/>
  <c r="P1736" i="34"/>
  <c r="Q1736" i="34"/>
  <c r="R1736" i="34"/>
  <c r="V1736" i="34"/>
  <c r="AA1736" i="34"/>
  <c r="P1734" i="34"/>
  <c r="Q1734" i="34"/>
  <c r="R1734" i="34"/>
  <c r="V1734" i="34"/>
  <c r="AA1734" i="34"/>
  <c r="P1732" i="34"/>
  <c r="Q1732" i="34"/>
  <c r="R1732" i="34"/>
  <c r="V1732" i="34"/>
  <c r="AA1732" i="34"/>
  <c r="P1730" i="34"/>
  <c r="Q1730" i="34"/>
  <c r="R1730" i="34"/>
  <c r="V1730" i="34"/>
  <c r="AA1730" i="34"/>
  <c r="P1728" i="34"/>
  <c r="Q1728" i="34"/>
  <c r="R1728" i="34"/>
  <c r="V1728" i="34"/>
  <c r="AA1728" i="34"/>
  <c r="P1726" i="34"/>
  <c r="Q1726" i="34"/>
  <c r="R1726" i="34"/>
  <c r="V1726" i="34"/>
  <c r="AA1726" i="34"/>
  <c r="P1724" i="34"/>
  <c r="Q1724" i="34"/>
  <c r="R1724" i="34"/>
  <c r="V1724" i="34"/>
  <c r="AA1724" i="34"/>
  <c r="P1722" i="34"/>
  <c r="Q1722" i="34"/>
  <c r="R1722" i="34"/>
  <c r="V1722" i="34"/>
  <c r="AA1722" i="34"/>
  <c r="P1720" i="34"/>
  <c r="Q1720" i="34"/>
  <c r="R1720" i="34"/>
  <c r="V1720" i="34"/>
  <c r="AA1720" i="34"/>
  <c r="P1718" i="34"/>
  <c r="Q1718" i="34"/>
  <c r="R1718" i="34"/>
  <c r="V1718" i="34"/>
  <c r="AA1718" i="34"/>
  <c r="P1716" i="34"/>
  <c r="Q1716" i="34"/>
  <c r="R1716" i="34"/>
  <c r="V1716" i="34"/>
  <c r="AA1716" i="34"/>
  <c r="P1714" i="34"/>
  <c r="Q1714" i="34"/>
  <c r="R1714" i="34"/>
  <c r="V1714" i="34"/>
  <c r="AA1714" i="34"/>
  <c r="P1712" i="34"/>
  <c r="Q1712" i="34"/>
  <c r="R1712" i="34"/>
  <c r="V1712" i="34"/>
  <c r="AA1712" i="34"/>
  <c r="P1710" i="34"/>
  <c r="Q1710" i="34"/>
  <c r="R1710" i="34"/>
  <c r="V1710" i="34"/>
  <c r="AA1710" i="34"/>
  <c r="P1708" i="34"/>
  <c r="Q1708" i="34"/>
  <c r="R1708" i="34"/>
  <c r="V1708" i="34"/>
  <c r="AA1708" i="34"/>
  <c r="P1706" i="34"/>
  <c r="Q1706" i="34"/>
  <c r="R1706" i="34"/>
  <c r="V1706" i="34"/>
  <c r="AA1706" i="34"/>
  <c r="P1704" i="34"/>
  <c r="Q1704" i="34"/>
  <c r="R1704" i="34"/>
  <c r="V1704" i="34"/>
  <c r="AA1704" i="34"/>
  <c r="P1702" i="34"/>
  <c r="Q1702" i="34"/>
  <c r="R1702" i="34"/>
  <c r="V1702" i="34"/>
  <c r="AA1702" i="34"/>
  <c r="P1700" i="34"/>
  <c r="Q1700" i="34"/>
  <c r="R1700" i="34"/>
  <c r="V1700" i="34"/>
  <c r="AA1700" i="34"/>
  <c r="P1698" i="34"/>
  <c r="Q1698" i="34"/>
  <c r="R1698" i="34"/>
  <c r="V1698" i="34"/>
  <c r="AA1698" i="34"/>
  <c r="P1696" i="34"/>
  <c r="Q1696" i="34"/>
  <c r="R1696" i="34"/>
  <c r="V1696" i="34"/>
  <c r="AA1696" i="34"/>
  <c r="P1694" i="34"/>
  <c r="Q1694" i="34"/>
  <c r="R1694" i="34"/>
  <c r="V1694" i="34"/>
  <c r="AA1694" i="34"/>
  <c r="P1692" i="34"/>
  <c r="Q1692" i="34"/>
  <c r="R1692" i="34"/>
  <c r="V1692" i="34"/>
  <c r="AA1692" i="34"/>
  <c r="P1690" i="34"/>
  <c r="Q1690" i="34"/>
  <c r="R1690" i="34"/>
  <c r="V1690" i="34"/>
  <c r="AA1690" i="34"/>
  <c r="P1688" i="34"/>
  <c r="Q1688" i="34"/>
  <c r="R1688" i="34"/>
  <c r="V1688" i="34"/>
  <c r="AA1688" i="34"/>
  <c r="P1686" i="34"/>
  <c r="Q1686" i="34"/>
  <c r="R1686" i="34"/>
  <c r="V1686" i="34"/>
  <c r="AA1686" i="34"/>
  <c r="P1684" i="34"/>
  <c r="Q1684" i="34"/>
  <c r="R1684" i="34"/>
  <c r="V1684" i="34"/>
  <c r="AA1684" i="34"/>
  <c r="P1682" i="34"/>
  <c r="Q1682" i="34"/>
  <c r="R1682" i="34"/>
  <c r="V1682" i="34"/>
  <c r="AA1682" i="34"/>
  <c r="P1680" i="34"/>
  <c r="Q1680" i="34"/>
  <c r="R1680" i="34"/>
  <c r="V1680" i="34"/>
  <c r="AA1680" i="34"/>
  <c r="P1678" i="34"/>
  <c r="Q1678" i="34"/>
  <c r="R1678" i="34"/>
  <c r="V1678" i="34"/>
  <c r="AA1678" i="34"/>
  <c r="P1676" i="34"/>
  <c r="Q1676" i="34"/>
  <c r="R1676" i="34"/>
  <c r="V1676" i="34"/>
  <c r="AA1676" i="34"/>
  <c r="P1674" i="34"/>
  <c r="Q1674" i="34"/>
  <c r="R1674" i="34"/>
  <c r="V1674" i="34"/>
  <c r="AA1674" i="34"/>
  <c r="P1672" i="34"/>
  <c r="Q1672" i="34"/>
  <c r="R1672" i="34"/>
  <c r="V1672" i="34"/>
  <c r="AA1672" i="34"/>
  <c r="P1670" i="34"/>
  <c r="Q1670" i="34"/>
  <c r="R1670" i="34"/>
  <c r="V1670" i="34"/>
  <c r="AA1670" i="34"/>
  <c r="P1668" i="34"/>
  <c r="Q1668" i="34"/>
  <c r="R1668" i="34"/>
  <c r="V1668" i="34"/>
  <c r="AA1668" i="34"/>
  <c r="P1666" i="34"/>
  <c r="Q1666" i="34"/>
  <c r="R1666" i="34"/>
  <c r="V1666" i="34"/>
  <c r="AA1666" i="34"/>
  <c r="P1664" i="34"/>
  <c r="Q1664" i="34"/>
  <c r="R1664" i="34"/>
  <c r="V1664" i="34"/>
  <c r="AA1664" i="34"/>
  <c r="P1662" i="34"/>
  <c r="Q1662" i="34"/>
  <c r="R1662" i="34"/>
  <c r="V1662" i="34"/>
  <c r="AA1662" i="34"/>
  <c r="P1660" i="34"/>
  <c r="Q1660" i="34"/>
  <c r="R1660" i="34"/>
  <c r="V1660" i="34"/>
  <c r="AA1660" i="34"/>
  <c r="P1658" i="34"/>
  <c r="Q1658" i="34"/>
  <c r="R1658" i="34"/>
  <c r="V1658" i="34"/>
  <c r="AA1658" i="34"/>
  <c r="P1656" i="34"/>
  <c r="Q1656" i="34"/>
  <c r="R1656" i="34"/>
  <c r="V1656" i="34"/>
  <c r="AA1656" i="34"/>
  <c r="P1654" i="34"/>
  <c r="Q1654" i="34"/>
  <c r="R1654" i="34"/>
  <c r="V1654" i="34"/>
  <c r="AA1654" i="34"/>
  <c r="P1652" i="34"/>
  <c r="Q1652" i="34"/>
  <c r="R1652" i="34"/>
  <c r="V1652" i="34"/>
  <c r="AA1652" i="34"/>
  <c r="P1650" i="34"/>
  <c r="Q1650" i="34"/>
  <c r="R1650" i="34"/>
  <c r="V1650" i="34"/>
  <c r="AA1650" i="34"/>
  <c r="P1648" i="34"/>
  <c r="Q1648" i="34"/>
  <c r="R1648" i="34"/>
  <c r="V1648" i="34"/>
  <c r="AA1648" i="34"/>
  <c r="P1646" i="34"/>
  <c r="Q1646" i="34"/>
  <c r="R1646" i="34"/>
  <c r="V1646" i="34"/>
  <c r="AA1646" i="34"/>
  <c r="P1644" i="34"/>
  <c r="Q1644" i="34"/>
  <c r="R1644" i="34"/>
  <c r="V1644" i="34"/>
  <c r="AA1644" i="34"/>
  <c r="P1642" i="34"/>
  <c r="Q1642" i="34"/>
  <c r="R1642" i="34"/>
  <c r="V1642" i="34"/>
  <c r="AA1642" i="34"/>
  <c r="P1640" i="34"/>
  <c r="Q1640" i="34"/>
  <c r="R1640" i="34"/>
  <c r="V1640" i="34"/>
  <c r="AA1640" i="34"/>
  <c r="P1638" i="34"/>
  <c r="Q1638" i="34"/>
  <c r="R1638" i="34"/>
  <c r="V1638" i="34"/>
  <c r="AA1638" i="34"/>
  <c r="P1636" i="34"/>
  <c r="Q1636" i="34"/>
  <c r="R1636" i="34"/>
  <c r="V1636" i="34"/>
  <c r="AA1636" i="34"/>
  <c r="P1634" i="34"/>
  <c r="Q1634" i="34"/>
  <c r="R1634" i="34"/>
  <c r="V1634" i="34"/>
  <c r="AA1634" i="34"/>
  <c r="P1632" i="34"/>
  <c r="Q1632" i="34"/>
  <c r="R1632" i="34"/>
  <c r="V1632" i="34"/>
  <c r="AA1632" i="34"/>
  <c r="P1630" i="34"/>
  <c r="Q1630" i="34"/>
  <c r="R1630" i="34"/>
  <c r="V1630" i="34"/>
  <c r="AA1630" i="34"/>
  <c r="P1628" i="34"/>
  <c r="Q1628" i="34"/>
  <c r="R1628" i="34"/>
  <c r="V1628" i="34"/>
  <c r="AA1628" i="34"/>
  <c r="P1626" i="34"/>
  <c r="Q1626" i="34"/>
  <c r="R1626" i="34"/>
  <c r="V1626" i="34"/>
  <c r="AA1626" i="34"/>
  <c r="P1624" i="34"/>
  <c r="Q1624" i="34"/>
  <c r="R1624" i="34"/>
  <c r="V1624" i="34"/>
  <c r="AA1624" i="34"/>
  <c r="P1622" i="34"/>
  <c r="Q1622" i="34"/>
  <c r="R1622" i="34"/>
  <c r="V1622" i="34"/>
  <c r="AA1622" i="34"/>
  <c r="P1620" i="34"/>
  <c r="Q1620" i="34"/>
  <c r="R1620" i="34"/>
  <c r="V1620" i="34"/>
  <c r="AA1620" i="34"/>
  <c r="P1618" i="34"/>
  <c r="Q1618" i="34"/>
  <c r="R1618" i="34"/>
  <c r="V1618" i="34"/>
  <c r="AA1618" i="34"/>
  <c r="P1616" i="34"/>
  <c r="Q1616" i="34"/>
  <c r="R1616" i="34"/>
  <c r="V1616" i="34"/>
  <c r="AA1616" i="34"/>
  <c r="P1614" i="34"/>
  <c r="Q1614" i="34"/>
  <c r="R1614" i="34"/>
  <c r="V1614" i="34"/>
  <c r="AA1614" i="34"/>
  <c r="P1612" i="34"/>
  <c r="Q1612" i="34"/>
  <c r="R1612" i="34"/>
  <c r="V1612" i="34"/>
  <c r="AA1612" i="34"/>
  <c r="P1610" i="34"/>
  <c r="Q1610" i="34"/>
  <c r="R1610" i="34"/>
  <c r="V1610" i="34"/>
  <c r="AA1610" i="34"/>
  <c r="P1608" i="34"/>
  <c r="Q1608" i="34"/>
  <c r="R1608" i="34"/>
  <c r="V1608" i="34"/>
  <c r="AA1608" i="34"/>
  <c r="P1606" i="34"/>
  <c r="Q1606" i="34"/>
  <c r="R1606" i="34"/>
  <c r="V1606" i="34"/>
  <c r="AA1606" i="34"/>
  <c r="P1604" i="34"/>
  <c r="Q1604" i="34"/>
  <c r="R1604" i="34"/>
  <c r="V1604" i="34"/>
  <c r="AA1604" i="34"/>
  <c r="P1602" i="34"/>
  <c r="Q1602" i="34"/>
  <c r="R1602" i="34"/>
  <c r="V1602" i="34"/>
  <c r="AA1602" i="34"/>
  <c r="P1600" i="34"/>
  <c r="Q1600" i="34"/>
  <c r="R1600" i="34"/>
  <c r="V1600" i="34"/>
  <c r="AA1600" i="34"/>
  <c r="P1598" i="34"/>
  <c r="Q1598" i="34"/>
  <c r="R1598" i="34"/>
  <c r="V1598" i="34"/>
  <c r="AA1598" i="34"/>
  <c r="P1596" i="34"/>
  <c r="Q1596" i="34"/>
  <c r="R1596" i="34"/>
  <c r="V1596" i="34"/>
  <c r="AA1596" i="34"/>
  <c r="P1594" i="34"/>
  <c r="Q1594" i="34"/>
  <c r="R1594" i="34"/>
  <c r="V1594" i="34"/>
  <c r="AA1594" i="34"/>
  <c r="P1592" i="34"/>
  <c r="Q1592" i="34"/>
  <c r="R1592" i="34"/>
  <c r="V1592" i="34"/>
  <c r="AA1592" i="34"/>
  <c r="P1590" i="34"/>
  <c r="Q1590" i="34"/>
  <c r="R1590" i="34"/>
  <c r="V1590" i="34"/>
  <c r="AA1590" i="34"/>
  <c r="P1588" i="34"/>
  <c r="Q1588" i="34"/>
  <c r="R1588" i="34"/>
  <c r="V1588" i="34"/>
  <c r="AA1588" i="34"/>
  <c r="P1586" i="34"/>
  <c r="Q1586" i="34"/>
  <c r="R1586" i="34"/>
  <c r="V1586" i="34"/>
  <c r="AA1586" i="34"/>
  <c r="P1584" i="34"/>
  <c r="Q1584" i="34"/>
  <c r="R1584" i="34"/>
  <c r="V1584" i="34"/>
  <c r="AA1584" i="34"/>
  <c r="R25" i="34"/>
  <c r="V25" i="34"/>
  <c r="AA25" i="34"/>
  <c r="P25" i="34"/>
  <c r="Q25" i="34"/>
  <c r="G46" i="55" a="1"/>
  <c r="G46" i="55" s="1"/>
  <c r="Y28" i="34"/>
  <c r="Z28" i="34"/>
  <c r="R31" i="34"/>
  <c r="V31" i="34"/>
  <c r="AA31" i="34"/>
  <c r="P31" i="34"/>
  <c r="Q31" i="34"/>
  <c r="P34" i="34"/>
  <c r="Q34" i="34"/>
  <c r="R34" i="34"/>
  <c r="V34" i="34"/>
  <c r="AA34" i="34"/>
  <c r="R37" i="34"/>
  <c r="V37" i="34"/>
  <c r="AA37" i="34"/>
  <c r="P37" i="34"/>
  <c r="Q37" i="34"/>
  <c r="P40" i="34"/>
  <c r="Q40" i="34"/>
  <c r="R40" i="34"/>
  <c r="V40" i="34"/>
  <c r="AA40" i="34"/>
  <c r="R43" i="34"/>
  <c r="V43" i="34"/>
  <c r="AA43" i="34"/>
  <c r="P43" i="34"/>
  <c r="Q43" i="34"/>
  <c r="P46" i="34"/>
  <c r="Q46" i="34"/>
  <c r="R46" i="34"/>
  <c r="V46" i="34"/>
  <c r="AA46" i="34"/>
  <c r="R49" i="34"/>
  <c r="V49" i="34"/>
  <c r="AA49" i="34"/>
  <c r="P49" i="34"/>
  <c r="Q49" i="34"/>
  <c r="P52" i="34"/>
  <c r="Q52" i="34"/>
  <c r="R52" i="34"/>
  <c r="V52" i="34"/>
  <c r="AA52" i="34"/>
  <c r="R55" i="34"/>
  <c r="V55" i="34"/>
  <c r="P55" i="34"/>
  <c r="Q55" i="34"/>
  <c r="AA55" i="34"/>
  <c r="P58" i="34"/>
  <c r="R58" i="34"/>
  <c r="V58" i="34"/>
  <c r="AA58" i="34"/>
  <c r="Q58" i="34"/>
  <c r="AA61" i="34"/>
  <c r="P61" i="34"/>
  <c r="Q61" i="34"/>
  <c r="R61" i="34"/>
  <c r="V61" i="34"/>
  <c r="R1751" i="34"/>
  <c r="V1751" i="34"/>
  <c r="AA1751" i="34"/>
  <c r="P1751" i="34"/>
  <c r="Q1751" i="34"/>
  <c r="R1743" i="34"/>
  <c r="V1743" i="34"/>
  <c r="AA1743" i="34"/>
  <c r="P1743" i="34"/>
  <c r="Q1743" i="34"/>
  <c r="R1735" i="34"/>
  <c r="V1735" i="34"/>
  <c r="AA1735" i="34"/>
  <c r="P1735" i="34"/>
  <c r="Q1735" i="34"/>
  <c r="R1727" i="34"/>
  <c r="V1727" i="34"/>
  <c r="AA1727" i="34"/>
  <c r="P1727" i="34"/>
  <c r="Q1727" i="34"/>
  <c r="R1719" i="34"/>
  <c r="V1719" i="34"/>
  <c r="AA1719" i="34"/>
  <c r="P1719" i="34"/>
  <c r="Q1719" i="34"/>
  <c r="R1711" i="34"/>
  <c r="V1711" i="34"/>
  <c r="AA1711" i="34"/>
  <c r="P1711" i="34"/>
  <c r="Q1711" i="34"/>
  <c r="R1703" i="34"/>
  <c r="V1703" i="34"/>
  <c r="AA1703" i="34"/>
  <c r="P1703" i="34"/>
  <c r="Q1703" i="34"/>
  <c r="R1695" i="34"/>
  <c r="V1695" i="34"/>
  <c r="AA1695" i="34"/>
  <c r="P1695" i="34"/>
  <c r="Q1695" i="34"/>
  <c r="R1687" i="34"/>
  <c r="V1687" i="34"/>
  <c r="AA1687" i="34"/>
  <c r="P1687" i="34"/>
  <c r="Q1687" i="34"/>
  <c r="R1679" i="34"/>
  <c r="V1679" i="34"/>
  <c r="AA1679" i="34"/>
  <c r="P1679" i="34"/>
  <c r="Q1679" i="34"/>
  <c r="R1671" i="34"/>
  <c r="V1671" i="34"/>
  <c r="AA1671" i="34"/>
  <c r="P1671" i="34"/>
  <c r="Q1671" i="34"/>
  <c r="R1663" i="34"/>
  <c r="V1663" i="34"/>
  <c r="AA1663" i="34"/>
  <c r="P1663" i="34"/>
  <c r="Q1663" i="34"/>
  <c r="R1655" i="34"/>
  <c r="V1655" i="34"/>
  <c r="AA1655" i="34"/>
  <c r="P1655" i="34"/>
  <c r="Q1655" i="34"/>
  <c r="R1647" i="34"/>
  <c r="V1647" i="34"/>
  <c r="AA1647" i="34"/>
  <c r="P1647" i="34"/>
  <c r="Q1647" i="34"/>
  <c r="R1639" i="34"/>
  <c r="V1639" i="34"/>
  <c r="AA1639" i="34"/>
  <c r="P1639" i="34"/>
  <c r="Q1639" i="34"/>
  <c r="R1631" i="34"/>
  <c r="V1631" i="34"/>
  <c r="AA1631" i="34"/>
  <c r="P1631" i="34"/>
  <c r="Q1631" i="34"/>
  <c r="R1623" i="34"/>
  <c r="V1623" i="34"/>
  <c r="AA1623" i="34"/>
  <c r="P1623" i="34"/>
  <c r="Q1623" i="34"/>
  <c r="R1615" i="34"/>
  <c r="V1615" i="34"/>
  <c r="AA1615" i="34"/>
  <c r="P1615" i="34"/>
  <c r="Q1615" i="34"/>
  <c r="R1607" i="34"/>
  <c r="V1607" i="34"/>
  <c r="AA1607" i="34"/>
  <c r="P1607" i="34"/>
  <c r="Q1607" i="34"/>
  <c r="R1599" i="34"/>
  <c r="V1599" i="34"/>
  <c r="AA1599" i="34"/>
  <c r="P1599" i="34"/>
  <c r="Q1599" i="34"/>
  <c r="R1591" i="34"/>
  <c r="V1591" i="34"/>
  <c r="AA1591" i="34"/>
  <c r="P1591" i="34"/>
  <c r="Q1591" i="34"/>
  <c r="R1583" i="34"/>
  <c r="V1583" i="34"/>
  <c r="AA1583" i="34"/>
  <c r="P1583" i="34"/>
  <c r="Q1583" i="34"/>
  <c r="P22" i="34"/>
  <c r="Q22" i="34"/>
  <c r="R22" i="34"/>
  <c r="V22" i="34"/>
  <c r="AA22" i="34"/>
  <c r="P26" i="34"/>
  <c r="Q26" i="34"/>
  <c r="R26" i="34"/>
  <c r="V26" i="34"/>
  <c r="AA26" i="34"/>
  <c r="Z31" i="34"/>
  <c r="Y31" i="34"/>
  <c r="Y34" i="34"/>
  <c r="Z34" i="34"/>
  <c r="Z37" i="34"/>
  <c r="Y37" i="34"/>
  <c r="Y40" i="34"/>
  <c r="Z40" i="34"/>
  <c r="Z43" i="34"/>
  <c r="Y43" i="34"/>
  <c r="Y46" i="34"/>
  <c r="Z46" i="34"/>
  <c r="Z49" i="34"/>
  <c r="Y49" i="34"/>
  <c r="Y52" i="34"/>
  <c r="Z52" i="34"/>
  <c r="Z55" i="34"/>
  <c r="Y55" i="34"/>
  <c r="Z58" i="34"/>
  <c r="Y58" i="34"/>
  <c r="Y61" i="34"/>
  <c r="Z61" i="34"/>
  <c r="R1757" i="34"/>
  <c r="V1757" i="34"/>
  <c r="AA1757" i="34"/>
  <c r="P1757" i="34"/>
  <c r="Q1757" i="34"/>
  <c r="R1749" i="34"/>
  <c r="V1749" i="34"/>
  <c r="AA1749" i="34"/>
  <c r="P1749" i="34"/>
  <c r="Q1749" i="34"/>
  <c r="R1741" i="34"/>
  <c r="V1741" i="34"/>
  <c r="AA1741" i="34"/>
  <c r="P1741" i="34"/>
  <c r="Q1741" i="34"/>
  <c r="R1733" i="34"/>
  <c r="V1733" i="34"/>
  <c r="AA1733" i="34"/>
  <c r="P1733" i="34"/>
  <c r="Q1733" i="34"/>
  <c r="R1725" i="34"/>
  <c r="V1725" i="34"/>
  <c r="AA1725" i="34"/>
  <c r="P1725" i="34"/>
  <c r="Q1725" i="34"/>
  <c r="R1717" i="34"/>
  <c r="V1717" i="34"/>
  <c r="AA1717" i="34"/>
  <c r="P1717" i="34"/>
  <c r="Q1717" i="34"/>
  <c r="R1709" i="34"/>
  <c r="V1709" i="34"/>
  <c r="AA1709" i="34"/>
  <c r="P1709" i="34"/>
  <c r="Q1709" i="34"/>
  <c r="R1701" i="34"/>
  <c r="V1701" i="34"/>
  <c r="AA1701" i="34"/>
  <c r="P1701" i="34"/>
  <c r="Q1701" i="34"/>
  <c r="R1693" i="34"/>
  <c r="V1693" i="34"/>
  <c r="AA1693" i="34"/>
  <c r="P1693" i="34"/>
  <c r="Q1693" i="34"/>
  <c r="R1685" i="34"/>
  <c r="V1685" i="34"/>
  <c r="AA1685" i="34"/>
  <c r="P1685" i="34"/>
  <c r="Q1685" i="34"/>
  <c r="R1677" i="34"/>
  <c r="V1677" i="34"/>
  <c r="AA1677" i="34"/>
  <c r="P1677" i="34"/>
  <c r="Q1677" i="34"/>
  <c r="R1669" i="34"/>
  <c r="V1669" i="34"/>
  <c r="AA1669" i="34"/>
  <c r="P1669" i="34"/>
  <c r="Q1669" i="34"/>
  <c r="R1661" i="34"/>
  <c r="V1661" i="34"/>
  <c r="AA1661" i="34"/>
  <c r="P1661" i="34"/>
  <c r="Q1661" i="34"/>
  <c r="R1653" i="34"/>
  <c r="V1653" i="34"/>
  <c r="AA1653" i="34"/>
  <c r="P1653" i="34"/>
  <c r="Q1653" i="34"/>
  <c r="R1645" i="34"/>
  <c r="V1645" i="34"/>
  <c r="AA1645" i="34"/>
  <c r="P1645" i="34"/>
  <c r="Q1645" i="34"/>
  <c r="R1637" i="34"/>
  <c r="V1637" i="34"/>
  <c r="AA1637" i="34"/>
  <c r="P1637" i="34"/>
  <c r="Q1637" i="34"/>
  <c r="R1629" i="34"/>
  <c r="V1629" i="34"/>
  <c r="AA1629" i="34"/>
  <c r="P1629" i="34"/>
  <c r="Q1629" i="34"/>
  <c r="R1621" i="34"/>
  <c r="V1621" i="34"/>
  <c r="AA1621" i="34"/>
  <c r="P1621" i="34"/>
  <c r="Q1621" i="34"/>
  <c r="R1613" i="34"/>
  <c r="V1613" i="34"/>
  <c r="AA1613" i="34"/>
  <c r="P1613" i="34"/>
  <c r="Q1613" i="34"/>
  <c r="R1605" i="34"/>
  <c r="V1605" i="34"/>
  <c r="AA1605" i="34"/>
  <c r="P1605" i="34"/>
  <c r="Q1605" i="34"/>
  <c r="R1597" i="34"/>
  <c r="V1597" i="34"/>
  <c r="AA1597" i="34"/>
  <c r="P1597" i="34"/>
  <c r="Q1597" i="34"/>
  <c r="R1589" i="34"/>
  <c r="V1589" i="34"/>
  <c r="AA1589" i="34"/>
  <c r="P1589" i="34"/>
  <c r="Q1589" i="34"/>
  <c r="P1582" i="34"/>
  <c r="Q1582" i="34"/>
  <c r="R1582" i="34"/>
  <c r="V1582" i="34"/>
  <c r="AA1582" i="34"/>
  <c r="P1580" i="34"/>
  <c r="Q1580" i="34"/>
  <c r="R1580" i="34"/>
  <c r="V1580" i="34"/>
  <c r="AA1580" i="34"/>
  <c r="P1578" i="34"/>
  <c r="Q1578" i="34"/>
  <c r="R1578" i="34"/>
  <c r="V1578" i="34"/>
  <c r="AA1578" i="34"/>
  <c r="P1576" i="34"/>
  <c r="Q1576" i="34"/>
  <c r="R1576" i="34"/>
  <c r="V1576" i="34"/>
  <c r="AA1576" i="34"/>
  <c r="P1574" i="34"/>
  <c r="Q1574" i="34"/>
  <c r="R1574" i="34"/>
  <c r="V1574" i="34"/>
  <c r="AA1574" i="34"/>
  <c r="P1572" i="34"/>
  <c r="Q1572" i="34"/>
  <c r="R1572" i="34"/>
  <c r="V1572" i="34"/>
  <c r="AA1572" i="34"/>
  <c r="P1570" i="34"/>
  <c r="Q1570" i="34"/>
  <c r="R1570" i="34"/>
  <c r="V1570" i="34"/>
  <c r="AA1570" i="34"/>
  <c r="P1568" i="34"/>
  <c r="Q1568" i="34"/>
  <c r="R1568" i="34"/>
  <c r="V1568" i="34"/>
  <c r="AA1568" i="34"/>
  <c r="P1566" i="34"/>
  <c r="R1566" i="34"/>
  <c r="V1566" i="34"/>
  <c r="AA1566" i="34"/>
  <c r="Q1566" i="34"/>
  <c r="P1564" i="34"/>
  <c r="R1564" i="34"/>
  <c r="V1564" i="34"/>
  <c r="AA1564" i="34"/>
  <c r="Q1564" i="34"/>
  <c r="P1562" i="34"/>
  <c r="R1562" i="34"/>
  <c r="V1562" i="34"/>
  <c r="AA1562" i="34"/>
  <c r="Q1562" i="34"/>
  <c r="P1560" i="34"/>
  <c r="R1560" i="34"/>
  <c r="V1560" i="34"/>
  <c r="AA1560" i="34"/>
  <c r="Q1560" i="34"/>
  <c r="P1558" i="34"/>
  <c r="R1558" i="34"/>
  <c r="V1558" i="34"/>
  <c r="AA1558" i="34"/>
  <c r="Q1558" i="34"/>
  <c r="P1556" i="34"/>
  <c r="R1556" i="34"/>
  <c r="V1556" i="34"/>
  <c r="AA1556" i="34"/>
  <c r="Q1556" i="34"/>
  <c r="P1554" i="34"/>
  <c r="R1554" i="34"/>
  <c r="V1554" i="34"/>
  <c r="AA1554" i="34"/>
  <c r="Q1554" i="34"/>
  <c r="P1552" i="34"/>
  <c r="R1552" i="34"/>
  <c r="V1552" i="34"/>
  <c r="AA1552" i="34"/>
  <c r="Q1552" i="34"/>
  <c r="P1550" i="34"/>
  <c r="R1550" i="34"/>
  <c r="V1550" i="34"/>
  <c r="AA1550" i="34"/>
  <c r="Q1550" i="34"/>
  <c r="P1548" i="34"/>
  <c r="R1548" i="34"/>
  <c r="V1548" i="34"/>
  <c r="AA1548" i="34"/>
  <c r="Q1548" i="34"/>
  <c r="P1546" i="34"/>
  <c r="R1546" i="34"/>
  <c r="V1546" i="34"/>
  <c r="AA1546" i="34"/>
  <c r="Q1546" i="34"/>
  <c r="P1544" i="34"/>
  <c r="R1544" i="34"/>
  <c r="V1544" i="34"/>
  <c r="AA1544" i="34"/>
  <c r="Q1544" i="34"/>
  <c r="P1542" i="34"/>
  <c r="R1542" i="34"/>
  <c r="V1542" i="34"/>
  <c r="AA1542" i="34"/>
  <c r="Q1542" i="34"/>
  <c r="P1540" i="34"/>
  <c r="R1540" i="34"/>
  <c r="V1540" i="34"/>
  <c r="AA1540" i="34"/>
  <c r="Q1540" i="34"/>
  <c r="P1538" i="34"/>
  <c r="R1538" i="34"/>
  <c r="V1538" i="34"/>
  <c r="AA1538" i="34"/>
  <c r="Q1538" i="34"/>
  <c r="P1536" i="34"/>
  <c r="R1536" i="34"/>
  <c r="V1536" i="34"/>
  <c r="AA1536" i="34"/>
  <c r="Q1536" i="34"/>
  <c r="P1534" i="34"/>
  <c r="R1534" i="34"/>
  <c r="V1534" i="34"/>
  <c r="AA1534" i="34"/>
  <c r="Q1534" i="34"/>
  <c r="P1532" i="34"/>
  <c r="R1532" i="34"/>
  <c r="V1532" i="34"/>
  <c r="AA1532" i="34"/>
  <c r="Q1532" i="34"/>
  <c r="P1530" i="34"/>
  <c r="R1530" i="34"/>
  <c r="V1530" i="34"/>
  <c r="AA1530" i="34"/>
  <c r="Q1530" i="34"/>
  <c r="P1528" i="34"/>
  <c r="R1528" i="34"/>
  <c r="V1528" i="34"/>
  <c r="AA1528" i="34"/>
  <c r="Q1528" i="34"/>
  <c r="P1526" i="34"/>
  <c r="R1526" i="34"/>
  <c r="V1526" i="34"/>
  <c r="AA1526" i="34"/>
  <c r="Q1526" i="34"/>
  <c r="P1524" i="34"/>
  <c r="R1524" i="34"/>
  <c r="V1524" i="34"/>
  <c r="AA1524" i="34"/>
  <c r="Q1524" i="34"/>
  <c r="P1522" i="34"/>
  <c r="R1522" i="34"/>
  <c r="V1522" i="34"/>
  <c r="AA1522" i="34"/>
  <c r="Q1522" i="34"/>
  <c r="P1520" i="34"/>
  <c r="R1520" i="34"/>
  <c r="V1520" i="34"/>
  <c r="AA1520" i="34"/>
  <c r="Q1520" i="34"/>
  <c r="P1518" i="34"/>
  <c r="R1518" i="34"/>
  <c r="V1518" i="34"/>
  <c r="AA1518" i="34"/>
  <c r="Q1518" i="34"/>
  <c r="P1516" i="34"/>
  <c r="R1516" i="34"/>
  <c r="V1516" i="34"/>
  <c r="AA1516" i="34"/>
  <c r="Q1516" i="34"/>
  <c r="P1514" i="34"/>
  <c r="R1514" i="34"/>
  <c r="V1514" i="34"/>
  <c r="AA1514" i="34"/>
  <c r="Q1514" i="34"/>
  <c r="P1512" i="34"/>
  <c r="R1512" i="34"/>
  <c r="V1512" i="34"/>
  <c r="AA1512" i="34"/>
  <c r="Q1512" i="34"/>
  <c r="P1510" i="34"/>
  <c r="R1510" i="34"/>
  <c r="V1510" i="34"/>
  <c r="AA1510" i="34"/>
  <c r="Q1510" i="34"/>
  <c r="P1508" i="34"/>
  <c r="R1508" i="34"/>
  <c r="V1508" i="34"/>
  <c r="AA1508" i="34"/>
  <c r="Q1508" i="34"/>
  <c r="P1506" i="34"/>
  <c r="R1506" i="34"/>
  <c r="V1506" i="34"/>
  <c r="AA1506" i="34"/>
  <c r="Q1506" i="34"/>
  <c r="P1504" i="34"/>
  <c r="R1504" i="34"/>
  <c r="V1504" i="34"/>
  <c r="AA1504" i="34"/>
  <c r="Q1504" i="34"/>
  <c r="P1502" i="34"/>
  <c r="R1502" i="34"/>
  <c r="V1502" i="34"/>
  <c r="AA1502" i="34"/>
  <c r="Q1502" i="34"/>
  <c r="P1500" i="34"/>
  <c r="R1500" i="34"/>
  <c r="V1500" i="34"/>
  <c r="AA1500" i="34"/>
  <c r="Q1500" i="34"/>
  <c r="P1498" i="34"/>
  <c r="R1498" i="34"/>
  <c r="V1498" i="34"/>
  <c r="AA1498" i="34"/>
  <c r="Q1498" i="34"/>
  <c r="P1496" i="34"/>
  <c r="R1496" i="34"/>
  <c r="V1496" i="34"/>
  <c r="AA1496" i="34"/>
  <c r="Q1496" i="34"/>
  <c r="P1494" i="34"/>
  <c r="R1494" i="34"/>
  <c r="V1494" i="34"/>
  <c r="AA1494" i="34"/>
  <c r="Q1494" i="34"/>
  <c r="P1492" i="34"/>
  <c r="Q1492" i="34"/>
  <c r="R1492" i="34"/>
  <c r="V1492" i="34"/>
  <c r="AA1492" i="34"/>
  <c r="P1490" i="34"/>
  <c r="Q1490" i="34"/>
  <c r="R1490" i="34"/>
  <c r="V1490" i="34"/>
  <c r="AA1490" i="34"/>
  <c r="P1488" i="34"/>
  <c r="Q1488" i="34"/>
  <c r="R1488" i="34"/>
  <c r="V1488" i="34"/>
  <c r="AA1488" i="34"/>
  <c r="P1486" i="34"/>
  <c r="Q1486" i="34"/>
  <c r="R1486" i="34"/>
  <c r="V1486" i="34"/>
  <c r="AA1486" i="34"/>
  <c r="P1484" i="34"/>
  <c r="Q1484" i="34"/>
  <c r="R1484" i="34"/>
  <c r="V1484" i="34"/>
  <c r="AA1484" i="34"/>
  <c r="P1482" i="34"/>
  <c r="Q1482" i="34"/>
  <c r="R1482" i="34"/>
  <c r="V1482" i="34"/>
  <c r="AA1482" i="34"/>
  <c r="P1480" i="34"/>
  <c r="Q1480" i="34"/>
  <c r="R1480" i="34"/>
  <c r="V1480" i="34"/>
  <c r="AA1480" i="34"/>
  <c r="P1478" i="34"/>
  <c r="Q1478" i="34"/>
  <c r="R1478" i="34"/>
  <c r="V1478" i="34"/>
  <c r="AA1478" i="34"/>
  <c r="P1476" i="34"/>
  <c r="Q1476" i="34"/>
  <c r="R1476" i="34"/>
  <c r="V1476" i="34"/>
  <c r="AA1476" i="34"/>
  <c r="P1474" i="34"/>
  <c r="Q1474" i="34"/>
  <c r="R1474" i="34"/>
  <c r="V1474" i="34"/>
  <c r="AA1474" i="34"/>
  <c r="P1472" i="34"/>
  <c r="Q1472" i="34"/>
  <c r="R1472" i="34"/>
  <c r="V1472" i="34"/>
  <c r="AA1472" i="34"/>
  <c r="P1470" i="34"/>
  <c r="Q1470" i="34"/>
  <c r="R1470" i="34"/>
  <c r="V1470" i="34"/>
  <c r="AA1470" i="34"/>
  <c r="P1468" i="34"/>
  <c r="Q1468" i="34"/>
  <c r="R1468" i="34"/>
  <c r="V1468" i="34"/>
  <c r="AA1468" i="34"/>
  <c r="P1466" i="34"/>
  <c r="Q1466" i="34"/>
  <c r="R1466" i="34"/>
  <c r="V1466" i="34"/>
  <c r="AA1466" i="34"/>
  <c r="P1464" i="34"/>
  <c r="Q1464" i="34"/>
  <c r="R1464" i="34"/>
  <c r="V1464" i="34"/>
  <c r="AA1464" i="34"/>
  <c r="P1462" i="34"/>
  <c r="Q1462" i="34"/>
  <c r="R1462" i="34"/>
  <c r="V1462" i="34"/>
  <c r="AA1462" i="34"/>
  <c r="R1459" i="34"/>
  <c r="V1459" i="34"/>
  <c r="AA1459" i="34"/>
  <c r="P1459" i="34"/>
  <c r="Q1459" i="34"/>
  <c r="P1454" i="34"/>
  <c r="Q1454" i="34"/>
  <c r="R1454" i="34"/>
  <c r="V1454" i="34"/>
  <c r="AA1454" i="34"/>
  <c r="P1452" i="34"/>
  <c r="Q1452" i="34"/>
  <c r="R1452" i="34"/>
  <c r="V1452" i="34"/>
  <c r="AA1452" i="34"/>
  <c r="P1450" i="34"/>
  <c r="Q1450" i="34"/>
  <c r="R1450" i="34"/>
  <c r="V1450" i="34"/>
  <c r="AA1450" i="34"/>
  <c r="P1448" i="34"/>
  <c r="Q1448" i="34"/>
  <c r="R1448" i="34"/>
  <c r="V1448" i="34"/>
  <c r="AA1448" i="34"/>
  <c r="P1446" i="34"/>
  <c r="Q1446" i="34"/>
  <c r="R1446" i="34"/>
  <c r="V1446" i="34"/>
  <c r="AA1446" i="34"/>
  <c r="R23" i="34"/>
  <c r="V23" i="34"/>
  <c r="AA23" i="34"/>
  <c r="P23" i="34"/>
  <c r="Q23" i="34"/>
  <c r="R27" i="34"/>
  <c r="V27" i="34"/>
  <c r="AA27" i="34"/>
  <c r="P27" i="34"/>
  <c r="Q27" i="34"/>
  <c r="R29" i="34"/>
  <c r="V29" i="34"/>
  <c r="AA29" i="34"/>
  <c r="P29" i="34"/>
  <c r="Q29" i="34"/>
  <c r="P32" i="34"/>
  <c r="Q32" i="34"/>
  <c r="R32" i="34"/>
  <c r="V32" i="34"/>
  <c r="AA32" i="34"/>
  <c r="R35" i="34"/>
  <c r="V35" i="34"/>
  <c r="AA35" i="34"/>
  <c r="P35" i="34"/>
  <c r="Q35" i="34"/>
  <c r="P38" i="34"/>
  <c r="Q38" i="34"/>
  <c r="R38" i="34"/>
  <c r="V38" i="34"/>
  <c r="AA38" i="34"/>
  <c r="R41" i="34"/>
  <c r="V41" i="34"/>
  <c r="AA41" i="34"/>
  <c r="P41" i="34"/>
  <c r="Q41" i="34"/>
  <c r="P44" i="34"/>
  <c r="Q44" i="34"/>
  <c r="R44" i="34"/>
  <c r="V44" i="34"/>
  <c r="AA44" i="34"/>
  <c r="R47" i="34"/>
  <c r="V47" i="34"/>
  <c r="AA47" i="34"/>
  <c r="P47" i="34"/>
  <c r="Q47" i="34"/>
  <c r="P50" i="34"/>
  <c r="Q50" i="34"/>
  <c r="R50" i="34"/>
  <c r="V50" i="34"/>
  <c r="AA50" i="34"/>
  <c r="R53" i="34"/>
  <c r="V53" i="34"/>
  <c r="P53" i="34"/>
  <c r="Q53" i="34"/>
  <c r="AA53" i="34"/>
  <c r="P56" i="34"/>
  <c r="R56" i="34"/>
  <c r="V56" i="34"/>
  <c r="AA56" i="34"/>
  <c r="Q56" i="34"/>
  <c r="R59" i="34"/>
  <c r="V59" i="34"/>
  <c r="P59" i="34"/>
  <c r="AA59" i="34"/>
  <c r="Q59" i="34"/>
  <c r="R1755" i="34"/>
  <c r="V1755" i="34"/>
  <c r="AA1755" i="34"/>
  <c r="P1755" i="34"/>
  <c r="Q1755" i="34"/>
  <c r="R1747" i="34"/>
  <c r="V1747" i="34"/>
  <c r="AA1747" i="34"/>
  <c r="P1747" i="34"/>
  <c r="Q1747" i="34"/>
  <c r="R1739" i="34"/>
  <c r="V1739" i="34"/>
  <c r="AA1739" i="34"/>
  <c r="P1739" i="34"/>
  <c r="Q1739" i="34"/>
  <c r="R1731" i="34"/>
  <c r="V1731" i="34"/>
  <c r="AA1731" i="34"/>
  <c r="P1731" i="34"/>
  <c r="Q1731" i="34"/>
  <c r="R1723" i="34"/>
  <c r="V1723" i="34"/>
  <c r="AA1723" i="34"/>
  <c r="P1723" i="34"/>
  <c r="Q1723" i="34"/>
  <c r="R1715" i="34"/>
  <c r="V1715" i="34"/>
  <c r="AA1715" i="34"/>
  <c r="P1715" i="34"/>
  <c r="Q1715" i="34"/>
  <c r="R1707" i="34"/>
  <c r="V1707" i="34"/>
  <c r="AA1707" i="34"/>
  <c r="P1707" i="34"/>
  <c r="Q1707" i="34"/>
  <c r="R1699" i="34"/>
  <c r="V1699" i="34"/>
  <c r="AA1699" i="34"/>
  <c r="P1699" i="34"/>
  <c r="Q1699" i="34"/>
  <c r="R1691" i="34"/>
  <c r="V1691" i="34"/>
  <c r="AA1691" i="34"/>
  <c r="P1691" i="34"/>
  <c r="Q1691" i="34"/>
  <c r="R1683" i="34"/>
  <c r="V1683" i="34"/>
  <c r="AA1683" i="34"/>
  <c r="P1683" i="34"/>
  <c r="Q1683" i="34"/>
  <c r="R1675" i="34"/>
  <c r="V1675" i="34"/>
  <c r="AA1675" i="34"/>
  <c r="P1675" i="34"/>
  <c r="Q1675" i="34"/>
  <c r="R1667" i="34"/>
  <c r="V1667" i="34"/>
  <c r="AA1667" i="34"/>
  <c r="P1667" i="34"/>
  <c r="Q1667" i="34"/>
  <c r="R1659" i="34"/>
  <c r="V1659" i="34"/>
  <c r="AA1659" i="34"/>
  <c r="P1659" i="34"/>
  <c r="Q1659" i="34"/>
  <c r="R1651" i="34"/>
  <c r="V1651" i="34"/>
  <c r="AA1651" i="34"/>
  <c r="P1651" i="34"/>
  <c r="Q1651" i="34"/>
  <c r="R1643" i="34"/>
  <c r="V1643" i="34"/>
  <c r="AA1643" i="34"/>
  <c r="P1643" i="34"/>
  <c r="Q1643" i="34"/>
  <c r="R1635" i="34"/>
  <c r="V1635" i="34"/>
  <c r="AA1635" i="34"/>
  <c r="P1635" i="34"/>
  <c r="Q1635" i="34"/>
  <c r="R1627" i="34"/>
  <c r="V1627" i="34"/>
  <c r="AA1627" i="34"/>
  <c r="P1627" i="34"/>
  <c r="Q1627" i="34"/>
  <c r="R1619" i="34"/>
  <c r="V1619" i="34"/>
  <c r="AA1619" i="34"/>
  <c r="P1619" i="34"/>
  <c r="Q1619" i="34"/>
  <c r="R1611" i="34"/>
  <c r="V1611" i="34"/>
  <c r="AA1611" i="34"/>
  <c r="P1611" i="34"/>
  <c r="Q1611" i="34"/>
  <c r="R1603" i="34"/>
  <c r="V1603" i="34"/>
  <c r="AA1603" i="34"/>
  <c r="P1603" i="34"/>
  <c r="Q1603" i="34"/>
  <c r="R1595" i="34"/>
  <c r="V1595" i="34"/>
  <c r="AA1595" i="34"/>
  <c r="P1595" i="34"/>
  <c r="Q1595" i="34"/>
  <c r="R1587" i="34"/>
  <c r="V1587" i="34"/>
  <c r="AA1587" i="34"/>
  <c r="P1587" i="34"/>
  <c r="Q1587" i="34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A22" i="34"/>
  <c r="A25" i="34"/>
  <c r="A29" i="34"/>
  <c r="A23" i="34"/>
  <c r="A26" i="34"/>
  <c r="A27" i="34"/>
  <c r="A24" i="34"/>
  <c r="A28" i="34"/>
  <c r="A30" i="34"/>
  <c r="A32" i="34"/>
  <c r="A40" i="34"/>
  <c r="A42" i="34"/>
  <c r="A44" i="34"/>
  <c r="A46" i="34"/>
  <c r="A37" i="34"/>
  <c r="A39" i="34"/>
  <c r="A41" i="34"/>
  <c r="A34" i="34"/>
  <c r="A36" i="34"/>
  <c r="A38" i="34"/>
  <c r="A45" i="34"/>
  <c r="A31" i="34"/>
  <c r="A33" i="34"/>
  <c r="A35" i="34"/>
  <c r="A43" i="34"/>
  <c r="A50" i="34"/>
  <c r="A51" i="34"/>
  <c r="A52" i="34"/>
  <c r="A56" i="34"/>
  <c r="A57" i="34"/>
  <c r="A58" i="34"/>
  <c r="A47" i="34"/>
  <c r="A48" i="34"/>
  <c r="A49" i="34"/>
  <c r="A53" i="34"/>
  <c r="A54" i="34"/>
  <c r="A55" i="34"/>
  <c r="A59" i="34"/>
  <c r="A60" i="34"/>
  <c r="A61" i="34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4" i="34"/>
  <c r="K1425" i="34"/>
  <c r="K1426" i="34"/>
  <c r="K1427" i="34"/>
  <c r="K1428" i="34"/>
  <c r="K1429" i="34"/>
  <c r="K1430" i="34"/>
  <c r="K1431" i="34"/>
  <c r="K1432" i="34"/>
  <c r="K1423" i="34"/>
  <c r="C1423" i="34"/>
  <c r="C1424" i="34"/>
  <c r="C1425" i="34"/>
  <c r="C1426" i="34"/>
  <c r="C1427" i="34"/>
  <c r="C1428" i="34"/>
  <c r="C1429" i="34"/>
  <c r="C1430" i="34"/>
  <c r="C1431" i="34"/>
  <c r="C1432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1348" i="34"/>
  <c r="B1348" i="34" s="1"/>
  <c r="AC1058" i="34"/>
  <c r="C1058" i="34"/>
  <c r="B1058" i="34" s="1"/>
  <c r="AC1198" i="34"/>
  <c r="C1198" i="34"/>
  <c r="B1198" i="34" s="1"/>
  <c r="P1058" i="34" l="1"/>
  <c r="Q1058" i="34"/>
  <c r="R1058" i="34"/>
  <c r="V1058" i="34"/>
  <c r="AA1058" i="34"/>
  <c r="Q1198" i="34"/>
  <c r="R1198" i="34"/>
  <c r="V1198" i="34"/>
  <c r="AA1198" i="34"/>
  <c r="P1198" i="34"/>
  <c r="P1348" i="34"/>
  <c r="T1348" i="34"/>
  <c r="Q1348" i="34"/>
  <c r="U1348" i="34"/>
  <c r="R1348" i="34"/>
  <c r="V1348" i="34"/>
  <c r="S1348" i="34"/>
  <c r="AA1348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1348" i="34"/>
  <c r="A1058" i="34"/>
  <c r="A1198" i="34"/>
  <c r="A24" i="12"/>
  <c r="A25" i="12"/>
  <c r="C1267" i="34"/>
  <c r="B1267" i="34" s="1"/>
  <c r="C1224" i="34"/>
  <c r="B1224" i="34" s="1"/>
  <c r="C1241" i="34"/>
  <c r="B1241" i="34" s="1"/>
  <c r="C1204" i="34"/>
  <c r="B1204" i="34" s="1"/>
  <c r="R1267" i="34" l="1"/>
  <c r="V1267" i="34"/>
  <c r="AA1267" i="34"/>
  <c r="P1267" i="34"/>
  <c r="Q1267" i="34"/>
  <c r="Q1224" i="34"/>
  <c r="R1224" i="34"/>
  <c r="V1224" i="34"/>
  <c r="AA1224" i="34"/>
  <c r="P1224" i="34"/>
  <c r="Q1204" i="34"/>
  <c r="R1204" i="34"/>
  <c r="V1204" i="34"/>
  <c r="AA1204" i="34"/>
  <c r="P1204" i="34"/>
  <c r="AA1241" i="34"/>
  <c r="P1241" i="34"/>
  <c r="Q1241" i="34"/>
  <c r="R1241" i="34"/>
  <c r="V1241" i="34"/>
  <c r="A1267" i="34"/>
  <c r="A1224" i="34"/>
  <c r="A1241" i="34"/>
  <c r="A1204" i="34"/>
  <c r="C1201" i="34" l="1"/>
  <c r="B1201" i="34" s="1"/>
  <c r="C1190" i="34"/>
  <c r="B1190" i="34" s="1"/>
  <c r="AC1166" i="34"/>
  <c r="C1166" i="34"/>
  <c r="B1166" i="34" s="1"/>
  <c r="AC1297" i="34"/>
  <c r="C1297" i="34"/>
  <c r="B1297" i="34" s="1"/>
  <c r="AC1292" i="34"/>
  <c r="C1292" i="34"/>
  <c r="B1292" i="34" s="1"/>
  <c r="AC1289" i="34"/>
  <c r="C1289" i="34"/>
  <c r="B1289" i="34" s="1"/>
  <c r="C1290" i="34"/>
  <c r="B1290" i="34" s="1"/>
  <c r="AC1088" i="34"/>
  <c r="C1088" i="34"/>
  <c r="B1088" i="34" s="1"/>
  <c r="R1297" i="34" l="1"/>
  <c r="V1297" i="34"/>
  <c r="AA1297" i="34"/>
  <c r="P1297" i="34"/>
  <c r="Q1297" i="34"/>
  <c r="Q1190" i="34"/>
  <c r="R1190" i="34"/>
  <c r="V1190" i="34"/>
  <c r="AA1190" i="34"/>
  <c r="P1190" i="34"/>
  <c r="Q1088" i="34"/>
  <c r="R1088" i="34"/>
  <c r="V1088" i="34"/>
  <c r="AA1088" i="34"/>
  <c r="P1088" i="34"/>
  <c r="AA1201" i="34"/>
  <c r="P1201" i="34"/>
  <c r="Q1201" i="34"/>
  <c r="R1201" i="34"/>
  <c r="V1201" i="34"/>
  <c r="P1292" i="34"/>
  <c r="Q1292" i="34"/>
  <c r="R1292" i="34"/>
  <c r="V1292" i="34"/>
  <c r="AA1292" i="34"/>
  <c r="Q1166" i="34"/>
  <c r="R1166" i="34"/>
  <c r="V1166" i="34"/>
  <c r="AA1166" i="34"/>
  <c r="P1166" i="34"/>
  <c r="R1289" i="34"/>
  <c r="V1289" i="34"/>
  <c r="AA1289" i="34"/>
  <c r="P1289" i="34"/>
  <c r="Q1289" i="34"/>
  <c r="P1290" i="34"/>
  <c r="Q1290" i="34"/>
  <c r="R1290" i="34"/>
  <c r="V1290" i="34"/>
  <c r="AA1290" i="34"/>
  <c r="A1166" i="34"/>
  <c r="A1201" i="34"/>
  <c r="A1190" i="34"/>
  <c r="A1297" i="34"/>
  <c r="A1292" i="34"/>
  <c r="A1289" i="34"/>
  <c r="A1290" i="34"/>
  <c r="A1088" i="34"/>
  <c r="AC1098" i="34"/>
  <c r="AC1097" i="34"/>
  <c r="C1097" i="34"/>
  <c r="B1097" i="34" s="1"/>
  <c r="AC1092" i="34"/>
  <c r="AC1091" i="34"/>
  <c r="C1091" i="34"/>
  <c r="B1091" i="34" s="1"/>
  <c r="AC1067" i="34"/>
  <c r="AC1066" i="34"/>
  <c r="C1066" i="34"/>
  <c r="B1066" i="34" s="1"/>
  <c r="AC1056" i="34"/>
  <c r="AC1055" i="34"/>
  <c r="C1055" i="34"/>
  <c r="B1055" i="34" s="1"/>
  <c r="AC1049" i="34"/>
  <c r="C1049" i="34"/>
  <c r="B1049" i="34" s="1"/>
  <c r="AC1212" i="34"/>
  <c r="C1212" i="34"/>
  <c r="B1212" i="34" s="1"/>
  <c r="C1228" i="34"/>
  <c r="B1228" i="34" s="1"/>
  <c r="C1253" i="34"/>
  <c r="B1253" i="34" s="1"/>
  <c r="C1255" i="34"/>
  <c r="B1255" i="34" s="1"/>
  <c r="C1262" i="34"/>
  <c r="B1262" i="34" s="1"/>
  <c r="C1264" i="34"/>
  <c r="B1264" i="34" s="1"/>
  <c r="AC1343" i="34"/>
  <c r="AC1340" i="34"/>
  <c r="AC1342" i="34"/>
  <c r="C1342" i="34"/>
  <c r="B1342" i="34" s="1"/>
  <c r="AC1339" i="34"/>
  <c r="C1339" i="34"/>
  <c r="B1339" i="34" s="1"/>
  <c r="AC1337" i="34"/>
  <c r="AC1336" i="34"/>
  <c r="C1336" i="34"/>
  <c r="B1336" i="34" s="1"/>
  <c r="AC1334" i="34"/>
  <c r="C1334" i="34"/>
  <c r="B1334" i="34" s="1"/>
  <c r="AC1328" i="34"/>
  <c r="C1328" i="34"/>
  <c r="B1328" i="34" s="1"/>
  <c r="AC1321" i="34"/>
  <c r="C1321" i="34"/>
  <c r="B1321" i="34" s="1"/>
  <c r="AC1316" i="34"/>
  <c r="C1316" i="34"/>
  <c r="B1316" i="34" s="1"/>
  <c r="AC1312" i="34"/>
  <c r="C1312" i="34"/>
  <c r="B1312" i="34" s="1"/>
  <c r="AC1283" i="34"/>
  <c r="C1283" i="34"/>
  <c r="B1283" i="34" s="1"/>
  <c r="AC1276" i="34"/>
  <c r="C1276" i="34"/>
  <c r="B1276" i="34" s="1"/>
  <c r="AC1019" i="34"/>
  <c r="C1019" i="34"/>
  <c r="B1019" i="34" s="1"/>
  <c r="AC1013" i="34"/>
  <c r="C1013" i="34"/>
  <c r="B1013" i="34" s="1"/>
  <c r="AC1011" i="34"/>
  <c r="C1011" i="34"/>
  <c r="B1011" i="34" s="1"/>
  <c r="R1011" i="34" l="1"/>
  <c r="V1011" i="34"/>
  <c r="AA1011" i="34"/>
  <c r="P1011" i="34"/>
  <c r="Q1011" i="34"/>
  <c r="P1342" i="34"/>
  <c r="Q1342" i="34"/>
  <c r="R1342" i="34"/>
  <c r="V1342" i="34"/>
  <c r="AA1342" i="34"/>
  <c r="Q1228" i="34"/>
  <c r="R1228" i="34"/>
  <c r="V1228" i="34"/>
  <c r="AA1228" i="34"/>
  <c r="P1228" i="34"/>
  <c r="P1066" i="34"/>
  <c r="Q1066" i="34"/>
  <c r="R1066" i="34"/>
  <c r="V1066" i="34"/>
  <c r="AA1066" i="34"/>
  <c r="R1013" i="34"/>
  <c r="V1013" i="34"/>
  <c r="AA1013" i="34"/>
  <c r="P1013" i="34"/>
  <c r="Q1013" i="34"/>
  <c r="P1276" i="34"/>
  <c r="Q1276" i="34"/>
  <c r="R1276" i="34"/>
  <c r="V1276" i="34"/>
  <c r="AA1276" i="34"/>
  <c r="P1312" i="34"/>
  <c r="Q1312" i="34"/>
  <c r="R1312" i="34"/>
  <c r="V1312" i="34"/>
  <c r="AA1312" i="34"/>
  <c r="R1321" i="34"/>
  <c r="V1321" i="34"/>
  <c r="AA1321" i="34"/>
  <c r="P1321" i="34"/>
  <c r="Q1321" i="34"/>
  <c r="P1334" i="34"/>
  <c r="Q1334" i="34"/>
  <c r="R1334" i="34"/>
  <c r="V1334" i="34"/>
  <c r="AA1334" i="34"/>
  <c r="P1262" i="34"/>
  <c r="Q1262" i="34"/>
  <c r="R1262" i="34"/>
  <c r="V1262" i="34"/>
  <c r="AA1262" i="34"/>
  <c r="Q1212" i="34"/>
  <c r="R1212" i="34"/>
  <c r="V1212" i="34"/>
  <c r="AA1212" i="34"/>
  <c r="P1212" i="34"/>
  <c r="R1055" i="34"/>
  <c r="V1055" i="34"/>
  <c r="AA1055" i="34"/>
  <c r="P1055" i="34"/>
  <c r="Q1055" i="34"/>
  <c r="R1339" i="34"/>
  <c r="V1339" i="34"/>
  <c r="AA1339" i="34"/>
  <c r="P1339" i="34"/>
  <c r="Q1339" i="34"/>
  <c r="R1255" i="34"/>
  <c r="Q1255" i="34"/>
  <c r="V1255" i="34"/>
  <c r="AA1255" i="34"/>
  <c r="P1255" i="34"/>
  <c r="AA1097" i="34"/>
  <c r="P1097" i="34"/>
  <c r="Q1097" i="34"/>
  <c r="R1097" i="34"/>
  <c r="V1097" i="34"/>
  <c r="R1019" i="34"/>
  <c r="V1019" i="34"/>
  <c r="AA1019" i="34"/>
  <c r="P1019" i="34"/>
  <c r="Q1019" i="34"/>
  <c r="P1316" i="34"/>
  <c r="Q1316" i="34"/>
  <c r="R1316" i="34"/>
  <c r="V1316" i="34"/>
  <c r="AA1316" i="34"/>
  <c r="P1328" i="34"/>
  <c r="Q1328" i="34"/>
  <c r="R1328" i="34"/>
  <c r="V1328" i="34"/>
  <c r="AA1328" i="34"/>
  <c r="P1336" i="34"/>
  <c r="Q1336" i="34"/>
  <c r="R1336" i="34"/>
  <c r="V1336" i="34"/>
  <c r="AA1336" i="34"/>
  <c r="R1253" i="34"/>
  <c r="V1253" i="34"/>
  <c r="Q1253" i="34"/>
  <c r="AA1253" i="34"/>
  <c r="P1253" i="34"/>
  <c r="R1049" i="34"/>
  <c r="V1049" i="34"/>
  <c r="AA1049" i="34"/>
  <c r="P1049" i="34"/>
  <c r="Q1049" i="34"/>
  <c r="AA1091" i="34"/>
  <c r="P1091" i="34"/>
  <c r="Q1091" i="34"/>
  <c r="R1091" i="34"/>
  <c r="V1091" i="34"/>
  <c r="R1283" i="34"/>
  <c r="V1283" i="34"/>
  <c r="AA1283" i="34"/>
  <c r="P1283" i="34"/>
  <c r="Q1283" i="34"/>
  <c r="P1264" i="34"/>
  <c r="Q1264" i="34"/>
  <c r="R1264" i="34"/>
  <c r="V1264" i="34"/>
  <c r="AA1264" i="34"/>
  <c r="A1097" i="34"/>
  <c r="A1091" i="34"/>
  <c r="A1049" i="34"/>
  <c r="A1066" i="34"/>
  <c r="A1055" i="34"/>
  <c r="A1212" i="34"/>
  <c r="A1255" i="34"/>
  <c r="A1253" i="34"/>
  <c r="A1228" i="34"/>
  <c r="A1262" i="34"/>
  <c r="A1264" i="34"/>
  <c r="A1334" i="34"/>
  <c r="A1316" i="34"/>
  <c r="A1342" i="34"/>
  <c r="A1276" i="34"/>
  <c r="A1339" i="34"/>
  <c r="A1336" i="34"/>
  <c r="A1328" i="34"/>
  <c r="A1321" i="34"/>
  <c r="A1312" i="34"/>
  <c r="A1283" i="34"/>
  <c r="A1019" i="34"/>
  <c r="A1013" i="34"/>
  <c r="A1011" i="34"/>
  <c r="C1384" i="34"/>
  <c r="B1384" i="34" s="1"/>
  <c r="P1384" i="34" l="1"/>
  <c r="T1384" i="34"/>
  <c r="Q1384" i="34"/>
  <c r="U1384" i="34"/>
  <c r="R1384" i="34"/>
  <c r="V1384" i="34"/>
  <c r="S1384" i="34"/>
  <c r="AA1384" i="34"/>
  <c r="A1384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1383" i="34" l="1"/>
  <c r="B1383" i="34" s="1"/>
  <c r="R1383" i="34" l="1"/>
  <c r="V1383" i="34"/>
  <c r="S1383" i="34"/>
  <c r="AA1383" i="34"/>
  <c r="P1383" i="34"/>
  <c r="T1383" i="34"/>
  <c r="Q1383" i="34"/>
  <c r="U1383" i="34"/>
  <c r="A1383" i="34"/>
  <c r="A5" i="81"/>
  <c r="A6" i="81"/>
  <c r="A8" i="81"/>
  <c r="A9" i="81"/>
  <c r="A10" i="81"/>
  <c r="A7" i="81"/>
  <c r="A11" i="81"/>
  <c r="A12" i="81"/>
  <c r="A4" i="81"/>
  <c r="C1347" i="34"/>
  <c r="B1347" i="34" s="1"/>
  <c r="R1347" i="34" l="1"/>
  <c r="V1347" i="34"/>
  <c r="S1347" i="34"/>
  <c r="AA1347" i="34"/>
  <c r="P1347" i="34"/>
  <c r="T1347" i="34"/>
  <c r="Q1347" i="34"/>
  <c r="U1347" i="34"/>
  <c r="A1347" i="34"/>
  <c r="C1405" i="34" l="1"/>
  <c r="B1405" i="34" s="1"/>
  <c r="C1371" i="34"/>
  <c r="B1371" i="34" s="1"/>
  <c r="C1369" i="34"/>
  <c r="B1369" i="34" s="1"/>
  <c r="C1363" i="34"/>
  <c r="C1364" i="34"/>
  <c r="C1365" i="34"/>
  <c r="C1366" i="34"/>
  <c r="C1367" i="34"/>
  <c r="C1368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C1341" i="34"/>
  <c r="AC1338" i="34"/>
  <c r="AC1335" i="34"/>
  <c r="AC1333" i="34"/>
  <c r="AC1332" i="34"/>
  <c r="AC1330" i="34"/>
  <c r="AC1329" i="34"/>
  <c r="AC1327" i="34"/>
  <c r="AC1326" i="34"/>
  <c r="AC1323" i="34"/>
  <c r="AC1322" i="34"/>
  <c r="AC1320" i="34"/>
  <c r="AC1319" i="34"/>
  <c r="AC1315" i="34"/>
  <c r="AC1314" i="34"/>
  <c r="AC1313" i="34"/>
  <c r="AC1311" i="34"/>
  <c r="AC1310" i="34"/>
  <c r="AC1309" i="34"/>
  <c r="AC1307" i="34"/>
  <c r="AC1303" i="34"/>
  <c r="AC1302" i="34"/>
  <c r="AC1300" i="34"/>
  <c r="AC1299" i="34"/>
  <c r="AC1296" i="34"/>
  <c r="AC1291" i="34"/>
  <c r="AC1288" i="34"/>
  <c r="AC1286" i="34"/>
  <c r="AC1285" i="34"/>
  <c r="AC1284" i="34"/>
  <c r="AC1282" i="34"/>
  <c r="AC1277" i="34"/>
  <c r="AC1275" i="34"/>
  <c r="AC1269" i="34"/>
  <c r="AC1268" i="34"/>
  <c r="AC1257" i="34"/>
  <c r="AC1256" i="34"/>
  <c r="AC1254" i="34"/>
  <c r="AC1252" i="34"/>
  <c r="AC1251" i="34"/>
  <c r="AC1250" i="34"/>
  <c r="AC1235" i="34"/>
  <c r="AC1234" i="34"/>
  <c r="AC1233" i="34"/>
  <c r="AC1232" i="34"/>
  <c r="AC1231" i="34"/>
  <c r="AC1230" i="34"/>
  <c r="AC1229" i="34"/>
  <c r="AC1227" i="34"/>
  <c r="AC1226" i="34"/>
  <c r="AC1225" i="34"/>
  <c r="AC1219" i="34"/>
  <c r="AC1218" i="34"/>
  <c r="AC1217" i="34"/>
  <c r="AC1216" i="34"/>
  <c r="AC1215" i="34"/>
  <c r="AC1214" i="34"/>
  <c r="AC1213" i="34"/>
  <c r="AC1211" i="34"/>
  <c r="AC1210" i="34"/>
  <c r="AC1209" i="34"/>
  <c r="AC1208" i="34"/>
  <c r="AC1207" i="34"/>
  <c r="AC1206" i="34"/>
  <c r="AC1205" i="34"/>
  <c r="AC1200" i="34"/>
  <c r="AC1199" i="34"/>
  <c r="AC1197" i="34"/>
  <c r="AC1196" i="34"/>
  <c r="AC1195" i="34"/>
  <c r="AC1194" i="34"/>
  <c r="AC1187" i="34"/>
  <c r="AC1186" i="34"/>
  <c r="AC1185" i="34"/>
  <c r="AC1184" i="34"/>
  <c r="AC1181" i="34"/>
  <c r="AC1180" i="34"/>
  <c r="AC1179" i="34"/>
  <c r="AC1178" i="34"/>
  <c r="AC1175" i="34"/>
  <c r="AC1174" i="34"/>
  <c r="AC1173" i="34"/>
  <c r="AC1172" i="34"/>
  <c r="AC1171" i="34"/>
  <c r="AC1170" i="34"/>
  <c r="AC1169" i="34"/>
  <c r="AC1168" i="34"/>
  <c r="AC1167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0" i="34"/>
  <c r="AC1149" i="34"/>
  <c r="AC1148" i="34"/>
  <c r="AC1147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4" i="34"/>
  <c r="AC1103" i="34"/>
  <c r="AC1096" i="34"/>
  <c r="AC1095" i="34"/>
  <c r="AC1094" i="34"/>
  <c r="AC1093" i="34"/>
  <c r="AC1090" i="34"/>
  <c r="AC1089" i="34"/>
  <c r="AC1087" i="34"/>
  <c r="AC1086" i="34"/>
  <c r="AC1085" i="34"/>
  <c r="AC1084" i="34"/>
  <c r="AC1083" i="34"/>
  <c r="AC1082" i="34"/>
  <c r="AC1081" i="34"/>
  <c r="AC1080" i="34"/>
  <c r="AC1079" i="34"/>
  <c r="AC1078" i="34"/>
  <c r="AC1076" i="34"/>
  <c r="AC1075" i="34"/>
  <c r="AC1074" i="34"/>
  <c r="AC1073" i="34"/>
  <c r="AC1072" i="34"/>
  <c r="AC1071" i="34"/>
  <c r="AC1070" i="34"/>
  <c r="AC1069" i="34"/>
  <c r="AC1068" i="34"/>
  <c r="AC1065" i="34"/>
  <c r="AC1064" i="34"/>
  <c r="AC1063" i="34"/>
  <c r="AC1062" i="34"/>
  <c r="AC1061" i="34"/>
  <c r="AC1060" i="34"/>
  <c r="AC1057" i="34"/>
  <c r="AC1054" i="34"/>
  <c r="AC1053" i="34"/>
  <c r="AC1050" i="34"/>
  <c r="AC1048" i="34"/>
  <c r="AC1018" i="34"/>
  <c r="AC1017" i="34"/>
  <c r="AC1014" i="34"/>
  <c r="AC1012" i="34"/>
  <c r="AC1010" i="34"/>
  <c r="AC1009" i="34"/>
  <c r="A16" i="12"/>
  <c r="A17" i="12"/>
  <c r="A18" i="12"/>
  <c r="A19" i="12"/>
  <c r="A20" i="12"/>
  <c r="A21" i="12"/>
  <c r="A22" i="12"/>
  <c r="A23" i="12"/>
  <c r="R1369" i="34" l="1"/>
  <c r="V1369" i="34"/>
  <c r="S1369" i="34"/>
  <c r="AA1369" i="34"/>
  <c r="P1369" i="34"/>
  <c r="T1369" i="34"/>
  <c r="Q1369" i="34"/>
  <c r="U1369" i="34"/>
  <c r="R1371" i="34"/>
  <c r="V1371" i="34"/>
  <c r="S1371" i="34"/>
  <c r="AA1371" i="34"/>
  <c r="P1371" i="34"/>
  <c r="T1371" i="34"/>
  <c r="Q1371" i="34"/>
  <c r="U1371" i="34"/>
  <c r="R1405" i="34"/>
  <c r="V1405" i="34"/>
  <c r="S1405" i="34"/>
  <c r="AA1405" i="34"/>
  <c r="P1405" i="34"/>
  <c r="T1405" i="34"/>
  <c r="Q1405" i="34"/>
  <c r="U1405" i="34"/>
  <c r="A1405" i="34"/>
  <c r="A1371" i="34"/>
  <c r="A1369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577" i="34" l="1"/>
  <c r="K1221" i="34"/>
  <c r="K1177" i="34"/>
  <c r="C1027" i="34"/>
  <c r="B1027" i="34" s="1"/>
  <c r="C1026" i="34"/>
  <c r="B1026" i="34" s="1"/>
  <c r="P1026" i="34" l="1"/>
  <c r="Q1026" i="34"/>
  <c r="R1026" i="34"/>
  <c r="V1026" i="34"/>
  <c r="AA1026" i="34"/>
  <c r="R1027" i="34"/>
  <c r="V1027" i="34"/>
  <c r="AA1027" i="34"/>
  <c r="P1027" i="34"/>
  <c r="Q1027" i="34"/>
  <c r="A1027" i="34"/>
  <c r="A1026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1060" i="34"/>
  <c r="B1060" i="34" s="1"/>
  <c r="P1060" i="34" l="1"/>
  <c r="Q1060" i="34"/>
  <c r="R1060" i="34"/>
  <c r="V1060" i="34"/>
  <c r="AA106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A1060" i="34"/>
  <c r="C1053" i="34"/>
  <c r="B1053" i="34" s="1"/>
  <c r="R1053" i="34" l="1"/>
  <c r="V1053" i="34"/>
  <c r="AA1053" i="34"/>
  <c r="P1053" i="34"/>
  <c r="Q1053" i="34"/>
  <c r="J53" i="80"/>
  <c r="J134" i="80"/>
  <c r="L60" i="80"/>
  <c r="A1053" i="34"/>
  <c r="AC818" i="34" l="1"/>
  <c r="AC815" i="34"/>
  <c r="AC814" i="34"/>
  <c r="AC813" i="34"/>
  <c r="AC812" i="34"/>
  <c r="AC810" i="34"/>
  <c r="AC809" i="34"/>
  <c r="AC808" i="34"/>
  <c r="AC807" i="34"/>
  <c r="AC804" i="34"/>
  <c r="AC802" i="34"/>
  <c r="AC801" i="34"/>
  <c r="AC798" i="34"/>
  <c r="AC796" i="34"/>
  <c r="AC795" i="34"/>
  <c r="AC793" i="34"/>
  <c r="AC792" i="34"/>
  <c r="AC790" i="34"/>
  <c r="AC787" i="34"/>
  <c r="AC784" i="34"/>
  <c r="AC783" i="34"/>
  <c r="AC782" i="34"/>
  <c r="AC780" i="34"/>
  <c r="AC779" i="34"/>
  <c r="AC778" i="34"/>
  <c r="AC777" i="34"/>
  <c r="AC775" i="34"/>
  <c r="AC774" i="34"/>
  <c r="AC771" i="34"/>
  <c r="AC768" i="34"/>
  <c r="AC766" i="34"/>
  <c r="AC765" i="34"/>
  <c r="AC764" i="34"/>
  <c r="AC763" i="34"/>
  <c r="AC762" i="34"/>
  <c r="AC761" i="34"/>
  <c r="AC760" i="34"/>
  <c r="AC759" i="34"/>
  <c r="AC758" i="34"/>
  <c r="AC757" i="34"/>
  <c r="AC755" i="34"/>
  <c r="AC754" i="34"/>
  <c r="AC753" i="34"/>
  <c r="AC752" i="34"/>
  <c r="AC749" i="34"/>
  <c r="AC747" i="34"/>
  <c r="AC746" i="34"/>
  <c r="AC743" i="34"/>
  <c r="AC740" i="34"/>
  <c r="AC737" i="34"/>
  <c r="AC736" i="34"/>
  <c r="AC733" i="34"/>
  <c r="AC730" i="34"/>
  <c r="AC729" i="34"/>
  <c r="AC728" i="34"/>
  <c r="AC726" i="34"/>
  <c r="AC725" i="34"/>
  <c r="AC724" i="34"/>
  <c r="AC722" i="34"/>
  <c r="AC721" i="34"/>
  <c r="AC718" i="34"/>
  <c r="AC715" i="34"/>
  <c r="AC712" i="34"/>
  <c r="AC710" i="34"/>
  <c r="AC708" i="34"/>
  <c r="AC705" i="34"/>
  <c r="AC703" i="34"/>
  <c r="AC701" i="34"/>
  <c r="AC700" i="34"/>
  <c r="AC699" i="34"/>
  <c r="AC698" i="34"/>
  <c r="AC697" i="34"/>
  <c r="AC694" i="34"/>
  <c r="AC691" i="34"/>
  <c r="AC688" i="34"/>
  <c r="AC687" i="34"/>
  <c r="AC684" i="34"/>
  <c r="AC682" i="34"/>
  <c r="AC681" i="34"/>
  <c r="AC680" i="34"/>
  <c r="AC678" i="34"/>
  <c r="AC677" i="34"/>
  <c r="AC676" i="34"/>
  <c r="AC673" i="34"/>
  <c r="AC671" i="34"/>
  <c r="AC670" i="34"/>
  <c r="AC669" i="34"/>
  <c r="AC667" i="34"/>
  <c r="AC664" i="34"/>
  <c r="AC662" i="34"/>
  <c r="AC661" i="34"/>
  <c r="AC659" i="34"/>
  <c r="AC658" i="34"/>
  <c r="AC657" i="34"/>
  <c r="AC646" i="34"/>
  <c r="AC645" i="34"/>
  <c r="AC644" i="34"/>
  <c r="AC643" i="34"/>
  <c r="AC640" i="34"/>
  <c r="AC638" i="34"/>
  <c r="AC635" i="34"/>
  <c r="AC633" i="34"/>
  <c r="AC632" i="34"/>
  <c r="AC631" i="34"/>
  <c r="AC628" i="34"/>
  <c r="AC627" i="34"/>
  <c r="AC624" i="34"/>
  <c r="AC621" i="34"/>
  <c r="AC620" i="34"/>
  <c r="AC619" i="34"/>
  <c r="AC617" i="34"/>
  <c r="AC616" i="34"/>
  <c r="AC615" i="34"/>
  <c r="AC614" i="34"/>
  <c r="AC613" i="34"/>
  <c r="AC612" i="34"/>
  <c r="AC611" i="34"/>
  <c r="AC610" i="34"/>
  <c r="AC609" i="34"/>
  <c r="AC607" i="34"/>
  <c r="AC605" i="34"/>
  <c r="AC604" i="34"/>
  <c r="AC602" i="34"/>
  <c r="AC601" i="34"/>
  <c r="AC598" i="34"/>
  <c r="AC596" i="34"/>
  <c r="AC595" i="34"/>
  <c r="AC592" i="34"/>
  <c r="AC591" i="34"/>
  <c r="AC590" i="34"/>
  <c r="AC588" i="34"/>
  <c r="AC586" i="34"/>
  <c r="AC585" i="34"/>
  <c r="AC584" i="34"/>
  <c r="AC581" i="34"/>
  <c r="AC580" i="34"/>
  <c r="AC578" i="34"/>
  <c r="AC576" i="34"/>
  <c r="AC575" i="34"/>
  <c r="AC573" i="34"/>
  <c r="AC572" i="34"/>
  <c r="AC569" i="34"/>
  <c r="AC566" i="34"/>
  <c r="AC564" i="34"/>
  <c r="AC563" i="34"/>
  <c r="AC561" i="34"/>
  <c r="AC560" i="34"/>
  <c r="AC559" i="34"/>
  <c r="AC558" i="34"/>
  <c r="AC556" i="34"/>
  <c r="AC554" i="34"/>
  <c r="AC553" i="34"/>
  <c r="AC552" i="34"/>
  <c r="AC551" i="34"/>
  <c r="AC550" i="34"/>
  <c r="AC549" i="34"/>
  <c r="AC548" i="34"/>
  <c r="AC547" i="34"/>
  <c r="AC544" i="34"/>
  <c r="AC542" i="34"/>
  <c r="AC539" i="34"/>
  <c r="AC538" i="34"/>
  <c r="AC537" i="34"/>
  <c r="AC536" i="34"/>
  <c r="AC534" i="34"/>
  <c r="AC533" i="34"/>
  <c r="AC530" i="34"/>
  <c r="AC528" i="34"/>
  <c r="AC527" i="34"/>
  <c r="AC524" i="34"/>
  <c r="AC521" i="34"/>
  <c r="AC518" i="34"/>
  <c r="AC517" i="34"/>
  <c r="AC514" i="34"/>
  <c r="AC512" i="34"/>
  <c r="AC511" i="34"/>
  <c r="AC510" i="34"/>
  <c r="AC509" i="34"/>
  <c r="AC508" i="34"/>
  <c r="AC507" i="34"/>
  <c r="AC506" i="34"/>
  <c r="AC505" i="34"/>
  <c r="AC502" i="34"/>
  <c r="AC501" i="34"/>
  <c r="AC498" i="34"/>
  <c r="AC497" i="34"/>
  <c r="AC496" i="34"/>
  <c r="AC495" i="34"/>
  <c r="AC494" i="34"/>
  <c r="AC492" i="34"/>
  <c r="AC490" i="34"/>
  <c r="AC488" i="34"/>
  <c r="AC486" i="34"/>
  <c r="AC485" i="34"/>
  <c r="AC483" i="34"/>
  <c r="AC482" i="34"/>
  <c r="AC481" i="34"/>
  <c r="AC480" i="34"/>
  <c r="AC477" i="34"/>
  <c r="AC476" i="34"/>
  <c r="AC473" i="34"/>
  <c r="AC471" i="34"/>
  <c r="AC470" i="34"/>
  <c r="AC469" i="34"/>
  <c r="AC468" i="34"/>
  <c r="AC467" i="34"/>
  <c r="AC465" i="34"/>
  <c r="AC464" i="34"/>
  <c r="AC461" i="34"/>
  <c r="AC459" i="34"/>
  <c r="AC458" i="34"/>
  <c r="AC457" i="34"/>
  <c r="AC454" i="34"/>
  <c r="AC451" i="34"/>
  <c r="AC449" i="34"/>
  <c r="AC448" i="34"/>
  <c r="AC445" i="34"/>
  <c r="AC443" i="34"/>
  <c r="AC442" i="34"/>
  <c r="AC439" i="34"/>
  <c r="AC436" i="34"/>
  <c r="AC434" i="34"/>
  <c r="AC433" i="34"/>
  <c r="AC432" i="34"/>
  <c r="AC431" i="34"/>
  <c r="AC430" i="34"/>
  <c r="AC428" i="34"/>
  <c r="AC427" i="34"/>
  <c r="AC424" i="34"/>
  <c r="AC423" i="34"/>
  <c r="AC421" i="34"/>
  <c r="AC419" i="34"/>
  <c r="AC418" i="34"/>
  <c r="AC417" i="34"/>
  <c r="AC416" i="34"/>
  <c r="AC414" i="34"/>
  <c r="AC413" i="34"/>
  <c r="AC412" i="34"/>
  <c r="AC410" i="34"/>
  <c r="AC408" i="34"/>
  <c r="AC407" i="34"/>
  <c r="AC405" i="34"/>
  <c r="AC404" i="34"/>
  <c r="AC403" i="34"/>
  <c r="AC402" i="34"/>
  <c r="AC401" i="34"/>
  <c r="AC400" i="34"/>
  <c r="AC398" i="34"/>
  <c r="AC395" i="34"/>
  <c r="AC394" i="34"/>
  <c r="AC392" i="34"/>
  <c r="AC389" i="34"/>
  <c r="AC387" i="34"/>
  <c r="AC385" i="34"/>
  <c r="AC382" i="34"/>
  <c r="AC380" i="34"/>
  <c r="AC379" i="34"/>
  <c r="AC378" i="34"/>
  <c r="AC377" i="34"/>
  <c r="AC376" i="34"/>
  <c r="AC374" i="34"/>
  <c r="AC372" i="34"/>
  <c r="AC371" i="34"/>
  <c r="AC368" i="34"/>
  <c r="AC365" i="34"/>
  <c r="AC363" i="34"/>
  <c r="AC362" i="34"/>
  <c r="AC361" i="34"/>
  <c r="AC360" i="34"/>
  <c r="AC359" i="34"/>
  <c r="AC358" i="34"/>
  <c r="AC355" i="34"/>
  <c r="AC353" i="34"/>
  <c r="AC351" i="34"/>
  <c r="AC350" i="34"/>
  <c r="AC347" i="34"/>
  <c r="AC346" i="34"/>
  <c r="AC343" i="34"/>
  <c r="AC342" i="34"/>
  <c r="AC340" i="34"/>
  <c r="AC339" i="34"/>
  <c r="AC337" i="34"/>
  <c r="AC335" i="34"/>
  <c r="AC334" i="34"/>
  <c r="AC333" i="34"/>
  <c r="AC330" i="34"/>
  <c r="AC328" i="34"/>
  <c r="AC327" i="34"/>
  <c r="AC324" i="34"/>
  <c r="AC321" i="34"/>
  <c r="AC318" i="34"/>
  <c r="AC317" i="34"/>
  <c r="AC316" i="34"/>
  <c r="AC315" i="34"/>
  <c r="AC312" i="34"/>
  <c r="AC310" i="34"/>
  <c r="AC309" i="34"/>
  <c r="AC307" i="34"/>
  <c r="AC306" i="34"/>
  <c r="AC305" i="34"/>
  <c r="AC303" i="34"/>
  <c r="AC302" i="34"/>
  <c r="AC301" i="34"/>
  <c r="AC300" i="34"/>
  <c r="AC299" i="34"/>
  <c r="AC297" i="34"/>
  <c r="AC296" i="34"/>
  <c r="AC293" i="34"/>
  <c r="AC292" i="34"/>
  <c r="AC289" i="34"/>
  <c r="AC288" i="34"/>
  <c r="AC285" i="34"/>
  <c r="AC284" i="34"/>
  <c r="AC283" i="34"/>
  <c r="AC281" i="34"/>
  <c r="AC280" i="34"/>
  <c r="AC277" i="34"/>
  <c r="AC276" i="34"/>
  <c r="AC273" i="34"/>
  <c r="AC272" i="34"/>
  <c r="AC269" i="34"/>
  <c r="AC266" i="34"/>
  <c r="AC263" i="34"/>
  <c r="AC262" i="34"/>
  <c r="AC259" i="34"/>
  <c r="AC257" i="34"/>
  <c r="AC255" i="34"/>
  <c r="AC252" i="34"/>
  <c r="AC249" i="34"/>
  <c r="AC248" i="34"/>
  <c r="AC245" i="34"/>
  <c r="AC244" i="34"/>
  <c r="AC241" i="34"/>
  <c r="AC240" i="34"/>
  <c r="AC239" i="34"/>
  <c r="AC238" i="34"/>
  <c r="AC236" i="34"/>
  <c r="AC233" i="34"/>
  <c r="AC231" i="34"/>
  <c r="AC228" i="34"/>
  <c r="AC225" i="34"/>
  <c r="AC223" i="34"/>
  <c r="AC222" i="34"/>
  <c r="AC221" i="34"/>
  <c r="AC218" i="34"/>
  <c r="AC215" i="34"/>
  <c r="AC212" i="34"/>
  <c r="AC210" i="34"/>
  <c r="AC207" i="34"/>
  <c r="AC205" i="34"/>
  <c r="AC204" i="34"/>
  <c r="AC202" i="34"/>
  <c r="AC201" i="34"/>
  <c r="AC200" i="34"/>
  <c r="AC199" i="34"/>
  <c r="AC196" i="34"/>
  <c r="AC195" i="34"/>
  <c r="AC193" i="34"/>
  <c r="AC190" i="34"/>
  <c r="AC187" i="34"/>
  <c r="AC185" i="34"/>
  <c r="AC184" i="34"/>
  <c r="AC182" i="34"/>
  <c r="AC181" i="34"/>
  <c r="AC179" i="34"/>
  <c r="AC178" i="34"/>
  <c r="AC175" i="34"/>
  <c r="AC174" i="34"/>
  <c r="AC172" i="34"/>
  <c r="AC171" i="34"/>
  <c r="AC168" i="34"/>
  <c r="AC165" i="34"/>
  <c r="AC164" i="34"/>
  <c r="AC163" i="34"/>
  <c r="AC162" i="34"/>
  <c r="AC159" i="34"/>
  <c r="AC157" i="34"/>
  <c r="AC154" i="34"/>
  <c r="AC153" i="34"/>
  <c r="AC151" i="34"/>
  <c r="AC150" i="34"/>
  <c r="AC148" i="34"/>
  <c r="AC147" i="34"/>
  <c r="AC144" i="34"/>
  <c r="AC143" i="34"/>
  <c r="AC142" i="34"/>
  <c r="AC141" i="34"/>
  <c r="AC139" i="34"/>
  <c r="AC138" i="34"/>
  <c r="AC135" i="34"/>
  <c r="AC134" i="34"/>
  <c r="AC133" i="34"/>
  <c r="AC132" i="34"/>
  <c r="AC130" i="34"/>
  <c r="AC127" i="34"/>
  <c r="AC125" i="34"/>
  <c r="AC124" i="34"/>
  <c r="AC122" i="34"/>
  <c r="AC119" i="34"/>
  <c r="AC116" i="34"/>
  <c r="AC115" i="34"/>
  <c r="AC112" i="34"/>
  <c r="AC109" i="34"/>
  <c r="AC107" i="34"/>
  <c r="AC106" i="34"/>
  <c r="AC105" i="34"/>
  <c r="AC103" i="34"/>
  <c r="AC102" i="34"/>
  <c r="AC101" i="34"/>
  <c r="AC100" i="34"/>
  <c r="AC98" i="34"/>
  <c r="AC96" i="34"/>
  <c r="AC95" i="34"/>
  <c r="AC92" i="34"/>
  <c r="AC91" i="34"/>
  <c r="AC88" i="34"/>
  <c r="AC85" i="34"/>
  <c r="AC82" i="34"/>
  <c r="AC81" i="34"/>
  <c r="AC78" i="34"/>
  <c r="AC76" i="34"/>
  <c r="AC74" i="34"/>
  <c r="AC73" i="34"/>
  <c r="AC72" i="34"/>
  <c r="AC71" i="34"/>
  <c r="AC68" i="34"/>
  <c r="AC66" i="34"/>
  <c r="AC65" i="34"/>
  <c r="AC62" i="34"/>
  <c r="A118" i="55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037" i="34"/>
  <c r="C1344" i="34"/>
  <c r="C1345" i="34"/>
  <c r="C1346" i="34"/>
  <c r="C1349" i="34"/>
  <c r="C1350" i="34"/>
  <c r="C1351" i="34"/>
  <c r="C1352" i="34"/>
  <c r="C1353" i="34"/>
  <c r="C1354" i="34"/>
  <c r="C1355" i="34"/>
  <c r="C1356" i="34"/>
  <c r="A17" i="82" s="1"/>
  <c r="C1357" i="34"/>
  <c r="C1358" i="34"/>
  <c r="C1359" i="34"/>
  <c r="C1360" i="34"/>
  <c r="C1361" i="34"/>
  <c r="C1362" i="34"/>
  <c r="K1086" i="34"/>
  <c r="K1085" i="34"/>
  <c r="C1051" i="34"/>
  <c r="C1052" i="34"/>
  <c r="C1085" i="34"/>
  <c r="C1086" i="34"/>
  <c r="C1087" i="34"/>
  <c r="C1020" i="34"/>
  <c r="C1021" i="34"/>
  <c r="C1028" i="34"/>
  <c r="C1029" i="34"/>
  <c r="C103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3" i="34"/>
  <c r="C1144" i="34"/>
  <c r="C1145" i="34"/>
  <c r="C1146" i="34"/>
  <c r="K1131" i="34"/>
  <c r="K1132" i="34"/>
  <c r="K1133" i="34"/>
  <c r="K1134" i="34"/>
  <c r="K1135" i="34"/>
  <c r="K1136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07" i="34"/>
  <c r="K1108" i="34"/>
  <c r="K1109" i="34"/>
  <c r="K1110" i="34"/>
  <c r="K1111" i="34"/>
  <c r="K1112" i="34"/>
  <c r="K1113" i="34"/>
  <c r="K1114" i="34"/>
  <c r="K1115" i="34"/>
  <c r="K1106" i="34"/>
  <c r="K1103" i="34"/>
  <c r="K1094" i="34"/>
  <c r="K1095" i="34"/>
  <c r="K1096" i="34"/>
  <c r="K1093" i="34"/>
  <c r="K1090" i="34"/>
  <c r="K1089" i="34"/>
  <c r="K1079" i="34"/>
  <c r="K1080" i="34"/>
  <c r="K1081" i="34"/>
  <c r="K1082" i="34"/>
  <c r="K1083" i="34"/>
  <c r="K1078" i="34"/>
  <c r="C1081" i="34"/>
  <c r="C1082" i="34"/>
  <c r="C1083" i="34"/>
  <c r="C1084" i="34"/>
  <c r="C1089" i="34"/>
  <c r="C1090" i="34"/>
  <c r="C1092" i="34"/>
  <c r="C1093" i="34"/>
  <c r="C1094" i="34"/>
  <c r="C1095" i="34"/>
  <c r="C1096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1057" i="34"/>
  <c r="K1054" i="34"/>
  <c r="K1048" i="34"/>
  <c r="K1043" i="34"/>
  <c r="K1042" i="34"/>
  <c r="C1042" i="34"/>
  <c r="C1043" i="34"/>
  <c r="C1044" i="34"/>
  <c r="C1045" i="34"/>
  <c r="C1046" i="34"/>
  <c r="C1047" i="34"/>
  <c r="C1048" i="34"/>
  <c r="C1050" i="34"/>
  <c r="C1054" i="34"/>
  <c r="C1056" i="34"/>
  <c r="C1057" i="34"/>
  <c r="C1059" i="34"/>
  <c r="C1078" i="34"/>
  <c r="C1079" i="34"/>
  <c r="C1080" i="34"/>
  <c r="K1307" i="34"/>
  <c r="K1341" i="34"/>
  <c r="K1338" i="34"/>
  <c r="K1335" i="34"/>
  <c r="K1332" i="34"/>
  <c r="K1329" i="34"/>
  <c r="K1326" i="34"/>
  <c r="K1322" i="34"/>
  <c r="K1319" i="34"/>
  <c r="K1314" i="34"/>
  <c r="K1311" i="34"/>
  <c r="K1309" i="34"/>
  <c r="K1296" i="34"/>
  <c r="K1291" i="34"/>
  <c r="K1282" i="34"/>
  <c r="K1275" i="34"/>
  <c r="K1250" i="34"/>
  <c r="K1232" i="34"/>
  <c r="K1231" i="34"/>
  <c r="K1229" i="34"/>
  <c r="K1225" i="34"/>
  <c r="K1218" i="34"/>
  <c r="K1217" i="34"/>
  <c r="K1215" i="34"/>
  <c r="K1213" i="34"/>
  <c r="K1206" i="34"/>
  <c r="K1205" i="34"/>
  <c r="K1199" i="34"/>
  <c r="K1196" i="34"/>
  <c r="K1194" i="34"/>
  <c r="K1073" i="34"/>
  <c r="K1074" i="34"/>
  <c r="K1075" i="34"/>
  <c r="K1069" i="34"/>
  <c r="K1070" i="34"/>
  <c r="K1071" i="34"/>
  <c r="K1072" i="34"/>
  <c r="K1068" i="34"/>
  <c r="K1186" i="34"/>
  <c r="K1180" i="34"/>
  <c r="K1174" i="34"/>
  <c r="K1178" i="34"/>
  <c r="C1173" i="34"/>
  <c r="C1178" i="34"/>
  <c r="C1179" i="34"/>
  <c r="C1174" i="34"/>
  <c r="C1175" i="34"/>
  <c r="C1180" i="34"/>
  <c r="C1181" i="34"/>
  <c r="C1186" i="34"/>
  <c r="C1187" i="34"/>
  <c r="C1068" i="34"/>
  <c r="C1069" i="34"/>
  <c r="C1070" i="34"/>
  <c r="C1071" i="34"/>
  <c r="C1072" i="34"/>
  <c r="C1073" i="34"/>
  <c r="C1074" i="34"/>
  <c r="C1075" i="34"/>
  <c r="C1076" i="34"/>
  <c r="C1194" i="34"/>
  <c r="C1195" i="34"/>
  <c r="C1196" i="34"/>
  <c r="C1197" i="34"/>
  <c r="C1199" i="34"/>
  <c r="C1200" i="34"/>
  <c r="C1205" i="34"/>
  <c r="C1206" i="34"/>
  <c r="C1207" i="34"/>
  <c r="C1213" i="34"/>
  <c r="C1214" i="34"/>
  <c r="C1215" i="34"/>
  <c r="C1216" i="34"/>
  <c r="C1217" i="34"/>
  <c r="C1218" i="34"/>
  <c r="C1219" i="34"/>
  <c r="C1225" i="34"/>
  <c r="C1226" i="34"/>
  <c r="C1229" i="34"/>
  <c r="C1230" i="34"/>
  <c r="C1231" i="34"/>
  <c r="C1232" i="34"/>
  <c r="C1233" i="34"/>
  <c r="C1250" i="34"/>
  <c r="C1251" i="34"/>
  <c r="C1275" i="34"/>
  <c r="C1277" i="34"/>
  <c r="C1282" i="34"/>
  <c r="C1284" i="34"/>
  <c r="C1291" i="34"/>
  <c r="C1293" i="34"/>
  <c r="C1296" i="34"/>
  <c r="C1298" i="34"/>
  <c r="C1309" i="34"/>
  <c r="C1310" i="34"/>
  <c r="C1311" i="34"/>
  <c r="C1313" i="34"/>
  <c r="C1314" i="34"/>
  <c r="C1315" i="34"/>
  <c r="C1319" i="34"/>
  <c r="C1320" i="34"/>
  <c r="C1322" i="34"/>
  <c r="C1323" i="34"/>
  <c r="C1326" i="34"/>
  <c r="C1327" i="34"/>
  <c r="C1329" i="34"/>
  <c r="C1330" i="34"/>
  <c r="C1331" i="34"/>
  <c r="C1332" i="34"/>
  <c r="C1333" i="34"/>
  <c r="C1335" i="34"/>
  <c r="C1337" i="34"/>
  <c r="C1338" i="34"/>
  <c r="C1340" i="34"/>
  <c r="C1341" i="34"/>
  <c r="C1343" i="34"/>
  <c r="C1227" i="34"/>
  <c r="C1252" i="34"/>
  <c r="C1254" i="34"/>
  <c r="C1261" i="34"/>
  <c r="C1263" i="34"/>
  <c r="C1307" i="34"/>
  <c r="C1308" i="34"/>
  <c r="C1142" i="34"/>
  <c r="C1038" i="34"/>
  <c r="C1039" i="34"/>
  <c r="C1040" i="34"/>
  <c r="C1041" i="34"/>
  <c r="K1172" i="34"/>
  <c r="K1163" i="34"/>
  <c r="K1158" i="34"/>
  <c r="K1169" i="34"/>
  <c r="K1170" i="34"/>
  <c r="K1168" i="34"/>
  <c r="K1156" i="34"/>
  <c r="K1155" i="34"/>
  <c r="C1161" i="34"/>
  <c r="C1162" i="34"/>
  <c r="C1155" i="34"/>
  <c r="C1156" i="34"/>
  <c r="C1157" i="34"/>
  <c r="C1168" i="34"/>
  <c r="C1169" i="34"/>
  <c r="C1170" i="34"/>
  <c r="C1171" i="34"/>
  <c r="C1158" i="34"/>
  <c r="C1159" i="34"/>
  <c r="C1163" i="34"/>
  <c r="C1164" i="34"/>
  <c r="C1172" i="34"/>
  <c r="C1160" i="34"/>
  <c r="K1161" i="34"/>
  <c r="K1160" i="34"/>
  <c r="C1148" i="34"/>
  <c r="C1147" i="34"/>
  <c r="K1147" i="34"/>
  <c r="K1184" i="34"/>
  <c r="K1065" i="34"/>
  <c r="C1065" i="34"/>
  <c r="B1065" i="34" s="1"/>
  <c r="K1062" i="34"/>
  <c r="K1063" i="34"/>
  <c r="K1064" i="34"/>
  <c r="K1061" i="34"/>
  <c r="K1153" i="34"/>
  <c r="K1318" i="34"/>
  <c r="K1317" i="34"/>
  <c r="K1295" i="34"/>
  <c r="K1294" i="34"/>
  <c r="K1272" i="34"/>
  <c r="K1271" i="34"/>
  <c r="K1306" i="34"/>
  <c r="K1305" i="34"/>
  <c r="K1302" i="34"/>
  <c r="K1299" i="34"/>
  <c r="K1288" i="34"/>
  <c r="K1285" i="34"/>
  <c r="C1270" i="34"/>
  <c r="B1270" i="34" s="1"/>
  <c r="K1268" i="34"/>
  <c r="K1256" i="34"/>
  <c r="K1247" i="34"/>
  <c r="K1246" i="34"/>
  <c r="K1239" i="34"/>
  <c r="K1238" i="34"/>
  <c r="K1237" i="34"/>
  <c r="C1236" i="34"/>
  <c r="B1236" i="34" s="1"/>
  <c r="C1151" i="34"/>
  <c r="B1151" i="34" s="1"/>
  <c r="K1234" i="34"/>
  <c r="K1222" i="34"/>
  <c r="K1220" i="34"/>
  <c r="K1209" i="34"/>
  <c r="K1210" i="34"/>
  <c r="K1208" i="34"/>
  <c r="E21" i="55"/>
  <c r="B15" i="55"/>
  <c r="A15" i="55" s="1"/>
  <c r="G15" i="55" a="1"/>
  <c r="G15" i="55" s="1"/>
  <c r="I15" i="55" a="1"/>
  <c r="I15" i="55" s="1"/>
  <c r="K1202" i="34"/>
  <c r="K1188" i="34"/>
  <c r="R1065" i="34" l="1"/>
  <c r="V1065" i="34"/>
  <c r="AA1065" i="34"/>
  <c r="P1065" i="34"/>
  <c r="Q1065" i="34"/>
  <c r="AA1151" i="34"/>
  <c r="P1151" i="34"/>
  <c r="Q1151" i="34"/>
  <c r="R1151" i="34"/>
  <c r="V1151" i="34"/>
  <c r="Q1236" i="34"/>
  <c r="R1236" i="34"/>
  <c r="V1236" i="34"/>
  <c r="AA1236" i="34"/>
  <c r="P1236" i="34"/>
  <c r="P1270" i="34"/>
  <c r="Q1270" i="34"/>
  <c r="R1270" i="34"/>
  <c r="V1270" i="34"/>
  <c r="AA1270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A1236" i="34"/>
  <c r="A1270" i="34"/>
  <c r="A1065" i="34"/>
  <c r="A1151" i="34"/>
  <c r="K15" i="55"/>
  <c r="K1176" i="34"/>
  <c r="K1165" i="34"/>
  <c r="K1149" i="34"/>
  <c r="K1033" i="34"/>
  <c r="K1032" i="34"/>
  <c r="K1023" i="34"/>
  <c r="K1022" i="34"/>
  <c r="K1017" i="34"/>
  <c r="K1008" i="34"/>
  <c r="K1007" i="34"/>
  <c r="K1012" i="34"/>
  <c r="K1009" i="34"/>
  <c r="C1007" i="34"/>
  <c r="C1008" i="34"/>
  <c r="C1009" i="34"/>
  <c r="C1010" i="34"/>
  <c r="C1012" i="34"/>
  <c r="C1014" i="34"/>
  <c r="C1015" i="34"/>
  <c r="C1016" i="34"/>
  <c r="C1017" i="34"/>
  <c r="C1018" i="34"/>
  <c r="C1022" i="34"/>
  <c r="C1023" i="34"/>
  <c r="C1024" i="34"/>
  <c r="C1025" i="34"/>
  <c r="C1032" i="34"/>
  <c r="C1033" i="34"/>
  <c r="C1034" i="34"/>
  <c r="C1035" i="34"/>
  <c r="C1149" i="34"/>
  <c r="C1150" i="34"/>
  <c r="C1165" i="34"/>
  <c r="C1167" i="34"/>
  <c r="C1176" i="34"/>
  <c r="C1177" i="34"/>
  <c r="C1182" i="34"/>
  <c r="C1183" i="34"/>
  <c r="C1188" i="34"/>
  <c r="C1189" i="34"/>
  <c r="C1191" i="34"/>
  <c r="C1192" i="34"/>
  <c r="C1202" i="34"/>
  <c r="C1203" i="34"/>
  <c r="C1208" i="34"/>
  <c r="C1209" i="34"/>
  <c r="C1210" i="34"/>
  <c r="C1211" i="34"/>
  <c r="C1220" i="34"/>
  <c r="C1221" i="34"/>
  <c r="C1222" i="34"/>
  <c r="C1223" i="34"/>
  <c r="C1234" i="34"/>
  <c r="C1235" i="34"/>
  <c r="C1237" i="34"/>
  <c r="C1238" i="34"/>
  <c r="C1239" i="34"/>
  <c r="C1240" i="34"/>
  <c r="C1242" i="34"/>
  <c r="C1243" i="34"/>
  <c r="C1244" i="34"/>
  <c r="C1245" i="34"/>
  <c r="C1246" i="34"/>
  <c r="C1247" i="34"/>
  <c r="C1248" i="34"/>
  <c r="C1249" i="34"/>
  <c r="C1256" i="34"/>
  <c r="C1257" i="34"/>
  <c r="C1258" i="34"/>
  <c r="C1259" i="34"/>
  <c r="C1260" i="34"/>
  <c r="C1265" i="34"/>
  <c r="C1266" i="34"/>
  <c r="C1268" i="34"/>
  <c r="C1269" i="34"/>
  <c r="C1273" i="34"/>
  <c r="C1274" i="34"/>
  <c r="C1278" i="34"/>
  <c r="C1279" i="34"/>
  <c r="C1280" i="34"/>
  <c r="C1281" i="34"/>
  <c r="C1285" i="34"/>
  <c r="C1286" i="34"/>
  <c r="C1287" i="34"/>
  <c r="C1288" i="34"/>
  <c r="C1299" i="34"/>
  <c r="C1300" i="34"/>
  <c r="C1301" i="34"/>
  <c r="C1302" i="34"/>
  <c r="C1303" i="34"/>
  <c r="C1304" i="34"/>
  <c r="C1305" i="34"/>
  <c r="C1306" i="34"/>
  <c r="C1324" i="34"/>
  <c r="C1325" i="34"/>
  <c r="C1271" i="34"/>
  <c r="C1272" i="34"/>
  <c r="C1294" i="34"/>
  <c r="C1295" i="34"/>
  <c r="C1317" i="34"/>
  <c r="C1318" i="34"/>
  <c r="C1030" i="34"/>
  <c r="C1031" i="34"/>
  <c r="C1077" i="34"/>
  <c r="C1152" i="34"/>
  <c r="C1153" i="34"/>
  <c r="C1154" i="34"/>
  <c r="C1193" i="34"/>
  <c r="C1061" i="34"/>
  <c r="C1062" i="34"/>
  <c r="C1063" i="34"/>
  <c r="C1064" i="34"/>
  <c r="C1067" i="34"/>
  <c r="C1184" i="34"/>
  <c r="C1185" i="34"/>
  <c r="C1006" i="34" l="1"/>
  <c r="C1000" i="34"/>
  <c r="C1001" i="34"/>
  <c r="C1002" i="34"/>
  <c r="C1003" i="34"/>
  <c r="C1004" i="34"/>
  <c r="C1005" i="34"/>
  <c r="C992" i="34"/>
  <c r="C993" i="34"/>
  <c r="C994" i="34"/>
  <c r="C995" i="34"/>
  <c r="C996" i="34"/>
  <c r="C997" i="34"/>
  <c r="C998" i="34"/>
  <c r="C999" i="34"/>
  <c r="C991" i="34"/>
  <c r="C988" i="34"/>
  <c r="C989" i="34"/>
  <c r="C990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59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05" i="34"/>
  <c r="C906" i="34"/>
  <c r="C907" i="34"/>
  <c r="C908" i="34"/>
  <c r="C909" i="34"/>
  <c r="C910" i="34"/>
  <c r="C91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891" i="34"/>
  <c r="C881" i="34"/>
  <c r="C882" i="34"/>
  <c r="C883" i="34"/>
  <c r="C884" i="34"/>
  <c r="C885" i="34"/>
  <c r="C886" i="34"/>
  <c r="C887" i="34"/>
  <c r="C888" i="34"/>
  <c r="C889" i="34"/>
  <c r="C890" i="34"/>
  <c r="C880" i="34"/>
  <c r="C879" i="34"/>
  <c r="C877" i="34"/>
  <c r="C878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56" i="34"/>
  <c r="C857" i="34"/>
  <c r="C858" i="34"/>
  <c r="C859" i="34"/>
  <c r="C860" i="34"/>
  <c r="C849" i="34"/>
  <c r="C850" i="34"/>
  <c r="C851" i="34"/>
  <c r="C852" i="34"/>
  <c r="C853" i="34"/>
  <c r="C854" i="34"/>
  <c r="C855" i="34"/>
  <c r="C840" i="34"/>
  <c r="C841" i="34"/>
  <c r="C842" i="34"/>
  <c r="C843" i="34"/>
  <c r="C844" i="34"/>
  <c r="C845" i="34"/>
  <c r="C846" i="34"/>
  <c r="C847" i="34"/>
  <c r="C848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AC126" i="34" l="1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63" i="34"/>
  <c r="AC67" i="34"/>
  <c r="AC69" i="34"/>
  <c r="AC75" i="34"/>
  <c r="AC77" i="34"/>
  <c r="AC79" i="34"/>
  <c r="AC83" i="34"/>
  <c r="AC86" i="34"/>
  <c r="AC89" i="34"/>
  <c r="AC93" i="34"/>
  <c r="AC97" i="34"/>
  <c r="AC99" i="34"/>
  <c r="AC104" i="34"/>
  <c r="AC108" i="34"/>
  <c r="AC110" i="34"/>
  <c r="AC113" i="34"/>
  <c r="AC117" i="34"/>
  <c r="AC120" i="34"/>
  <c r="AC123" i="34"/>
  <c r="AC128" i="34"/>
  <c r="AC131" i="34"/>
  <c r="AC136" i="34"/>
  <c r="AC140" i="34"/>
  <c r="AC145" i="34"/>
  <c r="AC149" i="34"/>
  <c r="AC152" i="34"/>
  <c r="AC155" i="34"/>
  <c r="AC158" i="34"/>
  <c r="AC160" i="34"/>
  <c r="AC166" i="34"/>
  <c r="AC169" i="34"/>
  <c r="AC173" i="34"/>
  <c r="AC176" i="34"/>
  <c r="AC180" i="34"/>
  <c r="AC183" i="34"/>
  <c r="AC186" i="34"/>
  <c r="AC188" i="34"/>
  <c r="AC191" i="34"/>
  <c r="AC194" i="34"/>
  <c r="AC197" i="34"/>
  <c r="AC203" i="34"/>
  <c r="AC206" i="34"/>
  <c r="AC208" i="34"/>
  <c r="AC211" i="34"/>
  <c r="AC213" i="34"/>
  <c r="AC216" i="34"/>
  <c r="AC219" i="34"/>
  <c r="AC224" i="34"/>
  <c r="AC226" i="34"/>
  <c r="AC229" i="34"/>
  <c r="AC232" i="34"/>
  <c r="AC234" i="34"/>
  <c r="AC237" i="34"/>
  <c r="AC242" i="34"/>
  <c r="AC246" i="34"/>
  <c r="AC250" i="34"/>
  <c r="AC253" i="34"/>
  <c r="AC256" i="34"/>
  <c r="AC258" i="34"/>
  <c r="AC260" i="34"/>
  <c r="AC264" i="34"/>
  <c r="AC267" i="34"/>
  <c r="AC270" i="34"/>
  <c r="AC274" i="34"/>
  <c r="AC278" i="34"/>
  <c r="AC282" i="34"/>
  <c r="AC286" i="34"/>
  <c r="AC290" i="34"/>
  <c r="AC294" i="34"/>
  <c r="AC298" i="34"/>
  <c r="AC304" i="34"/>
  <c r="AC308" i="34"/>
  <c r="AC311" i="34"/>
  <c r="AC313" i="34"/>
  <c r="AC319" i="34"/>
  <c r="AC322" i="34"/>
  <c r="AC325" i="34"/>
  <c r="AC329" i="34"/>
  <c r="AC331" i="34"/>
  <c r="AC336" i="34"/>
  <c r="AC338" i="34"/>
  <c r="AC341" i="34"/>
  <c r="AC344" i="34"/>
  <c r="AC348" i="34"/>
  <c r="AC352" i="34"/>
  <c r="AC354" i="34"/>
  <c r="AC356" i="34"/>
  <c r="AC364" i="34"/>
  <c r="AC366" i="34"/>
  <c r="AC369" i="34"/>
  <c r="AC373" i="34"/>
  <c r="AC375" i="34"/>
  <c r="AC381" i="34"/>
  <c r="AC383" i="34"/>
  <c r="AC386" i="34"/>
  <c r="AC388" i="34"/>
  <c r="AC390" i="34"/>
  <c r="AC393" i="34"/>
  <c r="AC396" i="34"/>
  <c r="AC399" i="34"/>
  <c r="AC406" i="34"/>
  <c r="AC409" i="34"/>
  <c r="AC411" i="34"/>
  <c r="AC415" i="34"/>
  <c r="AC420" i="34"/>
  <c r="AC422" i="34"/>
  <c r="AC425" i="34"/>
  <c r="AC429" i="34"/>
  <c r="AC435" i="34"/>
  <c r="AC437" i="34"/>
  <c r="AC440" i="34"/>
  <c r="AC444" i="34"/>
  <c r="AC446" i="34"/>
  <c r="AC450" i="34"/>
  <c r="AC452" i="34"/>
  <c r="AC455" i="34"/>
  <c r="AC460" i="34"/>
  <c r="AC462" i="34"/>
  <c r="AC466" i="34"/>
  <c r="AC472" i="34"/>
  <c r="AC474" i="34"/>
  <c r="AC478" i="34"/>
  <c r="AC484" i="34"/>
  <c r="AC487" i="34"/>
  <c r="AC489" i="34"/>
  <c r="AC491" i="34"/>
  <c r="AC493" i="34"/>
  <c r="AC499" i="34"/>
  <c r="AC503" i="34"/>
  <c r="AC513" i="34"/>
  <c r="AC515" i="34"/>
  <c r="AC519" i="34"/>
  <c r="AC522" i="34"/>
  <c r="AC525" i="34"/>
  <c r="AC529" i="34"/>
  <c r="AC531" i="34"/>
  <c r="AC535" i="34"/>
  <c r="AC541" i="34"/>
  <c r="AC543" i="34"/>
  <c r="AC545" i="34"/>
  <c r="AC555" i="34"/>
  <c r="AC557" i="34"/>
  <c r="AC562" i="34"/>
  <c r="AC565" i="34"/>
  <c r="AC567" i="34"/>
  <c r="AC570" i="34"/>
  <c r="AC574" i="34"/>
  <c r="AC577" i="34"/>
  <c r="AC579" i="34"/>
  <c r="AC582" i="34"/>
  <c r="AC587" i="34"/>
  <c r="AC589" i="34"/>
  <c r="AC593" i="34"/>
  <c r="AC597" i="34"/>
  <c r="AC599" i="34"/>
  <c r="AC603" i="34"/>
  <c r="AC606" i="34"/>
  <c r="AC608" i="34"/>
  <c r="AC618" i="34"/>
  <c r="AC622" i="34"/>
  <c r="AC625" i="34"/>
  <c r="AC629" i="34"/>
  <c r="AC634" i="34"/>
  <c r="AC636" i="34"/>
  <c r="AC639" i="34"/>
  <c r="AC641" i="34"/>
  <c r="AC647" i="34"/>
  <c r="AC655" i="34"/>
  <c r="AC660" i="34"/>
  <c r="AC663" i="34"/>
  <c r="AC665" i="34"/>
  <c r="AC668" i="34"/>
  <c r="AC672" i="34"/>
  <c r="AC674" i="34"/>
  <c r="AC679" i="34"/>
  <c r="AC683" i="34"/>
  <c r="AC685" i="34"/>
  <c r="AC689" i="34"/>
  <c r="AC692" i="34"/>
  <c r="AC695" i="34"/>
  <c r="AC702" i="34"/>
  <c r="AC704" i="34"/>
  <c r="AC706" i="34"/>
  <c r="AC709" i="34"/>
  <c r="AC711" i="34"/>
  <c r="AC713" i="34"/>
  <c r="AC716" i="34"/>
  <c r="AC719" i="34"/>
  <c r="AC723" i="34"/>
  <c r="AC727" i="34"/>
  <c r="AC731" i="34"/>
  <c r="AC734" i="34"/>
  <c r="AC738" i="34"/>
  <c r="AC741" i="34"/>
  <c r="AC744" i="34"/>
  <c r="AC748" i="34"/>
  <c r="AC750" i="34"/>
  <c r="AC756" i="34"/>
  <c r="AC767" i="34"/>
  <c r="AC769" i="34"/>
  <c r="AC772" i="34"/>
  <c r="AC776" i="34"/>
  <c r="AC781" i="34"/>
  <c r="AC785" i="34"/>
  <c r="AC788" i="34"/>
  <c r="AC791" i="34"/>
  <c r="AC794" i="34"/>
  <c r="AC797" i="34"/>
  <c r="AC799" i="34"/>
  <c r="AC803" i="34"/>
  <c r="AC805" i="34"/>
  <c r="AC811" i="34"/>
  <c r="AC816" i="34"/>
  <c r="AC819" i="34"/>
  <c r="A19" i="70"/>
  <c r="A9" i="70"/>
  <c r="A17" i="70"/>
  <c r="A40" i="70"/>
  <c r="A12" i="70"/>
  <c r="A30" i="70"/>
  <c r="A41" i="70"/>
  <c r="A37" i="70"/>
  <c r="A39" i="70"/>
  <c r="A21" i="70"/>
  <c r="A31" i="70"/>
  <c r="K818" i="34" l="1"/>
  <c r="K815" i="34"/>
  <c r="K814" i="34"/>
  <c r="K813" i="34"/>
  <c r="K812" i="34"/>
  <c r="K810" i="34"/>
  <c r="K809" i="34"/>
  <c r="K808" i="34"/>
  <c r="K807" i="34"/>
  <c r="K804" i="34"/>
  <c r="K806" i="34" s="1"/>
  <c r="K802" i="34"/>
  <c r="K801" i="34"/>
  <c r="K798" i="34"/>
  <c r="K796" i="34"/>
  <c r="K795" i="34"/>
  <c r="K793" i="34"/>
  <c r="K792" i="34"/>
  <c r="K790" i="34"/>
  <c r="K787" i="34"/>
  <c r="K784" i="34"/>
  <c r="K783" i="34"/>
  <c r="K782" i="34"/>
  <c r="K780" i="34"/>
  <c r="K779" i="34"/>
  <c r="K778" i="34"/>
  <c r="K777" i="34"/>
  <c r="K775" i="34"/>
  <c r="K774" i="34"/>
  <c r="K771" i="34"/>
  <c r="K768" i="34"/>
  <c r="K766" i="34"/>
  <c r="K765" i="34"/>
  <c r="K764" i="34"/>
  <c r="K763" i="34"/>
  <c r="K762" i="34"/>
  <c r="K761" i="34"/>
  <c r="K760" i="34"/>
  <c r="K759" i="34"/>
  <c r="K758" i="34"/>
  <c r="K757" i="34"/>
  <c r="K755" i="34"/>
  <c r="K754" i="34"/>
  <c r="K753" i="34"/>
  <c r="K752" i="34"/>
  <c r="K749" i="34"/>
  <c r="K751" i="34" s="1"/>
  <c r="K747" i="34"/>
  <c r="K746" i="34"/>
  <c r="K743" i="34"/>
  <c r="K740" i="34"/>
  <c r="K737" i="34"/>
  <c r="K736" i="34"/>
  <c r="K733" i="34"/>
  <c r="K730" i="34"/>
  <c r="K729" i="34"/>
  <c r="K728" i="34"/>
  <c r="K726" i="34"/>
  <c r="K725" i="34"/>
  <c r="K724" i="34"/>
  <c r="K722" i="34"/>
  <c r="K721" i="34"/>
  <c r="K718" i="34"/>
  <c r="K715" i="34"/>
  <c r="K712" i="34"/>
  <c r="K710" i="34"/>
  <c r="K708" i="34"/>
  <c r="K705" i="34"/>
  <c r="K703" i="34"/>
  <c r="K701" i="34"/>
  <c r="K700" i="34"/>
  <c r="K699" i="34"/>
  <c r="K698" i="34"/>
  <c r="K697" i="34"/>
  <c r="K694" i="34"/>
  <c r="K691" i="34"/>
  <c r="K688" i="34"/>
  <c r="K687" i="34"/>
  <c r="K684" i="34"/>
  <c r="K682" i="34"/>
  <c r="K681" i="34"/>
  <c r="K680" i="34"/>
  <c r="K678" i="34"/>
  <c r="K677" i="34"/>
  <c r="K676" i="34"/>
  <c r="K673" i="34"/>
  <c r="K671" i="34"/>
  <c r="K670" i="34"/>
  <c r="K669" i="34"/>
  <c r="K667" i="34"/>
  <c r="K664" i="34"/>
  <c r="K662" i="34"/>
  <c r="K661" i="34"/>
  <c r="K659" i="34"/>
  <c r="K658" i="34"/>
  <c r="K657" i="34"/>
  <c r="K654" i="34"/>
  <c r="K652" i="34"/>
  <c r="K651" i="34"/>
  <c r="K650" i="34"/>
  <c r="K649" i="34"/>
  <c r="K646" i="34"/>
  <c r="K645" i="34"/>
  <c r="K644" i="34"/>
  <c r="K643" i="34"/>
  <c r="K640" i="34"/>
  <c r="K642" i="34" s="1"/>
  <c r="K638" i="34"/>
  <c r="K635" i="34"/>
  <c r="K633" i="34"/>
  <c r="K632" i="34"/>
  <c r="K631" i="34"/>
  <c r="K628" i="34"/>
  <c r="K627" i="34"/>
  <c r="K624" i="34"/>
  <c r="K621" i="34"/>
  <c r="K620" i="34"/>
  <c r="K619" i="34"/>
  <c r="K617" i="34"/>
  <c r="K616" i="34"/>
  <c r="K615" i="34"/>
  <c r="K614" i="34"/>
  <c r="K613" i="34"/>
  <c r="K612" i="34"/>
  <c r="K611" i="34"/>
  <c r="K610" i="34"/>
  <c r="K609" i="34"/>
  <c r="K607" i="34"/>
  <c r="K605" i="34"/>
  <c r="K604" i="34"/>
  <c r="K602" i="34"/>
  <c r="K601" i="34"/>
  <c r="K598" i="34"/>
  <c r="K596" i="34"/>
  <c r="K595" i="34"/>
  <c r="K592" i="34"/>
  <c r="K591" i="34"/>
  <c r="K590" i="34"/>
  <c r="K588" i="34"/>
  <c r="K586" i="34"/>
  <c r="K585" i="34"/>
  <c r="K584" i="34"/>
  <c r="K581" i="34"/>
  <c r="K580" i="34"/>
  <c r="K578" i="34"/>
  <c r="K576" i="34"/>
  <c r="K575" i="34"/>
  <c r="K573" i="34"/>
  <c r="K572" i="34"/>
  <c r="K569" i="34"/>
  <c r="K566" i="34"/>
  <c r="K564" i="34"/>
  <c r="K563" i="34"/>
  <c r="K561" i="34"/>
  <c r="K560" i="34"/>
  <c r="K559" i="34"/>
  <c r="K558" i="34"/>
  <c r="K556" i="34"/>
  <c r="K554" i="34"/>
  <c r="K553" i="34"/>
  <c r="K552" i="34"/>
  <c r="K551" i="34"/>
  <c r="K550" i="34"/>
  <c r="K549" i="34"/>
  <c r="K548" i="34"/>
  <c r="K547" i="34"/>
  <c r="K544" i="34"/>
  <c r="K542" i="34"/>
  <c r="K540" i="34"/>
  <c r="K539" i="34"/>
  <c r="K538" i="34"/>
  <c r="K537" i="34"/>
  <c r="K536" i="34"/>
  <c r="K534" i="34"/>
  <c r="K533" i="34"/>
  <c r="K530" i="34"/>
  <c r="K528" i="34"/>
  <c r="K527" i="34"/>
  <c r="K524" i="34"/>
  <c r="K521" i="34"/>
  <c r="K518" i="34"/>
  <c r="K517" i="34"/>
  <c r="K514" i="34"/>
  <c r="K512" i="34"/>
  <c r="K511" i="34"/>
  <c r="K510" i="34"/>
  <c r="K509" i="34"/>
  <c r="K508" i="34"/>
  <c r="K507" i="34"/>
  <c r="K506" i="34"/>
  <c r="K505" i="34"/>
  <c r="K502" i="34"/>
  <c r="K501" i="34"/>
  <c r="K498" i="34"/>
  <c r="K497" i="34"/>
  <c r="K496" i="34"/>
  <c r="K495" i="34"/>
  <c r="K494" i="34"/>
  <c r="K492" i="34"/>
  <c r="K490" i="34"/>
  <c r="K488" i="34"/>
  <c r="K486" i="34"/>
  <c r="K485" i="34"/>
  <c r="K483" i="34"/>
  <c r="K482" i="34"/>
  <c r="K481" i="34"/>
  <c r="K480" i="34"/>
  <c r="K477" i="34"/>
  <c r="K476" i="34"/>
  <c r="K473" i="34"/>
  <c r="K471" i="34"/>
  <c r="K470" i="34"/>
  <c r="K469" i="34"/>
  <c r="K468" i="34"/>
  <c r="K467" i="34"/>
  <c r="K465" i="34"/>
  <c r="K464" i="34"/>
  <c r="K461" i="34"/>
  <c r="K459" i="34"/>
  <c r="K458" i="34"/>
  <c r="K457" i="34"/>
  <c r="K454" i="34"/>
  <c r="K451" i="34"/>
  <c r="K449" i="34"/>
  <c r="K448" i="34"/>
  <c r="K445" i="34"/>
  <c r="K443" i="34"/>
  <c r="K442" i="34"/>
  <c r="K439" i="34"/>
  <c r="K436" i="34"/>
  <c r="K434" i="34"/>
  <c r="K433" i="34"/>
  <c r="K432" i="34"/>
  <c r="K431" i="34"/>
  <c r="K430" i="34"/>
  <c r="K428" i="34"/>
  <c r="K427" i="34"/>
  <c r="K424" i="34"/>
  <c r="K423" i="34"/>
  <c r="K421" i="34"/>
  <c r="K419" i="34"/>
  <c r="K418" i="34"/>
  <c r="K417" i="34"/>
  <c r="K416" i="34"/>
  <c r="K414" i="34"/>
  <c r="K413" i="34"/>
  <c r="K412" i="34"/>
  <c r="K410" i="34"/>
  <c r="K408" i="34"/>
  <c r="K407" i="34"/>
  <c r="K405" i="34"/>
  <c r="K404" i="34"/>
  <c r="K403" i="34"/>
  <c r="K402" i="34"/>
  <c r="K401" i="34"/>
  <c r="K400" i="34"/>
  <c r="K398" i="34"/>
  <c r="K395" i="34"/>
  <c r="K394" i="34"/>
  <c r="K392" i="34"/>
  <c r="K389" i="34"/>
  <c r="K387" i="34"/>
  <c r="K385" i="34"/>
  <c r="K382" i="34"/>
  <c r="K380" i="34"/>
  <c r="K379" i="34"/>
  <c r="K378" i="34"/>
  <c r="K377" i="34"/>
  <c r="K376" i="34"/>
  <c r="K374" i="34"/>
  <c r="K372" i="34"/>
  <c r="K371" i="34"/>
  <c r="K368" i="34"/>
  <c r="K365" i="34"/>
  <c r="K363" i="34"/>
  <c r="K362" i="34"/>
  <c r="K361" i="34"/>
  <c r="K360" i="34"/>
  <c r="K359" i="34"/>
  <c r="K358" i="34"/>
  <c r="K355" i="34"/>
  <c r="K353" i="34"/>
  <c r="K351" i="34"/>
  <c r="K350" i="34"/>
  <c r="K347" i="34"/>
  <c r="K346" i="34"/>
  <c r="K343" i="34"/>
  <c r="K342" i="34"/>
  <c r="K340" i="34"/>
  <c r="K339" i="34"/>
  <c r="K337" i="34"/>
  <c r="K335" i="34"/>
  <c r="K334" i="34"/>
  <c r="K333" i="34"/>
  <c r="K330" i="34"/>
  <c r="K328" i="34"/>
  <c r="K327" i="34"/>
  <c r="K324" i="34"/>
  <c r="K321" i="34"/>
  <c r="K318" i="34"/>
  <c r="K317" i="34"/>
  <c r="K316" i="34"/>
  <c r="K315" i="34"/>
  <c r="K312" i="34"/>
  <c r="K310" i="34"/>
  <c r="K309" i="34"/>
  <c r="K307" i="34"/>
  <c r="K306" i="34"/>
  <c r="K305" i="34"/>
  <c r="K303" i="34"/>
  <c r="K302" i="34"/>
  <c r="K301" i="34"/>
  <c r="K300" i="34"/>
  <c r="K299" i="34"/>
  <c r="K297" i="34"/>
  <c r="K296" i="34"/>
  <c r="K293" i="34"/>
  <c r="K292" i="34"/>
  <c r="K289" i="34"/>
  <c r="K288" i="34"/>
  <c r="K285" i="34"/>
  <c r="K284" i="34"/>
  <c r="K283" i="34"/>
  <c r="K281" i="34"/>
  <c r="K280" i="34"/>
  <c r="K277" i="34"/>
  <c r="K276" i="34"/>
  <c r="K273" i="34"/>
  <c r="K272" i="34"/>
  <c r="K269" i="34"/>
  <c r="K271" i="34" s="1"/>
  <c r="K266" i="34"/>
  <c r="K263" i="34"/>
  <c r="K262" i="34"/>
  <c r="K259" i="34"/>
  <c r="K257" i="34"/>
  <c r="K255" i="34"/>
  <c r="K252" i="34"/>
  <c r="K249" i="34"/>
  <c r="K248" i="34"/>
  <c r="K245" i="34"/>
  <c r="K244" i="34"/>
  <c r="K241" i="34"/>
  <c r="K240" i="34"/>
  <c r="K239" i="34"/>
  <c r="K238" i="34"/>
  <c r="K236" i="34"/>
  <c r="K233" i="34"/>
  <c r="K231" i="34"/>
  <c r="K228" i="34"/>
  <c r="K225" i="34"/>
  <c r="K223" i="34"/>
  <c r="K222" i="34"/>
  <c r="K221" i="34"/>
  <c r="K218" i="34"/>
  <c r="K215" i="34"/>
  <c r="K212" i="34"/>
  <c r="K210" i="34"/>
  <c r="K207" i="34"/>
  <c r="K205" i="34"/>
  <c r="K204" i="34"/>
  <c r="K202" i="34"/>
  <c r="K201" i="34"/>
  <c r="K200" i="34"/>
  <c r="K199" i="34"/>
  <c r="K196" i="34"/>
  <c r="K195" i="34"/>
  <c r="K193" i="34"/>
  <c r="K190" i="34"/>
  <c r="K187" i="34"/>
  <c r="K185" i="34"/>
  <c r="K184" i="34"/>
  <c r="K182" i="34"/>
  <c r="K181" i="34"/>
  <c r="K179" i="34"/>
  <c r="K178" i="34"/>
  <c r="K175" i="34"/>
  <c r="K174" i="34"/>
  <c r="K172" i="34"/>
  <c r="K171" i="34"/>
  <c r="K168" i="34"/>
  <c r="K165" i="34"/>
  <c r="K164" i="34"/>
  <c r="K163" i="34"/>
  <c r="K162" i="34"/>
  <c r="K159" i="34"/>
  <c r="K157" i="34"/>
  <c r="K154" i="34"/>
  <c r="K153" i="34"/>
  <c r="K151" i="34"/>
  <c r="K150" i="34"/>
  <c r="K148" i="34"/>
  <c r="K147" i="34"/>
  <c r="K144" i="34"/>
  <c r="K143" i="34"/>
  <c r="K142" i="34"/>
  <c r="K141" i="34"/>
  <c r="K139" i="34"/>
  <c r="K138" i="34"/>
  <c r="K135" i="34"/>
  <c r="K134" i="34"/>
  <c r="K133" i="34"/>
  <c r="K132" i="34"/>
  <c r="K130" i="34"/>
  <c r="K127" i="34"/>
  <c r="K125" i="34"/>
  <c r="K124" i="34"/>
  <c r="K122" i="34"/>
  <c r="K119" i="34"/>
  <c r="K116" i="34"/>
  <c r="K115" i="34"/>
  <c r="K112" i="34"/>
  <c r="K109" i="34"/>
  <c r="K107" i="34"/>
  <c r="K106" i="34"/>
  <c r="K105" i="34"/>
  <c r="K103" i="34"/>
  <c r="K102" i="34"/>
  <c r="K101" i="34"/>
  <c r="K100" i="34"/>
  <c r="K98" i="34"/>
  <c r="K96" i="34"/>
  <c r="K95" i="34"/>
  <c r="K92" i="34"/>
  <c r="K91" i="34"/>
  <c r="K88" i="34"/>
  <c r="K85" i="34"/>
  <c r="K82" i="34"/>
  <c r="K81" i="34"/>
  <c r="K78" i="34"/>
  <c r="K76" i="34"/>
  <c r="K74" i="34"/>
  <c r="K73" i="34"/>
  <c r="K72" i="34"/>
  <c r="K71" i="34"/>
  <c r="K68" i="34"/>
  <c r="K66" i="34"/>
  <c r="K65" i="34"/>
  <c r="K62" i="34"/>
  <c r="C63" i="34"/>
  <c r="C65" i="34"/>
  <c r="C66" i="34"/>
  <c r="C67" i="34"/>
  <c r="C68" i="34"/>
  <c r="C69" i="34"/>
  <c r="C71" i="34"/>
  <c r="C72" i="34"/>
  <c r="C73" i="34"/>
  <c r="C74" i="34"/>
  <c r="C75" i="34"/>
  <c r="C76" i="34"/>
  <c r="C77" i="34"/>
  <c r="C78" i="34"/>
  <c r="C79" i="34"/>
  <c r="C81" i="34"/>
  <c r="C82" i="34"/>
  <c r="C83" i="34"/>
  <c r="C85" i="34"/>
  <c r="C86" i="34"/>
  <c r="C88" i="34"/>
  <c r="C89" i="34"/>
  <c r="C91" i="34"/>
  <c r="C92" i="34"/>
  <c r="C93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2" i="34"/>
  <c r="C113" i="34"/>
  <c r="C115" i="34"/>
  <c r="C116" i="34"/>
  <c r="C117" i="34"/>
  <c r="C119" i="34"/>
  <c r="C120" i="34"/>
  <c r="C122" i="34"/>
  <c r="C123" i="34"/>
  <c r="C124" i="34"/>
  <c r="C125" i="34"/>
  <c r="C126" i="34"/>
  <c r="C127" i="34"/>
  <c r="C128" i="34"/>
  <c r="C130" i="34"/>
  <c r="C131" i="34"/>
  <c r="C132" i="34"/>
  <c r="C133" i="34"/>
  <c r="C134" i="34"/>
  <c r="C135" i="34"/>
  <c r="C136" i="34"/>
  <c r="C138" i="34"/>
  <c r="C139" i="34"/>
  <c r="C140" i="34"/>
  <c r="C141" i="34"/>
  <c r="C142" i="34"/>
  <c r="C143" i="34"/>
  <c r="C144" i="34"/>
  <c r="C145" i="34"/>
  <c r="C147" i="34"/>
  <c r="C148" i="34"/>
  <c r="C149" i="34"/>
  <c r="C150" i="34"/>
  <c r="C151" i="34"/>
  <c r="C152" i="34"/>
  <c r="C153" i="34"/>
  <c r="C154" i="34"/>
  <c r="C155" i="34"/>
  <c r="C157" i="34"/>
  <c r="C158" i="34"/>
  <c r="C159" i="34"/>
  <c r="C160" i="34"/>
  <c r="C162" i="34"/>
  <c r="C163" i="34"/>
  <c r="C164" i="34"/>
  <c r="C165" i="34"/>
  <c r="C166" i="34"/>
  <c r="C168" i="34"/>
  <c r="C169" i="34"/>
  <c r="C171" i="34"/>
  <c r="C172" i="34"/>
  <c r="C173" i="34"/>
  <c r="C174" i="34"/>
  <c r="C175" i="34"/>
  <c r="C176" i="34"/>
  <c r="C178" i="34"/>
  <c r="C179" i="34"/>
  <c r="C180" i="34"/>
  <c r="C181" i="34"/>
  <c r="C182" i="34"/>
  <c r="C183" i="34"/>
  <c r="C184" i="34"/>
  <c r="C185" i="34"/>
  <c r="C186" i="34"/>
  <c r="C187" i="34"/>
  <c r="C188" i="34"/>
  <c r="C190" i="34"/>
  <c r="C191" i="34"/>
  <c r="C193" i="34"/>
  <c r="C194" i="34"/>
  <c r="C195" i="34"/>
  <c r="C196" i="34"/>
  <c r="C197" i="34"/>
  <c r="C199" i="34"/>
  <c r="C200" i="34"/>
  <c r="C201" i="34"/>
  <c r="C202" i="34"/>
  <c r="C203" i="34"/>
  <c r="C204" i="34"/>
  <c r="C205" i="34"/>
  <c r="C206" i="34"/>
  <c r="C207" i="34"/>
  <c r="C208" i="34"/>
  <c r="C210" i="34"/>
  <c r="C211" i="34"/>
  <c r="C212" i="34"/>
  <c r="C213" i="34"/>
  <c r="C215" i="34"/>
  <c r="C216" i="34"/>
  <c r="C218" i="34"/>
  <c r="C219" i="34"/>
  <c r="C221" i="34"/>
  <c r="C222" i="34"/>
  <c r="C223" i="34"/>
  <c r="C224" i="34"/>
  <c r="C225" i="34"/>
  <c r="C226" i="34"/>
  <c r="C228" i="34"/>
  <c r="C229" i="34"/>
  <c r="C231" i="34"/>
  <c r="C232" i="34"/>
  <c r="C233" i="34"/>
  <c r="C234" i="34"/>
  <c r="C236" i="34"/>
  <c r="C237" i="34"/>
  <c r="C238" i="34"/>
  <c r="C239" i="34"/>
  <c r="C240" i="34"/>
  <c r="C241" i="34"/>
  <c r="C242" i="34"/>
  <c r="C244" i="34"/>
  <c r="C245" i="34"/>
  <c r="C246" i="34"/>
  <c r="C248" i="34"/>
  <c r="C249" i="34"/>
  <c r="C250" i="34"/>
  <c r="C252" i="34"/>
  <c r="C253" i="34"/>
  <c r="C255" i="34"/>
  <c r="C256" i="34"/>
  <c r="C257" i="34"/>
  <c r="C258" i="34"/>
  <c r="C259" i="34"/>
  <c r="C260" i="34"/>
  <c r="C262" i="34"/>
  <c r="C263" i="34"/>
  <c r="C264" i="34"/>
  <c r="C266" i="34"/>
  <c r="C267" i="34"/>
  <c r="C269" i="34"/>
  <c r="C270" i="34"/>
  <c r="C272" i="34"/>
  <c r="C273" i="34"/>
  <c r="C274" i="34"/>
  <c r="C276" i="34"/>
  <c r="C277" i="34"/>
  <c r="C278" i="34"/>
  <c r="C280" i="34"/>
  <c r="C281" i="34"/>
  <c r="C282" i="34"/>
  <c r="C283" i="34"/>
  <c r="C284" i="34"/>
  <c r="C285" i="34"/>
  <c r="C286" i="34"/>
  <c r="C288" i="34"/>
  <c r="C289" i="34"/>
  <c r="C290" i="34"/>
  <c r="C292" i="34"/>
  <c r="C293" i="34"/>
  <c r="C294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1" i="34"/>
  <c r="C322" i="34"/>
  <c r="C324" i="34"/>
  <c r="C325" i="34"/>
  <c r="C327" i="34"/>
  <c r="C328" i="34"/>
  <c r="C329" i="34"/>
  <c r="C330" i="34"/>
  <c r="C331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6" i="34"/>
  <c r="C347" i="34"/>
  <c r="C348" i="34"/>
  <c r="C350" i="34"/>
  <c r="C351" i="34"/>
  <c r="C352" i="34"/>
  <c r="C353" i="34"/>
  <c r="C354" i="34"/>
  <c r="C355" i="34"/>
  <c r="C356" i="34"/>
  <c r="C358" i="34"/>
  <c r="C359" i="34"/>
  <c r="C360" i="34"/>
  <c r="C361" i="34"/>
  <c r="C362" i="34"/>
  <c r="C363" i="34"/>
  <c r="C364" i="34"/>
  <c r="C365" i="34"/>
  <c r="C366" i="34"/>
  <c r="C368" i="34"/>
  <c r="C369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5" i="34"/>
  <c r="C386" i="34"/>
  <c r="C387" i="34"/>
  <c r="C388" i="34"/>
  <c r="C389" i="34"/>
  <c r="C390" i="34"/>
  <c r="C392" i="34"/>
  <c r="C393" i="34"/>
  <c r="C394" i="34"/>
  <c r="C395" i="34"/>
  <c r="C396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7" i="34"/>
  <c r="C428" i="34"/>
  <c r="C429" i="34"/>
  <c r="C430" i="34"/>
  <c r="C431" i="34"/>
  <c r="C432" i="34"/>
  <c r="C433" i="34"/>
  <c r="C434" i="34"/>
  <c r="C435" i="34"/>
  <c r="C436" i="34"/>
  <c r="C437" i="34"/>
  <c r="C439" i="34"/>
  <c r="C440" i="34"/>
  <c r="C442" i="34"/>
  <c r="C443" i="34"/>
  <c r="C444" i="34"/>
  <c r="C445" i="34"/>
  <c r="C446" i="34"/>
  <c r="C448" i="34"/>
  <c r="C449" i="34"/>
  <c r="C450" i="34"/>
  <c r="C451" i="34"/>
  <c r="C452" i="34"/>
  <c r="C454" i="34"/>
  <c r="C455" i="34"/>
  <c r="C457" i="34"/>
  <c r="C458" i="34"/>
  <c r="C459" i="34"/>
  <c r="C460" i="34"/>
  <c r="C461" i="34"/>
  <c r="C462" i="34"/>
  <c r="C464" i="34"/>
  <c r="C465" i="34"/>
  <c r="C466" i="34"/>
  <c r="C467" i="34"/>
  <c r="C468" i="34"/>
  <c r="C469" i="34"/>
  <c r="C470" i="34"/>
  <c r="C471" i="34"/>
  <c r="C472" i="34"/>
  <c r="C473" i="34"/>
  <c r="C474" i="34"/>
  <c r="C476" i="34"/>
  <c r="C477" i="34"/>
  <c r="C478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1" i="34"/>
  <c r="C502" i="34"/>
  <c r="C503" i="34"/>
  <c r="C505" i="34"/>
  <c r="C506" i="34"/>
  <c r="C507" i="34"/>
  <c r="C508" i="34"/>
  <c r="C509" i="34"/>
  <c r="C510" i="34"/>
  <c r="C511" i="34"/>
  <c r="C512" i="34"/>
  <c r="C513" i="34"/>
  <c r="C514" i="34"/>
  <c r="C515" i="34"/>
  <c r="C517" i="34"/>
  <c r="C518" i="34"/>
  <c r="C519" i="34"/>
  <c r="C521" i="34"/>
  <c r="C522" i="34"/>
  <c r="C524" i="34"/>
  <c r="C525" i="34"/>
  <c r="C527" i="34"/>
  <c r="C528" i="34"/>
  <c r="C529" i="34"/>
  <c r="C530" i="34"/>
  <c r="C531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9" i="34"/>
  <c r="C570" i="34"/>
  <c r="C572" i="34"/>
  <c r="C573" i="34"/>
  <c r="C574" i="34"/>
  <c r="C575" i="34"/>
  <c r="C576" i="34"/>
  <c r="C577" i="34"/>
  <c r="C578" i="34"/>
  <c r="C579" i="34"/>
  <c r="C580" i="34"/>
  <c r="C581" i="34"/>
  <c r="C582" i="34"/>
  <c r="C584" i="34"/>
  <c r="C585" i="34"/>
  <c r="C586" i="34"/>
  <c r="C587" i="34"/>
  <c r="C588" i="34"/>
  <c r="C589" i="34"/>
  <c r="C590" i="34"/>
  <c r="C591" i="34"/>
  <c r="C592" i="34"/>
  <c r="C593" i="34"/>
  <c r="C595" i="34"/>
  <c r="C596" i="34"/>
  <c r="C597" i="34"/>
  <c r="C598" i="34"/>
  <c r="C599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4" i="34"/>
  <c r="C625" i="34"/>
  <c r="C627" i="34"/>
  <c r="C628" i="34"/>
  <c r="C629" i="34"/>
  <c r="C631" i="34"/>
  <c r="C632" i="34"/>
  <c r="C633" i="34"/>
  <c r="C634" i="34"/>
  <c r="C635" i="34"/>
  <c r="C636" i="34"/>
  <c r="C638" i="34"/>
  <c r="C639" i="34"/>
  <c r="C640" i="34"/>
  <c r="C641" i="34"/>
  <c r="C643" i="34"/>
  <c r="C644" i="34"/>
  <c r="C645" i="34"/>
  <c r="C646" i="34"/>
  <c r="C647" i="34"/>
  <c r="C649" i="34"/>
  <c r="C650" i="34"/>
  <c r="C651" i="34"/>
  <c r="C652" i="34"/>
  <c r="C653" i="34"/>
  <c r="C654" i="34"/>
  <c r="C655" i="34"/>
  <c r="C657" i="34"/>
  <c r="C658" i="34"/>
  <c r="C659" i="34"/>
  <c r="C660" i="34"/>
  <c r="C661" i="34"/>
  <c r="C662" i="34"/>
  <c r="C663" i="34"/>
  <c r="C664" i="34"/>
  <c r="C665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7" i="34"/>
  <c r="C688" i="34"/>
  <c r="C689" i="34"/>
  <c r="C691" i="34"/>
  <c r="C692" i="34"/>
  <c r="C694" i="34"/>
  <c r="C695" i="34"/>
  <c r="C697" i="34"/>
  <c r="C698" i="34"/>
  <c r="C699" i="34"/>
  <c r="C700" i="34"/>
  <c r="C701" i="34"/>
  <c r="C702" i="34"/>
  <c r="C703" i="34"/>
  <c r="C704" i="34"/>
  <c r="C705" i="34"/>
  <c r="C706" i="34"/>
  <c r="C708" i="34"/>
  <c r="C709" i="34"/>
  <c r="C710" i="34"/>
  <c r="C711" i="34"/>
  <c r="C712" i="34"/>
  <c r="C713" i="34"/>
  <c r="C715" i="34"/>
  <c r="C716" i="34"/>
  <c r="C718" i="34"/>
  <c r="C719" i="34"/>
  <c r="C721" i="34"/>
  <c r="C722" i="34"/>
  <c r="C723" i="34"/>
  <c r="C724" i="34"/>
  <c r="C725" i="34"/>
  <c r="C726" i="34"/>
  <c r="C727" i="34"/>
  <c r="C728" i="34"/>
  <c r="C729" i="34"/>
  <c r="C730" i="34"/>
  <c r="C731" i="34"/>
  <c r="C733" i="34"/>
  <c r="C734" i="34"/>
  <c r="C736" i="34"/>
  <c r="C737" i="34"/>
  <c r="C738" i="34"/>
  <c r="C740" i="34"/>
  <c r="C741" i="34"/>
  <c r="C743" i="34"/>
  <c r="C744" i="34"/>
  <c r="C746" i="34"/>
  <c r="C747" i="34"/>
  <c r="C748" i="34"/>
  <c r="C749" i="34"/>
  <c r="C750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1" i="34"/>
  <c r="C772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7" i="34"/>
  <c r="C788" i="34"/>
  <c r="C790" i="34"/>
  <c r="C791" i="34"/>
  <c r="C792" i="34"/>
  <c r="C793" i="34"/>
  <c r="C794" i="34"/>
  <c r="C795" i="34"/>
  <c r="C796" i="34"/>
  <c r="C797" i="34"/>
  <c r="C798" i="34"/>
  <c r="C799" i="34"/>
  <c r="C801" i="34"/>
  <c r="C802" i="34"/>
  <c r="C803" i="34"/>
  <c r="C804" i="34"/>
  <c r="C805" i="34"/>
  <c r="C807" i="34"/>
  <c r="C808" i="34"/>
  <c r="C809" i="34"/>
  <c r="C810" i="34"/>
  <c r="C811" i="34"/>
  <c r="C812" i="34"/>
  <c r="C813" i="34"/>
  <c r="C814" i="34"/>
  <c r="C815" i="34"/>
  <c r="C816" i="34"/>
  <c r="C818" i="34"/>
  <c r="C819" i="34"/>
  <c r="C821" i="34"/>
  <c r="C62" i="34"/>
  <c r="K247" i="34" l="1"/>
  <c r="K397" i="34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R14" i="34" l="1"/>
  <c r="V14" i="34"/>
  <c r="AA14" i="34"/>
  <c r="P14" i="34"/>
  <c r="Q14" i="34"/>
  <c r="A14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3" i="34" l="1"/>
  <c r="B1981" i="34"/>
  <c r="B1872" i="34"/>
  <c r="B1031" i="34"/>
  <c r="R1981" i="34" l="1"/>
  <c r="V1981" i="34"/>
  <c r="AA1981" i="34"/>
  <c r="P1981" i="34"/>
  <c r="Q1981" i="34"/>
  <c r="R1983" i="34"/>
  <c r="V1983" i="34"/>
  <c r="AA1983" i="34"/>
  <c r="P1983" i="34"/>
  <c r="Q1983" i="34"/>
  <c r="R1031" i="34"/>
  <c r="V1031" i="34"/>
  <c r="AA1031" i="34"/>
  <c r="P1031" i="34"/>
  <c r="Q1031" i="34"/>
  <c r="P1872" i="34"/>
  <c r="R1872" i="34"/>
  <c r="V1872" i="34"/>
  <c r="AA1872" i="34"/>
  <c r="Q1872" i="34"/>
  <c r="A1498" i="34"/>
  <c r="A1031" i="34"/>
  <c r="A1981" i="34"/>
  <c r="A1678" i="34"/>
  <c r="A1872" i="34"/>
  <c r="A1676" i="34"/>
  <c r="A1983" i="34"/>
  <c r="B2111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089" i="34"/>
  <c r="B1084" i="34"/>
  <c r="B1083" i="34"/>
  <c r="B1082" i="34"/>
  <c r="B1081" i="34"/>
  <c r="B1080" i="34"/>
  <c r="B1079" i="34"/>
  <c r="B1078" i="34"/>
  <c r="B1059" i="34"/>
  <c r="B1330" i="34"/>
  <c r="B1329" i="34"/>
  <c r="B1327" i="34"/>
  <c r="B1326" i="34"/>
  <c r="B1323" i="34"/>
  <c r="B1322" i="34"/>
  <c r="B1320" i="34"/>
  <c r="B1319" i="34"/>
  <c r="B1315" i="34"/>
  <c r="B1214" i="34"/>
  <c r="B1213" i="34"/>
  <c r="B1207" i="34"/>
  <c r="B1206" i="34"/>
  <c r="B1205" i="34"/>
  <c r="B1200" i="34"/>
  <c r="B1199" i="34"/>
  <c r="B1197" i="34"/>
  <c r="B1196" i="34"/>
  <c r="B1444" i="34"/>
  <c r="B1443" i="34"/>
  <c r="B1442" i="34"/>
  <c r="B1425" i="34"/>
  <c r="B1424" i="34"/>
  <c r="B1423" i="34"/>
  <c r="B1422" i="34"/>
  <c r="B1421" i="34"/>
  <c r="B1420" i="34"/>
  <c r="B1400" i="34"/>
  <c r="B1399" i="34"/>
  <c r="B1398" i="34"/>
  <c r="B1397" i="34"/>
  <c r="B1396" i="34"/>
  <c r="B1395" i="34"/>
  <c r="B1394" i="34"/>
  <c r="B1393" i="34"/>
  <c r="B1392" i="34"/>
  <c r="B1366" i="34"/>
  <c r="B1365" i="34"/>
  <c r="B1364" i="34"/>
  <c r="B1363" i="34"/>
  <c r="B1362" i="34"/>
  <c r="B1361" i="34"/>
  <c r="B1360" i="34"/>
  <c r="B1359" i="34"/>
  <c r="B1358" i="34"/>
  <c r="B1136" i="34"/>
  <c r="B1135" i="34"/>
  <c r="B1134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A48" i="70"/>
  <c r="B601" i="34"/>
  <c r="R1833" i="34" l="1"/>
  <c r="V1833" i="34"/>
  <c r="AA1833" i="34"/>
  <c r="P1833" i="34"/>
  <c r="Q1833" i="34"/>
  <c r="P1776" i="34"/>
  <c r="Q1776" i="34"/>
  <c r="R1776" i="34"/>
  <c r="V1776" i="34"/>
  <c r="AA1776" i="34"/>
  <c r="P1808" i="34"/>
  <c r="Q1808" i="34"/>
  <c r="R1808" i="34"/>
  <c r="V1808" i="34"/>
  <c r="AA1808" i="34"/>
  <c r="R1361" i="34"/>
  <c r="V1361" i="34"/>
  <c r="S1361" i="34"/>
  <c r="AA1361" i="34"/>
  <c r="P1361" i="34"/>
  <c r="T1361" i="34"/>
  <c r="Q1361" i="34"/>
  <c r="U1361" i="34"/>
  <c r="P1398" i="34"/>
  <c r="T1398" i="34"/>
  <c r="Q1398" i="34"/>
  <c r="U1398" i="34"/>
  <c r="R1398" i="34"/>
  <c r="V1398" i="34"/>
  <c r="S1398" i="34"/>
  <c r="AA1398" i="34"/>
  <c r="Q1196" i="34"/>
  <c r="R1196" i="34"/>
  <c r="V1196" i="34"/>
  <c r="AA1196" i="34"/>
  <c r="P1196" i="34"/>
  <c r="P1322" i="34"/>
  <c r="Q1322" i="34"/>
  <c r="R1322" i="34"/>
  <c r="V1322" i="34"/>
  <c r="AA1322" i="34"/>
  <c r="R1079" i="34"/>
  <c r="V1079" i="34"/>
  <c r="AA1079" i="34"/>
  <c r="P1079" i="34"/>
  <c r="Q1079" i="34"/>
  <c r="Q1124" i="34"/>
  <c r="R1124" i="34"/>
  <c r="V1124" i="34"/>
  <c r="AA1124" i="34"/>
  <c r="P1124" i="34"/>
  <c r="Q1132" i="34"/>
  <c r="R1132" i="34"/>
  <c r="V1132" i="34"/>
  <c r="AA1132" i="34"/>
  <c r="P1132" i="34"/>
  <c r="P1834" i="34"/>
  <c r="Q1834" i="34"/>
  <c r="R1834" i="34"/>
  <c r="V1834" i="34"/>
  <c r="AA1834" i="34"/>
  <c r="R1781" i="34"/>
  <c r="V1781" i="34"/>
  <c r="AA1781" i="34"/>
  <c r="P1781" i="34"/>
  <c r="Q1781" i="34"/>
  <c r="R1831" i="34"/>
  <c r="V1831" i="34"/>
  <c r="AA1831" i="34"/>
  <c r="P1831" i="34"/>
  <c r="Q1831" i="34"/>
  <c r="R1835" i="34"/>
  <c r="V1835" i="34"/>
  <c r="AA1835" i="34"/>
  <c r="P1835" i="34"/>
  <c r="Q1835" i="34"/>
  <c r="R1839" i="34"/>
  <c r="V1839" i="34"/>
  <c r="P1839" i="34"/>
  <c r="Q1839" i="34"/>
  <c r="AA1839" i="34"/>
  <c r="P1774" i="34"/>
  <c r="Q1774" i="34"/>
  <c r="R1774" i="34"/>
  <c r="V1774" i="34"/>
  <c r="AA1774" i="34"/>
  <c r="P1778" i="34"/>
  <c r="Q1778" i="34"/>
  <c r="R1778" i="34"/>
  <c r="V1778" i="34"/>
  <c r="AA1778" i="34"/>
  <c r="P1802" i="34"/>
  <c r="Q1802" i="34"/>
  <c r="R1802" i="34"/>
  <c r="V1802" i="34"/>
  <c r="AA1802" i="34"/>
  <c r="P1806" i="34"/>
  <c r="Q1806" i="34"/>
  <c r="R1806" i="34"/>
  <c r="V1806" i="34"/>
  <c r="AA1806" i="34"/>
  <c r="P1810" i="34"/>
  <c r="Q1810" i="34"/>
  <c r="R1810" i="34"/>
  <c r="V1810" i="34"/>
  <c r="AA1810" i="34"/>
  <c r="Q1134" i="34"/>
  <c r="R1134" i="34"/>
  <c r="V1134" i="34"/>
  <c r="AA1134" i="34"/>
  <c r="P1134" i="34"/>
  <c r="R1359" i="34"/>
  <c r="V1359" i="34"/>
  <c r="S1359" i="34"/>
  <c r="AA1359" i="34"/>
  <c r="P1359" i="34"/>
  <c r="T1359" i="34"/>
  <c r="Q1359" i="34"/>
  <c r="U1359" i="34"/>
  <c r="R1363" i="34"/>
  <c r="V1363" i="34"/>
  <c r="S1363" i="34"/>
  <c r="AA1363" i="34"/>
  <c r="P1363" i="34"/>
  <c r="T1363" i="34"/>
  <c r="Q1363" i="34"/>
  <c r="U1363" i="34"/>
  <c r="P1392" i="34"/>
  <c r="T1392" i="34"/>
  <c r="Q1392" i="34"/>
  <c r="U1392" i="34"/>
  <c r="R1392" i="34"/>
  <c r="V1392" i="34"/>
  <c r="S1392" i="34"/>
  <c r="AA1392" i="34"/>
  <c r="P1396" i="34"/>
  <c r="T1396" i="34"/>
  <c r="Q1396" i="34"/>
  <c r="U1396" i="34"/>
  <c r="R1396" i="34"/>
  <c r="V1396" i="34"/>
  <c r="S1396" i="34"/>
  <c r="AA1396" i="34"/>
  <c r="P1400" i="34"/>
  <c r="T1400" i="34"/>
  <c r="Q1400" i="34"/>
  <c r="U1400" i="34"/>
  <c r="R1400" i="34"/>
  <c r="V1400" i="34"/>
  <c r="S1400" i="34"/>
  <c r="AA1400" i="34"/>
  <c r="R1423" i="34"/>
  <c r="V1423" i="34"/>
  <c r="AA1423" i="34"/>
  <c r="P1423" i="34"/>
  <c r="Q1423" i="34"/>
  <c r="R1443" i="34"/>
  <c r="V1443" i="34"/>
  <c r="AA1443" i="34"/>
  <c r="P1443" i="34"/>
  <c r="Q1443" i="34"/>
  <c r="AA1199" i="34"/>
  <c r="P1199" i="34"/>
  <c r="Q1199" i="34"/>
  <c r="R1199" i="34"/>
  <c r="V1199" i="34"/>
  <c r="AA1207" i="34"/>
  <c r="P1207" i="34"/>
  <c r="Q1207" i="34"/>
  <c r="R1207" i="34"/>
  <c r="V1207" i="34"/>
  <c r="R1319" i="34"/>
  <c r="V1319" i="34"/>
  <c r="AA1319" i="34"/>
  <c r="P1319" i="34"/>
  <c r="Q1319" i="34"/>
  <c r="P1326" i="34"/>
  <c r="Q1326" i="34"/>
  <c r="R1326" i="34"/>
  <c r="V1326" i="34"/>
  <c r="AA1326" i="34"/>
  <c r="R1059" i="34"/>
  <c r="V1059" i="34"/>
  <c r="AA1059" i="34"/>
  <c r="P1059" i="34"/>
  <c r="Q1059" i="34"/>
  <c r="R1081" i="34"/>
  <c r="V1081" i="34"/>
  <c r="AA1081" i="34"/>
  <c r="P1081" i="34"/>
  <c r="Q1081" i="34"/>
  <c r="AA1089" i="34"/>
  <c r="P1089" i="34"/>
  <c r="Q1089" i="34"/>
  <c r="R1089" i="34"/>
  <c r="V1089" i="34"/>
  <c r="Q1122" i="34"/>
  <c r="R1122" i="34"/>
  <c r="V1122" i="34"/>
  <c r="AA1122" i="34"/>
  <c r="P1122" i="34"/>
  <c r="Q1126" i="34"/>
  <c r="R1126" i="34"/>
  <c r="V1126" i="34"/>
  <c r="AA1126" i="34"/>
  <c r="P1126" i="34"/>
  <c r="Q1130" i="34"/>
  <c r="R1130" i="34"/>
  <c r="V1130" i="34"/>
  <c r="AA1130" i="34"/>
  <c r="P1130" i="34"/>
  <c r="R2111" i="34"/>
  <c r="V2111" i="34"/>
  <c r="AA2111" i="34"/>
  <c r="P2111" i="34"/>
  <c r="Q2111" i="34"/>
  <c r="R1837" i="34"/>
  <c r="V1837" i="34"/>
  <c r="AA1837" i="34"/>
  <c r="P1837" i="34"/>
  <c r="Q1837" i="34"/>
  <c r="P1780" i="34"/>
  <c r="Q1780" i="34"/>
  <c r="R1780" i="34"/>
  <c r="V1780" i="34"/>
  <c r="AA1780" i="34"/>
  <c r="R1829" i="34"/>
  <c r="V1829" i="34"/>
  <c r="AA1829" i="34"/>
  <c r="P1829" i="34"/>
  <c r="Q1829" i="34"/>
  <c r="R1365" i="34"/>
  <c r="V1365" i="34"/>
  <c r="S1365" i="34"/>
  <c r="AA1365" i="34"/>
  <c r="P1365" i="34"/>
  <c r="T1365" i="34"/>
  <c r="Q1365" i="34"/>
  <c r="U1365" i="34"/>
  <c r="R1421" i="34"/>
  <c r="V1421" i="34"/>
  <c r="S1421" i="34"/>
  <c r="AA1421" i="34"/>
  <c r="P1421" i="34"/>
  <c r="T1421" i="34"/>
  <c r="Q1421" i="34"/>
  <c r="U1421" i="34"/>
  <c r="Q1214" i="34"/>
  <c r="R1214" i="34"/>
  <c r="V1214" i="34"/>
  <c r="AA1214" i="34"/>
  <c r="P1214" i="34"/>
  <c r="P1838" i="34"/>
  <c r="Q1838" i="34"/>
  <c r="R1838" i="34"/>
  <c r="V1838" i="34"/>
  <c r="AA1838" i="34"/>
  <c r="R1777" i="34"/>
  <c r="V1777" i="34"/>
  <c r="AA1777" i="34"/>
  <c r="P1777" i="34"/>
  <c r="Q1777" i="34"/>
  <c r="P1832" i="34"/>
  <c r="Q1832" i="34"/>
  <c r="R1832" i="34"/>
  <c r="V1832" i="34"/>
  <c r="AA1832" i="34"/>
  <c r="P1836" i="34"/>
  <c r="Q1836" i="34"/>
  <c r="R1836" i="34"/>
  <c r="V1836" i="34"/>
  <c r="AA1836" i="34"/>
  <c r="P1840" i="34"/>
  <c r="R1840" i="34"/>
  <c r="V1840" i="34"/>
  <c r="AA1840" i="34"/>
  <c r="Q1840" i="34"/>
  <c r="R1775" i="34"/>
  <c r="V1775" i="34"/>
  <c r="AA1775" i="34"/>
  <c r="P1775" i="34"/>
  <c r="Q1775" i="34"/>
  <c r="R1779" i="34"/>
  <c r="V1779" i="34"/>
  <c r="AA1779" i="34"/>
  <c r="P1779" i="34"/>
  <c r="Q1779" i="34"/>
  <c r="R1803" i="34"/>
  <c r="V1803" i="34"/>
  <c r="AA1803" i="34"/>
  <c r="P1803" i="34"/>
  <c r="Q1803" i="34"/>
  <c r="R1807" i="34"/>
  <c r="V1807" i="34"/>
  <c r="AA1807" i="34"/>
  <c r="P1807" i="34"/>
  <c r="Q1807" i="34"/>
  <c r="P1828" i="34"/>
  <c r="Q1828" i="34"/>
  <c r="R1828" i="34"/>
  <c r="V1828" i="34"/>
  <c r="AA1828" i="34"/>
  <c r="AA1135" i="34"/>
  <c r="P1135" i="34"/>
  <c r="Q1135" i="34"/>
  <c r="R1135" i="34"/>
  <c r="V1135" i="34"/>
  <c r="P1360" i="34"/>
  <c r="T1360" i="34"/>
  <c r="Q1360" i="34"/>
  <c r="U1360" i="34"/>
  <c r="R1360" i="34"/>
  <c r="V1360" i="34"/>
  <c r="S1360" i="34"/>
  <c r="AA1360" i="34"/>
  <c r="P1364" i="34"/>
  <c r="T1364" i="34"/>
  <c r="Q1364" i="34"/>
  <c r="U1364" i="34"/>
  <c r="R1364" i="34"/>
  <c r="V1364" i="34"/>
  <c r="S1364" i="34"/>
  <c r="AA1364" i="34"/>
  <c r="R1393" i="34"/>
  <c r="V1393" i="34"/>
  <c r="S1393" i="34"/>
  <c r="AA1393" i="34"/>
  <c r="P1393" i="34"/>
  <c r="T1393" i="34"/>
  <c r="Q1393" i="34"/>
  <c r="U1393" i="34"/>
  <c r="R1397" i="34"/>
  <c r="V1397" i="34"/>
  <c r="S1397" i="34"/>
  <c r="AA1397" i="34"/>
  <c r="P1397" i="34"/>
  <c r="T1397" i="34"/>
  <c r="Q1397" i="34"/>
  <c r="U1397" i="34"/>
  <c r="P1420" i="34"/>
  <c r="T1420" i="34"/>
  <c r="Q1420" i="34"/>
  <c r="U1420" i="34"/>
  <c r="R1420" i="34"/>
  <c r="V1420" i="34"/>
  <c r="S1420" i="34"/>
  <c r="AA1420" i="34"/>
  <c r="P1424" i="34"/>
  <c r="Q1424" i="34"/>
  <c r="R1424" i="34"/>
  <c r="V1424" i="34"/>
  <c r="AA1424" i="34"/>
  <c r="P1444" i="34"/>
  <c r="Q1444" i="34"/>
  <c r="R1444" i="34"/>
  <c r="V1444" i="34"/>
  <c r="AA1444" i="34"/>
  <c r="Q1200" i="34"/>
  <c r="R1200" i="34"/>
  <c r="V1200" i="34"/>
  <c r="AA1200" i="34"/>
  <c r="P1200" i="34"/>
  <c r="AA1213" i="34"/>
  <c r="P1213" i="34"/>
  <c r="Q1213" i="34"/>
  <c r="R1213" i="34"/>
  <c r="V1213" i="34"/>
  <c r="P1320" i="34"/>
  <c r="Q1320" i="34"/>
  <c r="R1320" i="34"/>
  <c r="V1320" i="34"/>
  <c r="AA1320" i="34"/>
  <c r="R1327" i="34"/>
  <c r="V1327" i="34"/>
  <c r="AA1327" i="34"/>
  <c r="P1327" i="34"/>
  <c r="Q1327" i="34"/>
  <c r="P1078" i="34"/>
  <c r="Q1078" i="34"/>
  <c r="R1078" i="34"/>
  <c r="V1078" i="34"/>
  <c r="AA1078" i="34"/>
  <c r="P1082" i="34"/>
  <c r="Q1082" i="34"/>
  <c r="R1082" i="34"/>
  <c r="V1082" i="34"/>
  <c r="AA1082" i="34"/>
  <c r="AA1119" i="34"/>
  <c r="P1119" i="34"/>
  <c r="Q1119" i="34"/>
  <c r="R1119" i="34"/>
  <c r="V1119" i="34"/>
  <c r="AA1123" i="34"/>
  <c r="P1123" i="34"/>
  <c r="Q1123" i="34"/>
  <c r="R1123" i="34"/>
  <c r="V1123" i="34"/>
  <c r="AA1127" i="34"/>
  <c r="P1127" i="34"/>
  <c r="Q1127" i="34"/>
  <c r="R1127" i="34"/>
  <c r="V1127" i="34"/>
  <c r="AA1131" i="34"/>
  <c r="P1131" i="34"/>
  <c r="Q1131" i="34"/>
  <c r="R1131" i="34"/>
  <c r="V1131" i="34"/>
  <c r="R601" i="34"/>
  <c r="V601" i="34"/>
  <c r="AA601" i="34"/>
  <c r="P601" i="34"/>
  <c r="Q601" i="34"/>
  <c r="R1841" i="34"/>
  <c r="V1841" i="34"/>
  <c r="P1841" i="34"/>
  <c r="Q1841" i="34"/>
  <c r="AA1841" i="34"/>
  <c r="P1804" i="34"/>
  <c r="Q1804" i="34"/>
  <c r="R1804" i="34"/>
  <c r="V1804" i="34"/>
  <c r="AA1804" i="34"/>
  <c r="Q1136" i="34"/>
  <c r="R1136" i="34"/>
  <c r="V1136" i="34"/>
  <c r="AA1136" i="34"/>
  <c r="P1136" i="34"/>
  <c r="P1394" i="34"/>
  <c r="T1394" i="34"/>
  <c r="Q1394" i="34"/>
  <c r="U1394" i="34"/>
  <c r="R1394" i="34"/>
  <c r="V1394" i="34"/>
  <c r="S1394" i="34"/>
  <c r="AA1394" i="34"/>
  <c r="R1425" i="34"/>
  <c r="V1425" i="34"/>
  <c r="AA1425" i="34"/>
  <c r="P1425" i="34"/>
  <c r="Q1425" i="34"/>
  <c r="AA1205" i="34"/>
  <c r="P1205" i="34"/>
  <c r="Q1205" i="34"/>
  <c r="R1205" i="34"/>
  <c r="V1205" i="34"/>
  <c r="R1329" i="34"/>
  <c r="V1329" i="34"/>
  <c r="AA1329" i="34"/>
  <c r="P1329" i="34"/>
  <c r="Q1329" i="34"/>
  <c r="R1083" i="34"/>
  <c r="V1083" i="34"/>
  <c r="AA1083" i="34"/>
  <c r="P1083" i="34"/>
  <c r="Q1083" i="34"/>
  <c r="Q1120" i="34"/>
  <c r="R1120" i="34"/>
  <c r="V1120" i="34"/>
  <c r="AA1120" i="34"/>
  <c r="P1120" i="34"/>
  <c r="Q1128" i="34"/>
  <c r="R1128" i="34"/>
  <c r="V1128" i="34"/>
  <c r="AA1128" i="34"/>
  <c r="P1128" i="34"/>
  <c r="R1773" i="34"/>
  <c r="V1773" i="34"/>
  <c r="AA1773" i="34"/>
  <c r="P1773" i="34"/>
  <c r="Q1773" i="34"/>
  <c r="R1805" i="34"/>
  <c r="V1805" i="34"/>
  <c r="AA1805" i="34"/>
  <c r="P1805" i="34"/>
  <c r="Q1805" i="34"/>
  <c r="R1809" i="34"/>
  <c r="V1809" i="34"/>
  <c r="AA1809" i="34"/>
  <c r="P1809" i="34"/>
  <c r="Q1809" i="34"/>
  <c r="P1830" i="34"/>
  <c r="Q1830" i="34"/>
  <c r="R1830" i="34"/>
  <c r="V1830" i="34"/>
  <c r="AA1830" i="34"/>
  <c r="P1358" i="34"/>
  <c r="T1358" i="34"/>
  <c r="Q1358" i="34"/>
  <c r="U1358" i="34"/>
  <c r="R1358" i="34"/>
  <c r="V1358" i="34"/>
  <c r="S1358" i="34"/>
  <c r="AA1358" i="34"/>
  <c r="P1362" i="34"/>
  <c r="T1362" i="34"/>
  <c r="Q1362" i="34"/>
  <c r="U1362" i="34"/>
  <c r="R1362" i="34"/>
  <c r="V1362" i="34"/>
  <c r="S1362" i="34"/>
  <c r="AA1362" i="34"/>
  <c r="P1366" i="34"/>
  <c r="T1366" i="34"/>
  <c r="Q1366" i="34"/>
  <c r="U1366" i="34"/>
  <c r="R1366" i="34"/>
  <c r="V1366" i="34"/>
  <c r="S1366" i="34"/>
  <c r="AA1366" i="34"/>
  <c r="R1395" i="34"/>
  <c r="V1395" i="34"/>
  <c r="S1395" i="34"/>
  <c r="AA1395" i="34"/>
  <c r="P1395" i="34"/>
  <c r="T1395" i="34"/>
  <c r="Q1395" i="34"/>
  <c r="U1395" i="34"/>
  <c r="R1399" i="34"/>
  <c r="V1399" i="34"/>
  <c r="S1399" i="34"/>
  <c r="AA1399" i="34"/>
  <c r="P1399" i="34"/>
  <c r="T1399" i="34"/>
  <c r="Q1399" i="34"/>
  <c r="U1399" i="34"/>
  <c r="P1422" i="34"/>
  <c r="T1422" i="34"/>
  <c r="Q1422" i="34"/>
  <c r="U1422" i="34"/>
  <c r="R1422" i="34"/>
  <c r="V1422" i="34"/>
  <c r="S1422" i="34"/>
  <c r="AA1422" i="34"/>
  <c r="P1442" i="34"/>
  <c r="Q1442" i="34"/>
  <c r="R1442" i="34"/>
  <c r="V1442" i="34"/>
  <c r="AA1442" i="34"/>
  <c r="AA1197" i="34"/>
  <c r="P1197" i="34"/>
  <c r="Q1197" i="34"/>
  <c r="R1197" i="34"/>
  <c r="V1197" i="34"/>
  <c r="Q1206" i="34"/>
  <c r="R1206" i="34"/>
  <c r="V1206" i="34"/>
  <c r="AA1206" i="34"/>
  <c r="P1206" i="34"/>
  <c r="R1315" i="34"/>
  <c r="V1315" i="34"/>
  <c r="AA1315" i="34"/>
  <c r="P1315" i="34"/>
  <c r="Q1315" i="34"/>
  <c r="R1323" i="34"/>
  <c r="V1323" i="34"/>
  <c r="AA1323" i="34"/>
  <c r="P1323" i="34"/>
  <c r="Q1323" i="34"/>
  <c r="P1330" i="34"/>
  <c r="Q1330" i="34"/>
  <c r="R1330" i="34"/>
  <c r="V1330" i="34"/>
  <c r="AA1330" i="34"/>
  <c r="P1080" i="34"/>
  <c r="Q1080" i="34"/>
  <c r="R1080" i="34"/>
  <c r="V1080" i="34"/>
  <c r="AA1080" i="34"/>
  <c r="P1084" i="34"/>
  <c r="Q1084" i="34"/>
  <c r="R1084" i="34"/>
  <c r="V1084" i="34"/>
  <c r="AA1084" i="34"/>
  <c r="AA1121" i="34"/>
  <c r="P1121" i="34"/>
  <c r="Q1121" i="34"/>
  <c r="R1121" i="34"/>
  <c r="V1121" i="34"/>
  <c r="AA1125" i="34"/>
  <c r="P1125" i="34"/>
  <c r="Q1125" i="34"/>
  <c r="R1125" i="34"/>
  <c r="V1125" i="34"/>
  <c r="AA1129" i="34"/>
  <c r="P1129" i="34"/>
  <c r="Q1129" i="34"/>
  <c r="R1129" i="34"/>
  <c r="V1129" i="34"/>
  <c r="AA1133" i="34"/>
  <c r="P1133" i="34"/>
  <c r="Q1133" i="34"/>
  <c r="R1133" i="34"/>
  <c r="V1133" i="34"/>
  <c r="A601" i="34"/>
  <c r="A1529" i="34"/>
  <c r="A1523" i="34"/>
  <c r="A1527" i="34"/>
  <c r="A1549" i="34"/>
  <c r="A1134" i="34"/>
  <c r="A1359" i="34"/>
  <c r="A1363" i="34"/>
  <c r="A1392" i="34"/>
  <c r="A1396" i="34"/>
  <c r="A1400" i="34"/>
  <c r="A1423" i="34"/>
  <c r="A1443" i="34"/>
  <c r="A1453" i="34"/>
  <c r="A1521" i="34"/>
  <c r="A1199" i="34"/>
  <c r="A1207" i="34"/>
  <c r="A1319" i="34"/>
  <c r="A1326" i="34"/>
  <c r="A1059" i="34"/>
  <c r="A1081" i="34"/>
  <c r="A1089" i="34"/>
  <c r="A1122" i="34"/>
  <c r="A1126" i="34"/>
  <c r="A1130" i="34"/>
  <c r="A1135" i="34"/>
  <c r="A1360" i="34"/>
  <c r="A1364" i="34"/>
  <c r="A1393" i="34"/>
  <c r="A1397" i="34"/>
  <c r="A1420" i="34"/>
  <c r="A1424" i="34"/>
  <c r="A1444" i="34"/>
  <c r="A1491" i="34"/>
  <c r="A1200" i="34"/>
  <c r="A1213" i="34"/>
  <c r="A1320" i="34"/>
  <c r="A1327" i="34"/>
  <c r="A1078" i="34"/>
  <c r="A1082" i="34"/>
  <c r="A1119" i="34"/>
  <c r="A1123" i="34"/>
  <c r="A1127" i="34"/>
  <c r="A1131" i="34"/>
  <c r="A1524" i="34"/>
  <c r="A1528" i="34"/>
  <c r="A1525" i="34"/>
  <c r="A1136" i="34"/>
  <c r="A1361" i="34"/>
  <c r="A1365" i="34"/>
  <c r="A1394" i="34"/>
  <c r="A1398" i="34"/>
  <c r="A1421" i="34"/>
  <c r="A1425" i="34"/>
  <c r="A1445" i="34"/>
  <c r="A1492" i="34"/>
  <c r="A1196" i="34"/>
  <c r="A1205" i="34"/>
  <c r="A1214" i="34"/>
  <c r="A1322" i="34"/>
  <c r="A1329" i="34"/>
  <c r="A1079" i="34"/>
  <c r="A1083" i="34"/>
  <c r="A1120" i="34"/>
  <c r="A1124" i="34"/>
  <c r="A1128" i="34"/>
  <c r="A1132" i="34"/>
  <c r="A1522" i="34"/>
  <c r="A1526" i="34"/>
  <c r="A1530" i="34"/>
  <c r="A1358" i="34"/>
  <c r="A1362" i="34"/>
  <c r="A1366" i="34"/>
  <c r="A1395" i="34"/>
  <c r="A1399" i="34"/>
  <c r="A1422" i="34"/>
  <c r="A1442" i="34"/>
  <c r="A1452" i="34"/>
  <c r="A1520" i="34"/>
  <c r="A1197" i="34"/>
  <c r="A1206" i="34"/>
  <c r="A1315" i="34"/>
  <c r="A1323" i="34"/>
  <c r="A1330" i="34"/>
  <c r="A1080" i="34"/>
  <c r="A1084" i="34"/>
  <c r="A1121" i="34"/>
  <c r="A1125" i="34"/>
  <c r="A1129" i="34"/>
  <c r="A1133" i="34"/>
  <c r="A1587" i="34"/>
  <c r="A1625" i="34"/>
  <c r="A1834" i="34"/>
  <c r="A1838" i="34"/>
  <c r="A1552" i="34"/>
  <c r="A1556" i="34"/>
  <c r="A1691" i="34"/>
  <c r="A1695" i="34"/>
  <c r="A1732" i="34"/>
  <c r="A1747" i="34"/>
  <c r="A1751" i="34"/>
  <c r="A1773" i="34"/>
  <c r="A1777" i="34"/>
  <c r="A1781" i="34"/>
  <c r="A1805" i="34"/>
  <c r="A1809" i="34"/>
  <c r="A1830" i="34"/>
  <c r="A1668" i="34"/>
  <c r="A1586" i="34"/>
  <c r="A1621" i="34"/>
  <c r="A1584" i="34"/>
  <c r="A1618" i="34"/>
  <c r="A1622" i="34"/>
  <c r="A1831" i="34"/>
  <c r="A1835" i="34"/>
  <c r="A1839" i="34"/>
  <c r="A1553" i="34"/>
  <c r="A1557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32" i="34"/>
  <c r="A1836" i="34"/>
  <c r="A1840" i="34"/>
  <c r="A1550" i="34"/>
  <c r="A1554" i="34"/>
  <c r="A1583" i="34"/>
  <c r="A1693" i="34"/>
  <c r="A1697" i="34"/>
  <c r="A1745" i="34"/>
  <c r="A1749" i="34"/>
  <c r="A1753" i="34"/>
  <c r="A1775" i="34"/>
  <c r="A1779" i="34"/>
  <c r="A1803" i="34"/>
  <c r="A1807" i="34"/>
  <c r="A1828" i="34"/>
  <c r="A1689" i="34"/>
  <c r="A1620" i="34"/>
  <c r="A1624" i="34"/>
  <c r="A1833" i="34"/>
  <c r="A1837" i="34"/>
  <c r="A1841" i="34"/>
  <c r="A1551" i="34"/>
  <c r="A1555" i="34"/>
  <c r="A1690" i="34"/>
  <c r="A1694" i="34"/>
  <c r="A1731" i="34"/>
  <c r="A1746" i="34"/>
  <c r="A1750" i="34"/>
  <c r="A1754" i="34"/>
  <c r="A1776" i="34"/>
  <c r="A1780" i="34"/>
  <c r="A1804" i="34"/>
  <c r="A1808" i="34"/>
  <c r="A1829" i="34"/>
  <c r="A2111" i="34"/>
  <c r="B358" i="34"/>
  <c r="B356" i="34"/>
  <c r="B355" i="34"/>
  <c r="B354" i="34"/>
  <c r="B353" i="34"/>
  <c r="B352" i="34"/>
  <c r="B351" i="34"/>
  <c r="B350" i="34"/>
  <c r="B348" i="34"/>
  <c r="B347" i="34"/>
  <c r="B346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1" i="34"/>
  <c r="B330" i="34"/>
  <c r="B329" i="34"/>
  <c r="B328" i="34"/>
  <c r="B327" i="34"/>
  <c r="B325" i="34"/>
  <c r="B324" i="34"/>
  <c r="B322" i="34"/>
  <c r="B321" i="34"/>
  <c r="B319" i="34"/>
  <c r="B318" i="34"/>
  <c r="B317" i="34"/>
  <c r="B316" i="34"/>
  <c r="B315" i="34"/>
  <c r="B313" i="34"/>
  <c r="B312" i="34"/>
  <c r="B311" i="34"/>
  <c r="B310" i="34"/>
  <c r="B616" i="34"/>
  <c r="B615" i="34"/>
  <c r="B614" i="34"/>
  <c r="B486" i="34"/>
  <c r="B485" i="34"/>
  <c r="B484" i="34"/>
  <c r="B483" i="34"/>
  <c r="B482" i="34"/>
  <c r="B481" i="34"/>
  <c r="B480" i="34"/>
  <c r="B478" i="34"/>
  <c r="B477" i="34"/>
  <c r="B476" i="34"/>
  <c r="B474" i="34"/>
  <c r="B473" i="34"/>
  <c r="B472" i="34"/>
  <c r="B471" i="34"/>
  <c r="B470" i="34"/>
  <c r="B469" i="34"/>
  <c r="B468" i="34"/>
  <c r="B467" i="34"/>
  <c r="B466" i="34"/>
  <c r="B465" i="34"/>
  <c r="B464" i="34"/>
  <c r="B462" i="34"/>
  <c r="B461" i="34"/>
  <c r="B460" i="34"/>
  <c r="B459" i="34"/>
  <c r="B458" i="34"/>
  <c r="B457" i="34"/>
  <c r="B455" i="34"/>
  <c r="B454" i="34"/>
  <c r="B452" i="34"/>
  <c r="B451" i="34"/>
  <c r="B450" i="34"/>
  <c r="B449" i="34"/>
  <c r="B448" i="34"/>
  <c r="B446" i="34"/>
  <c r="B445" i="34"/>
  <c r="B444" i="34"/>
  <c r="B443" i="34"/>
  <c r="B442" i="34"/>
  <c r="B440" i="34"/>
  <c r="B439" i="34"/>
  <c r="B437" i="34"/>
  <c r="B436" i="34"/>
  <c r="B435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606" i="34"/>
  <c r="B605" i="34"/>
  <c r="B604" i="34"/>
  <c r="B603" i="34"/>
  <c r="B602" i="34"/>
  <c r="B492" i="34"/>
  <c r="B491" i="34"/>
  <c r="B490" i="34"/>
  <c r="B489" i="34"/>
  <c r="B488" i="34"/>
  <c r="B487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1193" i="34"/>
  <c r="B11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AA900" i="34" l="1"/>
  <c r="P900" i="34"/>
  <c r="Q900" i="34"/>
  <c r="R900" i="34"/>
  <c r="V900" i="34"/>
  <c r="P916" i="34"/>
  <c r="Q916" i="34"/>
  <c r="R916" i="34"/>
  <c r="V916" i="34"/>
  <c r="AA916" i="34"/>
  <c r="P936" i="34"/>
  <c r="Q936" i="34"/>
  <c r="R936" i="34"/>
  <c r="V936" i="34"/>
  <c r="AA936" i="34"/>
  <c r="AA864" i="34"/>
  <c r="P864" i="34"/>
  <c r="Q864" i="34"/>
  <c r="R864" i="34"/>
  <c r="V864" i="34"/>
  <c r="AA884" i="34"/>
  <c r="P884" i="34"/>
  <c r="Q884" i="34"/>
  <c r="R884" i="34"/>
  <c r="V884" i="34"/>
  <c r="AA445" i="34"/>
  <c r="P445" i="34"/>
  <c r="Q445" i="34"/>
  <c r="R445" i="34"/>
  <c r="V445" i="34"/>
  <c r="AA455" i="34"/>
  <c r="P455" i="34"/>
  <c r="Q455" i="34"/>
  <c r="R455" i="34"/>
  <c r="V455" i="34"/>
  <c r="AA465" i="34"/>
  <c r="P465" i="34"/>
  <c r="Q465" i="34"/>
  <c r="R465" i="34"/>
  <c r="V465" i="34"/>
  <c r="AA473" i="34"/>
  <c r="P473" i="34"/>
  <c r="Q473" i="34"/>
  <c r="R473" i="34"/>
  <c r="V473" i="34"/>
  <c r="AA483" i="34"/>
  <c r="P483" i="34"/>
  <c r="Q483" i="34"/>
  <c r="R483" i="34"/>
  <c r="V483" i="34"/>
  <c r="Q311" i="34"/>
  <c r="R311" i="34"/>
  <c r="V311" i="34"/>
  <c r="AA311" i="34"/>
  <c r="P311" i="34"/>
  <c r="Q321" i="34"/>
  <c r="R321" i="34"/>
  <c r="V321" i="34"/>
  <c r="AA321" i="34"/>
  <c r="P321" i="34"/>
  <c r="Q331" i="34"/>
  <c r="R331" i="34"/>
  <c r="V331" i="34"/>
  <c r="AA331" i="34"/>
  <c r="P331" i="34"/>
  <c r="AA340" i="34"/>
  <c r="P340" i="34"/>
  <c r="Q340" i="34"/>
  <c r="R340" i="34"/>
  <c r="V340" i="34"/>
  <c r="P350" i="34"/>
  <c r="R350" i="34"/>
  <c r="V350" i="34"/>
  <c r="AA350" i="34"/>
  <c r="Q350" i="34"/>
  <c r="R354" i="34"/>
  <c r="V354" i="34"/>
  <c r="P354" i="34"/>
  <c r="Q354" i="34"/>
  <c r="AA354" i="34"/>
  <c r="P942" i="34"/>
  <c r="Q942" i="34"/>
  <c r="R942" i="34"/>
  <c r="V942" i="34"/>
  <c r="AA942" i="34"/>
  <c r="AA896" i="34"/>
  <c r="P896" i="34"/>
  <c r="Q896" i="34"/>
  <c r="R896" i="34"/>
  <c r="V896" i="34"/>
  <c r="AA912" i="34"/>
  <c r="P912" i="34"/>
  <c r="R912" i="34"/>
  <c r="V912" i="34"/>
  <c r="Q912" i="34"/>
  <c r="P928" i="34"/>
  <c r="Q928" i="34"/>
  <c r="R928" i="34"/>
  <c r="V928" i="34"/>
  <c r="AA928" i="34"/>
  <c r="P491" i="34"/>
  <c r="Q491" i="34"/>
  <c r="R491" i="34"/>
  <c r="V491" i="34"/>
  <c r="AA491" i="34"/>
  <c r="AA872" i="34"/>
  <c r="P872" i="34"/>
  <c r="Q872" i="34"/>
  <c r="R872" i="34"/>
  <c r="V872" i="34"/>
  <c r="AA880" i="34"/>
  <c r="P880" i="34"/>
  <c r="Q880" i="34"/>
  <c r="R880" i="34"/>
  <c r="V880" i="34"/>
  <c r="AA888" i="34"/>
  <c r="P888" i="34"/>
  <c r="Q888" i="34"/>
  <c r="R888" i="34"/>
  <c r="V888" i="34"/>
  <c r="Q440" i="34"/>
  <c r="R440" i="34"/>
  <c r="V440" i="34"/>
  <c r="AA440" i="34"/>
  <c r="P440" i="34"/>
  <c r="Q450" i="34"/>
  <c r="R450" i="34"/>
  <c r="V450" i="34"/>
  <c r="AA450" i="34"/>
  <c r="P450" i="34"/>
  <c r="Q460" i="34"/>
  <c r="R460" i="34"/>
  <c r="V460" i="34"/>
  <c r="AA460" i="34"/>
  <c r="P460" i="34"/>
  <c r="AA469" i="34"/>
  <c r="P469" i="34"/>
  <c r="Q469" i="34"/>
  <c r="R469" i="34"/>
  <c r="V469" i="34"/>
  <c r="Q478" i="34"/>
  <c r="R478" i="34"/>
  <c r="V478" i="34"/>
  <c r="AA478" i="34"/>
  <c r="P478" i="34"/>
  <c r="P614" i="34"/>
  <c r="Q614" i="34"/>
  <c r="R614" i="34"/>
  <c r="V614" i="34"/>
  <c r="AA614" i="34"/>
  <c r="AA316" i="34"/>
  <c r="P316" i="34"/>
  <c r="Q316" i="34"/>
  <c r="R316" i="34"/>
  <c r="V316" i="34"/>
  <c r="Q327" i="34"/>
  <c r="R327" i="34"/>
  <c r="V327" i="34"/>
  <c r="AA327" i="34"/>
  <c r="P327" i="34"/>
  <c r="AA336" i="34"/>
  <c r="P336" i="34"/>
  <c r="Q336" i="34"/>
  <c r="R336" i="34"/>
  <c r="V336" i="34"/>
  <c r="AA344" i="34"/>
  <c r="P344" i="34"/>
  <c r="Q344" i="34"/>
  <c r="R344" i="34"/>
  <c r="V344" i="34"/>
  <c r="R943" i="34"/>
  <c r="V943" i="34"/>
  <c r="AA943" i="34"/>
  <c r="P943" i="34"/>
  <c r="Q943" i="34"/>
  <c r="R947" i="34"/>
  <c r="V947" i="34"/>
  <c r="AA947" i="34"/>
  <c r="P947" i="34"/>
  <c r="Q947" i="34"/>
  <c r="R951" i="34"/>
  <c r="V951" i="34"/>
  <c r="AA951" i="34"/>
  <c r="P951" i="34"/>
  <c r="Q951" i="34"/>
  <c r="Q897" i="34"/>
  <c r="R897" i="34"/>
  <c r="V897" i="34"/>
  <c r="AA897" i="34"/>
  <c r="P897" i="34"/>
  <c r="Q901" i="34"/>
  <c r="R901" i="34"/>
  <c r="V901" i="34"/>
  <c r="AA901" i="34"/>
  <c r="P901" i="34"/>
  <c r="Q905" i="34"/>
  <c r="R905" i="34"/>
  <c r="V905" i="34"/>
  <c r="AA905" i="34"/>
  <c r="P905" i="34"/>
  <c r="Q909" i="34"/>
  <c r="R909" i="34"/>
  <c r="V909" i="34"/>
  <c r="AA909" i="34"/>
  <c r="P909" i="34"/>
  <c r="Q913" i="34"/>
  <c r="R913" i="34"/>
  <c r="V913" i="34"/>
  <c r="P913" i="34"/>
  <c r="AA913" i="34"/>
  <c r="R917" i="34"/>
  <c r="V917" i="34"/>
  <c r="AA917" i="34"/>
  <c r="P917" i="34"/>
  <c r="Q917" i="34"/>
  <c r="R921" i="34"/>
  <c r="V921" i="34"/>
  <c r="AA921" i="34"/>
  <c r="P921" i="34"/>
  <c r="Q921" i="34"/>
  <c r="R925" i="34"/>
  <c r="V925" i="34"/>
  <c r="AA925" i="34"/>
  <c r="P925" i="34"/>
  <c r="Q925" i="34"/>
  <c r="R929" i="34"/>
  <c r="V929" i="34"/>
  <c r="AA929" i="34"/>
  <c r="P929" i="34"/>
  <c r="Q929" i="34"/>
  <c r="R933" i="34"/>
  <c r="V933" i="34"/>
  <c r="AA933" i="34"/>
  <c r="P933" i="34"/>
  <c r="Q933" i="34"/>
  <c r="R937" i="34"/>
  <c r="V937" i="34"/>
  <c r="AA937" i="34"/>
  <c r="P937" i="34"/>
  <c r="Q937" i="34"/>
  <c r="R488" i="34"/>
  <c r="V488" i="34"/>
  <c r="AA488" i="34"/>
  <c r="P488" i="34"/>
  <c r="Q488" i="34"/>
  <c r="R492" i="34"/>
  <c r="V492" i="34"/>
  <c r="AA492" i="34"/>
  <c r="P492" i="34"/>
  <c r="Q492" i="34"/>
  <c r="R605" i="34"/>
  <c r="V605" i="34"/>
  <c r="AA605" i="34"/>
  <c r="P605" i="34"/>
  <c r="Q605" i="34"/>
  <c r="Q865" i="34"/>
  <c r="R865" i="34"/>
  <c r="V865" i="34"/>
  <c r="AA865" i="34"/>
  <c r="P865" i="34"/>
  <c r="Q869" i="34"/>
  <c r="R869" i="34"/>
  <c r="V869" i="34"/>
  <c r="AA869" i="34"/>
  <c r="P869" i="34"/>
  <c r="Q873" i="34"/>
  <c r="R873" i="34"/>
  <c r="V873" i="34"/>
  <c r="AA873" i="34"/>
  <c r="P873" i="34"/>
  <c r="Q877" i="34"/>
  <c r="R877" i="34"/>
  <c r="V877" i="34"/>
  <c r="AA877" i="34"/>
  <c r="P877" i="34"/>
  <c r="Q881" i="34"/>
  <c r="R881" i="34"/>
  <c r="V881" i="34"/>
  <c r="AA881" i="34"/>
  <c r="P881" i="34"/>
  <c r="Q885" i="34"/>
  <c r="R885" i="34"/>
  <c r="V885" i="34"/>
  <c r="AA885" i="34"/>
  <c r="P885" i="34"/>
  <c r="Q889" i="34"/>
  <c r="R889" i="34"/>
  <c r="V889" i="34"/>
  <c r="AA889" i="34"/>
  <c r="P889" i="34"/>
  <c r="Q893" i="34"/>
  <c r="R893" i="34"/>
  <c r="V893" i="34"/>
  <c r="AA893" i="34"/>
  <c r="P893" i="34"/>
  <c r="Q436" i="34"/>
  <c r="R436" i="34"/>
  <c r="V436" i="34"/>
  <c r="AA436" i="34"/>
  <c r="P436" i="34"/>
  <c r="Q442" i="34"/>
  <c r="R442" i="34"/>
  <c r="V442" i="34"/>
  <c r="AA442" i="34"/>
  <c r="P442" i="34"/>
  <c r="Q446" i="34"/>
  <c r="R446" i="34"/>
  <c r="V446" i="34"/>
  <c r="AA446" i="34"/>
  <c r="P446" i="34"/>
  <c r="AA451" i="34"/>
  <c r="P451" i="34"/>
  <c r="Q451" i="34"/>
  <c r="R451" i="34"/>
  <c r="V451" i="34"/>
  <c r="AA457" i="34"/>
  <c r="P457" i="34"/>
  <c r="Q457" i="34"/>
  <c r="R457" i="34"/>
  <c r="V457" i="34"/>
  <c r="AA461" i="34"/>
  <c r="P461" i="34"/>
  <c r="Q461" i="34"/>
  <c r="R461" i="34"/>
  <c r="V461" i="34"/>
  <c r="Q466" i="34"/>
  <c r="R466" i="34"/>
  <c r="V466" i="34"/>
  <c r="AA466" i="34"/>
  <c r="P466" i="34"/>
  <c r="Q470" i="34"/>
  <c r="R470" i="34"/>
  <c r="V470" i="34"/>
  <c r="AA470" i="34"/>
  <c r="P470" i="34"/>
  <c r="Q474" i="34"/>
  <c r="R474" i="34"/>
  <c r="V474" i="34"/>
  <c r="AA474" i="34"/>
  <c r="P474" i="34"/>
  <c r="Q480" i="34"/>
  <c r="R480" i="34"/>
  <c r="V480" i="34"/>
  <c r="AA480" i="34"/>
  <c r="P480" i="34"/>
  <c r="Q484" i="34"/>
  <c r="R484" i="34"/>
  <c r="V484" i="34"/>
  <c r="AA484" i="34"/>
  <c r="P484" i="34"/>
  <c r="R615" i="34"/>
  <c r="V615" i="34"/>
  <c r="AA615" i="34"/>
  <c r="P615" i="34"/>
  <c r="Q615" i="34"/>
  <c r="AA312" i="34"/>
  <c r="P312" i="34"/>
  <c r="Q312" i="34"/>
  <c r="R312" i="34"/>
  <c r="V312" i="34"/>
  <c r="Q317" i="34"/>
  <c r="R317" i="34"/>
  <c r="V317" i="34"/>
  <c r="AA317" i="34"/>
  <c r="P317" i="34"/>
  <c r="AA322" i="34"/>
  <c r="P322" i="34"/>
  <c r="Q322" i="34"/>
  <c r="R322" i="34"/>
  <c r="V322" i="34"/>
  <c r="AA328" i="34"/>
  <c r="P328" i="34"/>
  <c r="Q328" i="34"/>
  <c r="R328" i="34"/>
  <c r="V328" i="34"/>
  <c r="Q333" i="34"/>
  <c r="R333" i="34"/>
  <c r="V333" i="34"/>
  <c r="AA333" i="34"/>
  <c r="P333" i="34"/>
  <c r="Q337" i="34"/>
  <c r="R337" i="34"/>
  <c r="V337" i="34"/>
  <c r="AA337" i="34"/>
  <c r="P337" i="34"/>
  <c r="Q341" i="34"/>
  <c r="R341" i="34"/>
  <c r="V341" i="34"/>
  <c r="AA341" i="34"/>
  <c r="P341" i="34"/>
  <c r="AA346" i="34"/>
  <c r="P346" i="34"/>
  <c r="R346" i="34"/>
  <c r="V346" i="34"/>
  <c r="Q346" i="34"/>
  <c r="R351" i="34"/>
  <c r="V351" i="34"/>
  <c r="P351" i="34"/>
  <c r="AA351" i="34"/>
  <c r="Q351" i="34"/>
  <c r="P355" i="34"/>
  <c r="Q355" i="34"/>
  <c r="R355" i="34"/>
  <c r="V355" i="34"/>
  <c r="AA355" i="34"/>
  <c r="P946" i="34"/>
  <c r="Q946" i="34"/>
  <c r="R946" i="34"/>
  <c r="V946" i="34"/>
  <c r="AA946" i="34"/>
  <c r="AA908" i="34"/>
  <c r="P908" i="34"/>
  <c r="Q908" i="34"/>
  <c r="R908" i="34"/>
  <c r="V908" i="34"/>
  <c r="P924" i="34"/>
  <c r="Q924" i="34"/>
  <c r="R924" i="34"/>
  <c r="V924" i="34"/>
  <c r="AA924" i="34"/>
  <c r="P487" i="34"/>
  <c r="Q487" i="34"/>
  <c r="R487" i="34"/>
  <c r="V487" i="34"/>
  <c r="AA487" i="34"/>
  <c r="AA868" i="34"/>
  <c r="P868" i="34"/>
  <c r="Q868" i="34"/>
  <c r="R868" i="34"/>
  <c r="V868" i="34"/>
  <c r="AA435" i="34"/>
  <c r="P435" i="34"/>
  <c r="Q435" i="34"/>
  <c r="R435" i="34"/>
  <c r="V435" i="34"/>
  <c r="P940" i="34"/>
  <c r="Q940" i="34"/>
  <c r="R940" i="34"/>
  <c r="V940" i="34"/>
  <c r="AA940" i="34"/>
  <c r="P944" i="34"/>
  <c r="Q944" i="34"/>
  <c r="R944" i="34"/>
  <c r="V944" i="34"/>
  <c r="AA944" i="34"/>
  <c r="P948" i="34"/>
  <c r="Q948" i="34"/>
  <c r="R948" i="34"/>
  <c r="V948" i="34"/>
  <c r="AA948" i="34"/>
  <c r="Q1154" i="34"/>
  <c r="R1154" i="34"/>
  <c r="V1154" i="34"/>
  <c r="AA1154" i="34"/>
  <c r="P1154" i="34"/>
  <c r="AA898" i="34"/>
  <c r="P898" i="34"/>
  <c r="Q898" i="34"/>
  <c r="R898" i="34"/>
  <c r="V898" i="34"/>
  <c r="AA902" i="34"/>
  <c r="P902" i="34"/>
  <c r="Q902" i="34"/>
  <c r="R902" i="34"/>
  <c r="V902" i="34"/>
  <c r="AA906" i="34"/>
  <c r="P906" i="34"/>
  <c r="Q906" i="34"/>
  <c r="R906" i="34"/>
  <c r="V906" i="34"/>
  <c r="AA910" i="34"/>
  <c r="P910" i="34"/>
  <c r="Q910" i="34"/>
  <c r="R910" i="34"/>
  <c r="V910" i="34"/>
  <c r="AA914" i="34"/>
  <c r="P914" i="34"/>
  <c r="R914" i="34"/>
  <c r="V914" i="34"/>
  <c r="Q914" i="34"/>
  <c r="P918" i="34"/>
  <c r="Q918" i="34"/>
  <c r="R918" i="34"/>
  <c r="V918" i="34"/>
  <c r="AA918" i="34"/>
  <c r="P922" i="34"/>
  <c r="Q922" i="34"/>
  <c r="R922" i="34"/>
  <c r="V922" i="34"/>
  <c r="AA922" i="34"/>
  <c r="P926" i="34"/>
  <c r="Q926" i="34"/>
  <c r="R926" i="34"/>
  <c r="V926" i="34"/>
  <c r="AA926" i="34"/>
  <c r="P930" i="34"/>
  <c r="Q930" i="34"/>
  <c r="R930" i="34"/>
  <c r="V930" i="34"/>
  <c r="AA930" i="34"/>
  <c r="P934" i="34"/>
  <c r="Q934" i="34"/>
  <c r="R934" i="34"/>
  <c r="V934" i="34"/>
  <c r="AA934" i="34"/>
  <c r="P938" i="34"/>
  <c r="Q938" i="34"/>
  <c r="R938" i="34"/>
  <c r="V938" i="34"/>
  <c r="AA938" i="34"/>
  <c r="P489" i="34"/>
  <c r="Q489" i="34"/>
  <c r="R489" i="34"/>
  <c r="V489" i="34"/>
  <c r="AA489" i="34"/>
  <c r="P602" i="34"/>
  <c r="Q602" i="34"/>
  <c r="R602" i="34"/>
  <c r="V602" i="34"/>
  <c r="AA602" i="34"/>
  <c r="P606" i="34"/>
  <c r="Q606" i="34"/>
  <c r="R606" i="34"/>
  <c r="V606" i="34"/>
  <c r="AA606" i="34"/>
  <c r="AA866" i="34"/>
  <c r="P866" i="34"/>
  <c r="Q866" i="34"/>
  <c r="R866" i="34"/>
  <c r="V866" i="34"/>
  <c r="AA870" i="34"/>
  <c r="P870" i="34"/>
  <c r="Q870" i="34"/>
  <c r="R870" i="34"/>
  <c r="V870" i="34"/>
  <c r="AA874" i="34"/>
  <c r="P874" i="34"/>
  <c r="Q874" i="34"/>
  <c r="R874" i="34"/>
  <c r="V874" i="34"/>
  <c r="AA878" i="34"/>
  <c r="P878" i="34"/>
  <c r="Q878" i="34"/>
  <c r="R878" i="34"/>
  <c r="V878" i="34"/>
  <c r="AA882" i="34"/>
  <c r="P882" i="34"/>
  <c r="Q882" i="34"/>
  <c r="R882" i="34"/>
  <c r="V882" i="34"/>
  <c r="AA886" i="34"/>
  <c r="P886" i="34"/>
  <c r="Q886" i="34"/>
  <c r="R886" i="34"/>
  <c r="V886" i="34"/>
  <c r="AA890" i="34"/>
  <c r="P890" i="34"/>
  <c r="Q890" i="34"/>
  <c r="R890" i="34"/>
  <c r="V890" i="34"/>
  <c r="AA894" i="34"/>
  <c r="P894" i="34"/>
  <c r="Q894" i="34"/>
  <c r="R894" i="34"/>
  <c r="V894" i="34"/>
  <c r="AA437" i="34"/>
  <c r="P437" i="34"/>
  <c r="Q437" i="34"/>
  <c r="R437" i="34"/>
  <c r="V437" i="34"/>
  <c r="AA443" i="34"/>
  <c r="P443" i="34"/>
  <c r="Q443" i="34"/>
  <c r="R443" i="34"/>
  <c r="V443" i="34"/>
  <c r="Q448" i="34"/>
  <c r="R448" i="34"/>
  <c r="V448" i="34"/>
  <c r="AA448" i="34"/>
  <c r="P448" i="34"/>
  <c r="Q452" i="34"/>
  <c r="R452" i="34"/>
  <c r="V452" i="34"/>
  <c r="AA452" i="34"/>
  <c r="P452" i="34"/>
  <c r="Q458" i="34"/>
  <c r="R458" i="34"/>
  <c r="V458" i="34"/>
  <c r="AA458" i="34"/>
  <c r="P458" i="34"/>
  <c r="Q462" i="34"/>
  <c r="R462" i="34"/>
  <c r="V462" i="34"/>
  <c r="AA462" i="34"/>
  <c r="P462" i="34"/>
  <c r="AA467" i="34"/>
  <c r="P467" i="34"/>
  <c r="Q467" i="34"/>
  <c r="R467" i="34"/>
  <c r="V467" i="34"/>
  <c r="AA471" i="34"/>
  <c r="P471" i="34"/>
  <c r="Q471" i="34"/>
  <c r="R471" i="34"/>
  <c r="V471" i="34"/>
  <c r="Q476" i="34"/>
  <c r="R476" i="34"/>
  <c r="V476" i="34"/>
  <c r="AA476" i="34"/>
  <c r="P476" i="34"/>
  <c r="AA481" i="34"/>
  <c r="P481" i="34"/>
  <c r="Q481" i="34"/>
  <c r="R481" i="34"/>
  <c r="V481" i="34"/>
  <c r="AA485" i="34"/>
  <c r="P485" i="34"/>
  <c r="Q485" i="34"/>
  <c r="R485" i="34"/>
  <c r="V485" i="34"/>
  <c r="P616" i="34"/>
  <c r="Q616" i="34"/>
  <c r="R616" i="34"/>
  <c r="V616" i="34"/>
  <c r="AA616" i="34"/>
  <c r="Q313" i="34"/>
  <c r="R313" i="34"/>
  <c r="V313" i="34"/>
  <c r="AA313" i="34"/>
  <c r="P313" i="34"/>
  <c r="AA318" i="34"/>
  <c r="P318" i="34"/>
  <c r="Q318" i="34"/>
  <c r="R318" i="34"/>
  <c r="V318" i="34"/>
  <c r="AA324" i="34"/>
  <c r="P324" i="34"/>
  <c r="Q324" i="34"/>
  <c r="R324" i="34"/>
  <c r="V324" i="34"/>
  <c r="Q329" i="34"/>
  <c r="R329" i="34"/>
  <c r="V329" i="34"/>
  <c r="AA329" i="34"/>
  <c r="P329" i="34"/>
  <c r="AA334" i="34"/>
  <c r="P334" i="34"/>
  <c r="Q334" i="34"/>
  <c r="R334" i="34"/>
  <c r="V334" i="34"/>
  <c r="AA338" i="34"/>
  <c r="P338" i="34"/>
  <c r="Q338" i="34"/>
  <c r="R338" i="34"/>
  <c r="V338" i="34"/>
  <c r="AA342" i="34"/>
  <c r="P342" i="34"/>
  <c r="Q342" i="34"/>
  <c r="R342" i="34"/>
  <c r="V342" i="34"/>
  <c r="Q347" i="34"/>
  <c r="R347" i="34"/>
  <c r="V347" i="34"/>
  <c r="P347" i="34"/>
  <c r="AA347" i="34"/>
  <c r="P352" i="34"/>
  <c r="R352" i="34"/>
  <c r="V352" i="34"/>
  <c r="AA352" i="34"/>
  <c r="Q352" i="34"/>
  <c r="R356" i="34"/>
  <c r="V356" i="34"/>
  <c r="P356" i="34"/>
  <c r="Q356" i="34"/>
  <c r="AA356" i="34"/>
  <c r="P950" i="34"/>
  <c r="Q950" i="34"/>
  <c r="R950" i="34"/>
  <c r="V950" i="34"/>
  <c r="AA950" i="34"/>
  <c r="AA904" i="34"/>
  <c r="P904" i="34"/>
  <c r="Q904" i="34"/>
  <c r="R904" i="34"/>
  <c r="V904" i="34"/>
  <c r="P920" i="34"/>
  <c r="Q920" i="34"/>
  <c r="R920" i="34"/>
  <c r="V920" i="34"/>
  <c r="AA920" i="34"/>
  <c r="P932" i="34"/>
  <c r="Q932" i="34"/>
  <c r="R932" i="34"/>
  <c r="V932" i="34"/>
  <c r="AA932" i="34"/>
  <c r="P604" i="34"/>
  <c r="Q604" i="34"/>
  <c r="R604" i="34"/>
  <c r="V604" i="34"/>
  <c r="AA604" i="34"/>
  <c r="AA876" i="34"/>
  <c r="P876" i="34"/>
  <c r="Q876" i="34"/>
  <c r="R876" i="34"/>
  <c r="V876" i="34"/>
  <c r="AA892" i="34"/>
  <c r="P892" i="34"/>
  <c r="Q892" i="34"/>
  <c r="R892" i="34"/>
  <c r="V892" i="34"/>
  <c r="R941" i="34"/>
  <c r="V941" i="34"/>
  <c r="AA941" i="34"/>
  <c r="P941" i="34"/>
  <c r="Q941" i="34"/>
  <c r="R945" i="34"/>
  <c r="V945" i="34"/>
  <c r="AA945" i="34"/>
  <c r="P945" i="34"/>
  <c r="Q945" i="34"/>
  <c r="R949" i="34"/>
  <c r="V949" i="34"/>
  <c r="AA949" i="34"/>
  <c r="P949" i="34"/>
  <c r="Q949" i="34"/>
  <c r="AA1193" i="34"/>
  <c r="P1193" i="34"/>
  <c r="Q1193" i="34"/>
  <c r="R1193" i="34"/>
  <c r="V1193" i="34"/>
  <c r="Q899" i="34"/>
  <c r="R899" i="34"/>
  <c r="V899" i="34"/>
  <c r="AA899" i="34"/>
  <c r="P899" i="34"/>
  <c r="Q903" i="34"/>
  <c r="R903" i="34"/>
  <c r="V903" i="34"/>
  <c r="AA903" i="34"/>
  <c r="P903" i="34"/>
  <c r="Q907" i="34"/>
  <c r="R907" i="34"/>
  <c r="V907" i="34"/>
  <c r="AA907" i="34"/>
  <c r="P907" i="34"/>
  <c r="Q911" i="34"/>
  <c r="R911" i="34"/>
  <c r="V911" i="34"/>
  <c r="P911" i="34"/>
  <c r="AA911" i="34"/>
  <c r="Q915" i="34"/>
  <c r="R915" i="34"/>
  <c r="V915" i="34"/>
  <c r="P915" i="34"/>
  <c r="AA915" i="34"/>
  <c r="R919" i="34"/>
  <c r="V919" i="34"/>
  <c r="AA919" i="34"/>
  <c r="P919" i="34"/>
  <c r="Q919" i="34"/>
  <c r="R923" i="34"/>
  <c r="V923" i="34"/>
  <c r="AA923" i="34"/>
  <c r="P923" i="34"/>
  <c r="Q923" i="34"/>
  <c r="R927" i="34"/>
  <c r="V927" i="34"/>
  <c r="AA927" i="34"/>
  <c r="P927" i="34"/>
  <c r="Q927" i="34"/>
  <c r="R931" i="34"/>
  <c r="V931" i="34"/>
  <c r="AA931" i="34"/>
  <c r="P931" i="34"/>
  <c r="Q931" i="34"/>
  <c r="R935" i="34"/>
  <c r="V935" i="34"/>
  <c r="AA935" i="34"/>
  <c r="P935" i="34"/>
  <c r="Q935" i="34"/>
  <c r="R939" i="34"/>
  <c r="V939" i="34"/>
  <c r="AA939" i="34"/>
  <c r="P939" i="34"/>
  <c r="Q939" i="34"/>
  <c r="R490" i="34"/>
  <c r="V490" i="34"/>
  <c r="AA490" i="34"/>
  <c r="P490" i="34"/>
  <c r="Q490" i="34"/>
  <c r="R603" i="34"/>
  <c r="V603" i="34"/>
  <c r="AA603" i="34"/>
  <c r="P603" i="34"/>
  <c r="Q603" i="34"/>
  <c r="Q863" i="34"/>
  <c r="R863" i="34"/>
  <c r="V863" i="34"/>
  <c r="AA863" i="34"/>
  <c r="P863" i="34"/>
  <c r="Q867" i="34"/>
  <c r="R867" i="34"/>
  <c r="V867" i="34"/>
  <c r="AA867" i="34"/>
  <c r="P867" i="34"/>
  <c r="Q871" i="34"/>
  <c r="R871" i="34"/>
  <c r="V871" i="34"/>
  <c r="AA871" i="34"/>
  <c r="P871" i="34"/>
  <c r="Q875" i="34"/>
  <c r="R875" i="34"/>
  <c r="V875" i="34"/>
  <c r="AA875" i="34"/>
  <c r="P875" i="34"/>
  <c r="Q879" i="34"/>
  <c r="R879" i="34"/>
  <c r="V879" i="34"/>
  <c r="AA879" i="34"/>
  <c r="P879" i="34"/>
  <c r="Q883" i="34"/>
  <c r="R883" i="34"/>
  <c r="V883" i="34"/>
  <c r="AA883" i="34"/>
  <c r="P883" i="34"/>
  <c r="Q887" i="34"/>
  <c r="R887" i="34"/>
  <c r="V887" i="34"/>
  <c r="AA887" i="34"/>
  <c r="P887" i="34"/>
  <c r="Q891" i="34"/>
  <c r="R891" i="34"/>
  <c r="V891" i="34"/>
  <c r="AA891" i="34"/>
  <c r="P891" i="34"/>
  <c r="Q895" i="34"/>
  <c r="R895" i="34"/>
  <c r="V895" i="34"/>
  <c r="AA895" i="34"/>
  <c r="P895" i="34"/>
  <c r="AA439" i="34"/>
  <c r="P439" i="34"/>
  <c r="Q439" i="34"/>
  <c r="R439" i="34"/>
  <c r="V439" i="34"/>
  <c r="Q444" i="34"/>
  <c r="R444" i="34"/>
  <c r="V444" i="34"/>
  <c r="AA444" i="34"/>
  <c r="P444" i="34"/>
  <c r="AA449" i="34"/>
  <c r="P449" i="34"/>
  <c r="Q449" i="34"/>
  <c r="R449" i="34"/>
  <c r="V449" i="34"/>
  <c r="Q454" i="34"/>
  <c r="R454" i="34"/>
  <c r="V454" i="34"/>
  <c r="AA454" i="34"/>
  <c r="P454" i="34"/>
  <c r="AA459" i="34"/>
  <c r="P459" i="34"/>
  <c r="Q459" i="34"/>
  <c r="R459" i="34"/>
  <c r="V459" i="34"/>
  <c r="Q464" i="34"/>
  <c r="R464" i="34"/>
  <c r="V464" i="34"/>
  <c r="AA464" i="34"/>
  <c r="P464" i="34"/>
  <c r="Q468" i="34"/>
  <c r="R468" i="34"/>
  <c r="V468" i="34"/>
  <c r="AA468" i="34"/>
  <c r="P468" i="34"/>
  <c r="Q472" i="34"/>
  <c r="R472" i="34"/>
  <c r="V472" i="34"/>
  <c r="AA472" i="34"/>
  <c r="P472" i="34"/>
  <c r="AA477" i="34"/>
  <c r="P477" i="34"/>
  <c r="Q477" i="34"/>
  <c r="R477" i="34"/>
  <c r="V477" i="34"/>
  <c r="Q482" i="34"/>
  <c r="R482" i="34"/>
  <c r="V482" i="34"/>
  <c r="AA482" i="34"/>
  <c r="P482" i="34"/>
  <c r="Q486" i="34"/>
  <c r="R486" i="34"/>
  <c r="V486" i="34"/>
  <c r="AA486" i="34"/>
  <c r="P486" i="34"/>
  <c r="AA310" i="34"/>
  <c r="P310" i="34"/>
  <c r="Q310" i="34"/>
  <c r="R310" i="34"/>
  <c r="V310" i="34"/>
  <c r="Q315" i="34"/>
  <c r="R315" i="34"/>
  <c r="V315" i="34"/>
  <c r="AA315" i="34"/>
  <c r="P315" i="34"/>
  <c r="Q319" i="34"/>
  <c r="R319" i="34"/>
  <c r="V319" i="34"/>
  <c r="AA319" i="34"/>
  <c r="P319" i="34"/>
  <c r="Q325" i="34"/>
  <c r="R325" i="34"/>
  <c r="V325" i="34"/>
  <c r="AA325" i="34"/>
  <c r="P325" i="34"/>
  <c r="AA330" i="34"/>
  <c r="P330" i="34"/>
  <c r="Q330" i="34"/>
  <c r="R330" i="34"/>
  <c r="V330" i="34"/>
  <c r="Q335" i="34"/>
  <c r="R335" i="34"/>
  <c r="V335" i="34"/>
  <c r="AA335" i="34"/>
  <c r="P335" i="34"/>
  <c r="Q339" i="34"/>
  <c r="R339" i="34"/>
  <c r="V339" i="34"/>
  <c r="AA339" i="34"/>
  <c r="P339" i="34"/>
  <c r="Q343" i="34"/>
  <c r="R343" i="34"/>
  <c r="V343" i="34"/>
  <c r="AA343" i="34"/>
  <c r="P343" i="34"/>
  <c r="AA348" i="34"/>
  <c r="P348" i="34"/>
  <c r="R348" i="34"/>
  <c r="V348" i="34"/>
  <c r="Q348" i="34"/>
  <c r="P353" i="34"/>
  <c r="Q353" i="34"/>
  <c r="R353" i="34"/>
  <c r="V353" i="34"/>
  <c r="AA353" i="34"/>
  <c r="R358" i="34"/>
  <c r="V358" i="34"/>
  <c r="P358" i="34"/>
  <c r="Q358" i="34"/>
  <c r="AA358" i="34"/>
  <c r="A946" i="34"/>
  <c r="A912" i="34"/>
  <c r="A932" i="34"/>
  <c r="A943" i="34"/>
  <c r="A947" i="34"/>
  <c r="A951" i="34"/>
  <c r="A897" i="34"/>
  <c r="A901" i="34"/>
  <c r="A905" i="34"/>
  <c r="A909" i="34"/>
  <c r="A913" i="34"/>
  <c r="A917" i="34"/>
  <c r="A921" i="34"/>
  <c r="A925" i="34"/>
  <c r="A929" i="34"/>
  <c r="A933" i="34"/>
  <c r="A937" i="34"/>
  <c r="A488" i="34"/>
  <c r="A492" i="34"/>
  <c r="A605" i="34"/>
  <c r="A865" i="34"/>
  <c r="A869" i="34"/>
  <c r="A873" i="34"/>
  <c r="A877" i="34"/>
  <c r="A881" i="34"/>
  <c r="A885" i="34"/>
  <c r="A889" i="34"/>
  <c r="A893" i="34"/>
  <c r="A436" i="34"/>
  <c r="A442" i="34"/>
  <c r="A446" i="34"/>
  <c r="A451" i="34"/>
  <c r="A457" i="34"/>
  <c r="A461" i="34"/>
  <c r="A466" i="34"/>
  <c r="A470" i="34"/>
  <c r="A474" i="34"/>
  <c r="A480" i="34"/>
  <c r="A484" i="34"/>
  <c r="A615" i="34"/>
  <c r="A312" i="34"/>
  <c r="A317" i="34"/>
  <c r="A322" i="34"/>
  <c r="A328" i="34"/>
  <c r="A333" i="34"/>
  <c r="A337" i="34"/>
  <c r="A341" i="34"/>
  <c r="A346" i="34"/>
  <c r="A351" i="34"/>
  <c r="A355" i="34"/>
  <c r="A950" i="34"/>
  <c r="A908" i="34"/>
  <c r="A924" i="34"/>
  <c r="A940" i="34"/>
  <c r="A944" i="34"/>
  <c r="A948" i="34"/>
  <c r="A1154" i="34"/>
  <c r="A898" i="34"/>
  <c r="A902" i="34"/>
  <c r="A906" i="34"/>
  <c r="A910" i="34"/>
  <c r="A914" i="34"/>
  <c r="A918" i="34"/>
  <c r="A922" i="34"/>
  <c r="A926" i="34"/>
  <c r="A930" i="34"/>
  <c r="A934" i="34"/>
  <c r="A938" i="34"/>
  <c r="A489" i="34"/>
  <c r="A602" i="34"/>
  <c r="A606" i="34"/>
  <c r="A866" i="34"/>
  <c r="A870" i="34"/>
  <c r="A874" i="34"/>
  <c r="A878" i="34"/>
  <c r="A882" i="34"/>
  <c r="A886" i="34"/>
  <c r="A890" i="34"/>
  <c r="A894" i="34"/>
  <c r="A437" i="34"/>
  <c r="A443" i="34"/>
  <c r="A448" i="34"/>
  <c r="A452" i="34"/>
  <c r="A458" i="34"/>
  <c r="A462" i="34"/>
  <c r="A467" i="34"/>
  <c r="A471" i="34"/>
  <c r="A476" i="34"/>
  <c r="A481" i="34"/>
  <c r="A485" i="34"/>
  <c r="A616" i="34"/>
  <c r="A313" i="34"/>
  <c r="A318" i="34"/>
  <c r="A324" i="34"/>
  <c r="A329" i="34"/>
  <c r="A334" i="34"/>
  <c r="A338" i="34"/>
  <c r="A342" i="34"/>
  <c r="A347" i="34"/>
  <c r="A352" i="34"/>
  <c r="A356" i="34"/>
  <c r="A942" i="34"/>
  <c r="A896" i="34"/>
  <c r="A904" i="34"/>
  <c r="A920" i="34"/>
  <c r="A941" i="34"/>
  <c r="A945" i="34"/>
  <c r="A949" i="34"/>
  <c r="A1193" i="34"/>
  <c r="A899" i="34"/>
  <c r="A903" i="34"/>
  <c r="A907" i="34"/>
  <c r="A911" i="34"/>
  <c r="A915" i="34"/>
  <c r="A919" i="34"/>
  <c r="A923" i="34"/>
  <c r="A927" i="34"/>
  <c r="A931" i="34"/>
  <c r="A935" i="34"/>
  <c r="A939" i="34"/>
  <c r="A490" i="34"/>
  <c r="A603" i="34"/>
  <c r="A863" i="34"/>
  <c r="A867" i="34"/>
  <c r="A871" i="34"/>
  <c r="A875" i="34"/>
  <c r="A879" i="34"/>
  <c r="A883" i="34"/>
  <c r="A887" i="34"/>
  <c r="A891" i="34"/>
  <c r="A895" i="34"/>
  <c r="A439" i="34"/>
  <c r="A444" i="34"/>
  <c r="A449" i="34"/>
  <c r="A454" i="34"/>
  <c r="A459" i="34"/>
  <c r="A464" i="34"/>
  <c r="A468" i="34"/>
  <c r="A472" i="34"/>
  <c r="A477" i="34"/>
  <c r="A482" i="34"/>
  <c r="A486" i="34"/>
  <c r="A310" i="34"/>
  <c r="A315" i="34"/>
  <c r="A319" i="34"/>
  <c r="A325" i="34"/>
  <c r="A330" i="34"/>
  <c r="A335" i="34"/>
  <c r="A339" i="34"/>
  <c r="A343" i="34"/>
  <c r="A348" i="34"/>
  <c r="A353" i="34"/>
  <c r="A358" i="34"/>
  <c r="A900" i="34"/>
  <c r="A916" i="34"/>
  <c r="A928" i="34"/>
  <c r="A936" i="34"/>
  <c r="A487" i="34"/>
  <c r="A491" i="34"/>
  <c r="A604" i="34"/>
  <c r="A864" i="34"/>
  <c r="A868" i="34"/>
  <c r="A872" i="34"/>
  <c r="A876" i="34"/>
  <c r="A880" i="34"/>
  <c r="A884" i="34"/>
  <c r="A888" i="34"/>
  <c r="A892" i="34"/>
  <c r="A435" i="34"/>
  <c r="A440" i="34"/>
  <c r="A445" i="34"/>
  <c r="A450" i="34"/>
  <c r="A455" i="34"/>
  <c r="A460" i="34"/>
  <c r="A465" i="34"/>
  <c r="A469" i="34"/>
  <c r="A473" i="34"/>
  <c r="A478" i="34"/>
  <c r="A483" i="34"/>
  <c r="A614" i="34"/>
  <c r="A311" i="34"/>
  <c r="A316" i="34"/>
  <c r="A321" i="34"/>
  <c r="A327" i="34"/>
  <c r="A331" i="34"/>
  <c r="A336" i="34"/>
  <c r="A340" i="34"/>
  <c r="A344" i="34"/>
  <c r="A350" i="34"/>
  <c r="A354" i="34"/>
  <c r="B157" i="34"/>
  <c r="B155" i="34"/>
  <c r="R157" i="34" l="1"/>
  <c r="V157" i="34"/>
  <c r="AA157" i="34"/>
  <c r="P157" i="34"/>
  <c r="Q157" i="34"/>
  <c r="R155" i="34"/>
  <c r="V155" i="34"/>
  <c r="AA155" i="34"/>
  <c r="P155" i="34"/>
  <c r="Q155" i="34"/>
  <c r="A155" i="34"/>
  <c r="A157" i="34"/>
  <c r="A1680" i="34" l="1"/>
  <c r="B88" i="34"/>
  <c r="Q88" i="34" l="1"/>
  <c r="P88" i="34"/>
  <c r="R88" i="34"/>
  <c r="V88" i="34"/>
  <c r="AA88" i="34"/>
  <c r="A88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120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239" i="34"/>
  <c r="B2240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461" i="34"/>
  <c r="B2462" i="34"/>
  <c r="B2463" i="34"/>
  <c r="B2464" i="34"/>
  <c r="B2465" i="34"/>
  <c r="B2466" i="34"/>
  <c r="B2467" i="34"/>
  <c r="B2161" i="34"/>
  <c r="B2340" i="34"/>
  <c r="B2241" i="34"/>
  <c r="A166" i="60"/>
  <c r="R2465" i="34" l="1"/>
  <c r="V2465" i="34"/>
  <c r="P2465" i="34"/>
  <c r="Q2465" i="34"/>
  <c r="AA2465" i="34"/>
  <c r="R2359" i="34"/>
  <c r="V2359" i="34"/>
  <c r="AA2359" i="34"/>
  <c r="P2359" i="34"/>
  <c r="Q2359" i="34"/>
  <c r="R2467" i="34"/>
  <c r="V2467" i="34"/>
  <c r="AA2467" i="34"/>
  <c r="P2467" i="34"/>
  <c r="Q2467" i="34"/>
  <c r="R2463" i="34"/>
  <c r="V2463" i="34"/>
  <c r="P2463" i="34"/>
  <c r="Q2463" i="34"/>
  <c r="AA2463" i="34"/>
  <c r="R2377" i="34"/>
  <c r="V2377" i="34"/>
  <c r="AA2377" i="34"/>
  <c r="P2377" i="34"/>
  <c r="Q2377" i="34"/>
  <c r="R2373" i="34"/>
  <c r="V2373" i="34"/>
  <c r="AA2373" i="34"/>
  <c r="P2373" i="34"/>
  <c r="Q2373" i="34"/>
  <c r="R2369" i="34"/>
  <c r="V2369" i="34"/>
  <c r="AA2369" i="34"/>
  <c r="P2369" i="34"/>
  <c r="Q2369" i="34"/>
  <c r="R2365" i="34"/>
  <c r="V2365" i="34"/>
  <c r="AA2365" i="34"/>
  <c r="P2365" i="34"/>
  <c r="Q2365" i="34"/>
  <c r="R2361" i="34"/>
  <c r="V2361" i="34"/>
  <c r="AA2361" i="34"/>
  <c r="P2361" i="34"/>
  <c r="Q2361" i="34"/>
  <c r="R2357" i="34"/>
  <c r="V2357" i="34"/>
  <c r="AA2357" i="34"/>
  <c r="P2357" i="34"/>
  <c r="Q2357" i="34"/>
  <c r="R2353" i="34"/>
  <c r="V2353" i="34"/>
  <c r="AA2353" i="34"/>
  <c r="P2353" i="34"/>
  <c r="Q2353" i="34"/>
  <c r="P2254" i="34"/>
  <c r="Q2254" i="34"/>
  <c r="R2254" i="34"/>
  <c r="V2254" i="34"/>
  <c r="AA2254" i="34"/>
  <c r="P2250" i="34"/>
  <c r="Q2250" i="34"/>
  <c r="R2250" i="34"/>
  <c r="V2250" i="34"/>
  <c r="AA2250" i="34"/>
  <c r="P2246" i="34"/>
  <c r="Q2246" i="34"/>
  <c r="R2246" i="34"/>
  <c r="V2246" i="34"/>
  <c r="AA2246" i="34"/>
  <c r="P2242" i="34"/>
  <c r="Q2242" i="34"/>
  <c r="R2242" i="34"/>
  <c r="V2242" i="34"/>
  <c r="AA2242" i="34"/>
  <c r="R2191" i="34"/>
  <c r="V2191" i="34"/>
  <c r="AA2191" i="34"/>
  <c r="P2191" i="34"/>
  <c r="Q2191" i="34"/>
  <c r="R2187" i="34"/>
  <c r="V2187" i="34"/>
  <c r="AA2187" i="34"/>
  <c r="P2187" i="34"/>
  <c r="Q2187" i="34"/>
  <c r="R2183" i="34"/>
  <c r="V2183" i="34"/>
  <c r="AA2183" i="34"/>
  <c r="P2183" i="34"/>
  <c r="Q2183" i="34"/>
  <c r="R2179" i="34"/>
  <c r="V2179" i="34"/>
  <c r="AA2179" i="34"/>
  <c r="P2179" i="34"/>
  <c r="Q2179" i="34"/>
  <c r="P2460" i="34"/>
  <c r="Q2460" i="34"/>
  <c r="R2460" i="34"/>
  <c r="V2460" i="34"/>
  <c r="AA2460" i="34"/>
  <c r="P2456" i="34"/>
  <c r="R2456" i="34"/>
  <c r="V2456" i="34"/>
  <c r="AA2456" i="34"/>
  <c r="Q2456" i="34"/>
  <c r="P2452" i="34"/>
  <c r="Q2452" i="34"/>
  <c r="R2452" i="34"/>
  <c r="V2452" i="34"/>
  <c r="AA2452" i="34"/>
  <c r="P2448" i="34"/>
  <c r="Q2448" i="34"/>
  <c r="R2448" i="34"/>
  <c r="V2448" i="34"/>
  <c r="AA2448" i="34"/>
  <c r="P2444" i="34"/>
  <c r="R2444" i="34"/>
  <c r="V2444" i="34"/>
  <c r="Q2444" i="34"/>
  <c r="AA2444" i="34"/>
  <c r="P2440" i="34"/>
  <c r="Q2440" i="34"/>
  <c r="R2440" i="34"/>
  <c r="V2440" i="34"/>
  <c r="AA2440" i="34"/>
  <c r="P2436" i="34"/>
  <c r="Q2436" i="34"/>
  <c r="R2436" i="34"/>
  <c r="V2436" i="34"/>
  <c r="AA2436" i="34"/>
  <c r="P2432" i="34"/>
  <c r="Q2432" i="34"/>
  <c r="R2432" i="34"/>
  <c r="V2432" i="34"/>
  <c r="AA2432" i="34"/>
  <c r="R2349" i="34"/>
  <c r="V2349" i="34"/>
  <c r="AA2349" i="34"/>
  <c r="P2349" i="34"/>
  <c r="Q2349" i="34"/>
  <c r="R2345" i="34"/>
  <c r="V2345" i="34"/>
  <c r="AA2345" i="34"/>
  <c r="P2345" i="34"/>
  <c r="Q2345" i="34"/>
  <c r="R2341" i="34"/>
  <c r="V2341" i="34"/>
  <c r="AA2341" i="34"/>
  <c r="P2341" i="34"/>
  <c r="Q2341" i="34"/>
  <c r="P2336" i="34"/>
  <c r="Q2336" i="34"/>
  <c r="R2336" i="34"/>
  <c r="V2336" i="34"/>
  <c r="AA2336" i="34"/>
  <c r="P2332" i="34"/>
  <c r="Q2332" i="34"/>
  <c r="R2332" i="34"/>
  <c r="V2332" i="34"/>
  <c r="AA2332" i="34"/>
  <c r="P2328" i="34"/>
  <c r="Q2328" i="34"/>
  <c r="R2328" i="34"/>
  <c r="V2328" i="34"/>
  <c r="AA2328" i="34"/>
  <c r="P2238" i="34"/>
  <c r="Q2238" i="34"/>
  <c r="R2238" i="34"/>
  <c r="V2238" i="34"/>
  <c r="AA2238" i="34"/>
  <c r="P2234" i="34"/>
  <c r="Q2234" i="34"/>
  <c r="R2234" i="34"/>
  <c r="V2234" i="34"/>
  <c r="AA2234" i="34"/>
  <c r="P2230" i="34"/>
  <c r="Q2230" i="34"/>
  <c r="R2230" i="34"/>
  <c r="V2230" i="34"/>
  <c r="AA2230" i="34"/>
  <c r="P2226" i="34"/>
  <c r="Q2226" i="34"/>
  <c r="R2226" i="34"/>
  <c r="V2226" i="34"/>
  <c r="AA2226" i="34"/>
  <c r="P2222" i="34"/>
  <c r="Q2222" i="34"/>
  <c r="R2222" i="34"/>
  <c r="V2222" i="34"/>
  <c r="AA2222" i="34"/>
  <c r="P2174" i="34"/>
  <c r="Q2174" i="34"/>
  <c r="R2174" i="34"/>
  <c r="V2174" i="34"/>
  <c r="AA2174" i="34"/>
  <c r="P2170" i="34"/>
  <c r="Q2170" i="34"/>
  <c r="R2170" i="34"/>
  <c r="V2170" i="34"/>
  <c r="AA2170" i="34"/>
  <c r="P2166" i="34"/>
  <c r="Q2166" i="34"/>
  <c r="R2166" i="34"/>
  <c r="V2166" i="34"/>
  <c r="AA2166" i="34"/>
  <c r="P2162" i="34"/>
  <c r="Q2162" i="34"/>
  <c r="R2162" i="34"/>
  <c r="V2162" i="34"/>
  <c r="AA2162" i="34"/>
  <c r="R2375" i="34"/>
  <c r="V2375" i="34"/>
  <c r="AA2375" i="34"/>
  <c r="P2375" i="34"/>
  <c r="Q2375" i="34"/>
  <c r="R2367" i="34"/>
  <c r="V2367" i="34"/>
  <c r="AA2367" i="34"/>
  <c r="P2367" i="34"/>
  <c r="Q2367" i="34"/>
  <c r="R2241" i="34"/>
  <c r="V2241" i="34"/>
  <c r="AA2241" i="34"/>
  <c r="P2241" i="34"/>
  <c r="Q2241" i="34"/>
  <c r="P2466" i="34"/>
  <c r="R2466" i="34"/>
  <c r="V2466" i="34"/>
  <c r="AA2466" i="34"/>
  <c r="Q2466" i="34"/>
  <c r="P2462" i="34"/>
  <c r="Q2462" i="34"/>
  <c r="R2462" i="34"/>
  <c r="V2462" i="34"/>
  <c r="AA2462" i="34"/>
  <c r="P2376" i="34"/>
  <c r="Q2376" i="34"/>
  <c r="R2376" i="34"/>
  <c r="V2376" i="34"/>
  <c r="AA2376" i="34"/>
  <c r="P2372" i="34"/>
  <c r="Q2372" i="34"/>
  <c r="R2372" i="34"/>
  <c r="V2372" i="34"/>
  <c r="AA2372" i="34"/>
  <c r="P2368" i="34"/>
  <c r="Q2368" i="34"/>
  <c r="R2368" i="34"/>
  <c r="V2368" i="34"/>
  <c r="AA2368" i="34"/>
  <c r="P2364" i="34"/>
  <c r="Q2364" i="34"/>
  <c r="R2364" i="34"/>
  <c r="V2364" i="34"/>
  <c r="AA2364" i="34"/>
  <c r="P2360" i="34"/>
  <c r="Q2360" i="34"/>
  <c r="R2360" i="34"/>
  <c r="V2360" i="34"/>
  <c r="AA2360" i="34"/>
  <c r="P2356" i="34"/>
  <c r="Q2356" i="34"/>
  <c r="R2356" i="34"/>
  <c r="V2356" i="34"/>
  <c r="AA2356" i="34"/>
  <c r="P2352" i="34"/>
  <c r="Q2352" i="34"/>
  <c r="R2352" i="34"/>
  <c r="V2352" i="34"/>
  <c r="AA2352" i="34"/>
  <c r="R2253" i="34"/>
  <c r="V2253" i="34"/>
  <c r="AA2253" i="34"/>
  <c r="P2253" i="34"/>
  <c r="Q2253" i="34"/>
  <c r="R2249" i="34"/>
  <c r="V2249" i="34"/>
  <c r="AA2249" i="34"/>
  <c r="P2249" i="34"/>
  <c r="Q2249" i="34"/>
  <c r="R2245" i="34"/>
  <c r="V2245" i="34"/>
  <c r="AA2245" i="34"/>
  <c r="P2245" i="34"/>
  <c r="Q2245" i="34"/>
  <c r="P2240" i="34"/>
  <c r="Q2240" i="34"/>
  <c r="R2240" i="34"/>
  <c r="V2240" i="34"/>
  <c r="AA2240" i="34"/>
  <c r="P2190" i="34"/>
  <c r="Q2190" i="34"/>
  <c r="R2190" i="34"/>
  <c r="V2190" i="34"/>
  <c r="AA2190" i="34"/>
  <c r="P2186" i="34"/>
  <c r="Q2186" i="34"/>
  <c r="R2186" i="34"/>
  <c r="V2186" i="34"/>
  <c r="AA2186" i="34"/>
  <c r="P2182" i="34"/>
  <c r="Q2182" i="34"/>
  <c r="R2182" i="34"/>
  <c r="V2182" i="34"/>
  <c r="AA2182" i="34"/>
  <c r="P2178" i="34"/>
  <c r="Q2178" i="34"/>
  <c r="R2178" i="34"/>
  <c r="V2178" i="34"/>
  <c r="AA2178" i="34"/>
  <c r="R2459" i="34"/>
  <c r="V2459" i="34"/>
  <c r="AA2459" i="34"/>
  <c r="P2459" i="34"/>
  <c r="Q2459" i="34"/>
  <c r="R2455" i="34"/>
  <c r="V2455" i="34"/>
  <c r="P2455" i="34"/>
  <c r="Q2455" i="34"/>
  <c r="AA2455" i="34"/>
  <c r="R2451" i="34"/>
  <c r="V2451" i="34"/>
  <c r="P2451" i="34"/>
  <c r="Q2451" i="34"/>
  <c r="AA2451" i="34"/>
  <c r="R2447" i="34"/>
  <c r="V2447" i="34"/>
  <c r="AA2447" i="34"/>
  <c r="P2447" i="34"/>
  <c r="Q2447" i="34"/>
  <c r="R2443" i="34"/>
  <c r="V2443" i="34"/>
  <c r="P2443" i="34"/>
  <c r="Q2443" i="34"/>
  <c r="AA2443" i="34"/>
  <c r="R2439" i="34"/>
  <c r="V2439" i="34"/>
  <c r="AA2439" i="34"/>
  <c r="P2439" i="34"/>
  <c r="Q2439" i="34"/>
  <c r="R2435" i="34"/>
  <c r="V2435" i="34"/>
  <c r="AA2435" i="34"/>
  <c r="P2435" i="34"/>
  <c r="Q2435" i="34"/>
  <c r="R2431" i="34"/>
  <c r="V2431" i="34"/>
  <c r="AA2431" i="34"/>
  <c r="P2431" i="34"/>
  <c r="Q2431" i="34"/>
  <c r="P2348" i="34"/>
  <c r="Q2348" i="34"/>
  <c r="R2348" i="34"/>
  <c r="V2348" i="34"/>
  <c r="AA2348" i="34"/>
  <c r="P2344" i="34"/>
  <c r="Q2344" i="34"/>
  <c r="R2344" i="34"/>
  <c r="V2344" i="34"/>
  <c r="AA2344" i="34"/>
  <c r="R2339" i="34"/>
  <c r="V2339" i="34"/>
  <c r="AA2339" i="34"/>
  <c r="P2339" i="34"/>
  <c r="Q2339" i="34"/>
  <c r="R2335" i="34"/>
  <c r="V2335" i="34"/>
  <c r="AA2335" i="34"/>
  <c r="P2335" i="34"/>
  <c r="Q2335" i="34"/>
  <c r="R2331" i="34"/>
  <c r="V2331" i="34"/>
  <c r="AA2331" i="34"/>
  <c r="P2331" i="34"/>
  <c r="Q2331" i="34"/>
  <c r="R2327" i="34"/>
  <c r="V2327" i="34"/>
  <c r="AA2327" i="34"/>
  <c r="P2327" i="34"/>
  <c r="Q2327" i="34"/>
  <c r="R2237" i="34"/>
  <c r="V2237" i="34"/>
  <c r="AA2237" i="34"/>
  <c r="P2237" i="34"/>
  <c r="Q2237" i="34"/>
  <c r="R2233" i="34"/>
  <c r="V2233" i="34"/>
  <c r="AA2233" i="34"/>
  <c r="P2233" i="34"/>
  <c r="Q2233" i="34"/>
  <c r="R2229" i="34"/>
  <c r="V2229" i="34"/>
  <c r="AA2229" i="34"/>
  <c r="P2229" i="34"/>
  <c r="Q2229" i="34"/>
  <c r="R2225" i="34"/>
  <c r="V2225" i="34"/>
  <c r="AA2225" i="34"/>
  <c r="P2225" i="34"/>
  <c r="Q2225" i="34"/>
  <c r="R2221" i="34"/>
  <c r="V2221" i="34"/>
  <c r="AA2221" i="34"/>
  <c r="P2221" i="34"/>
  <c r="Q2221" i="34"/>
  <c r="R2173" i="34"/>
  <c r="V2173" i="34"/>
  <c r="AA2173" i="34"/>
  <c r="P2173" i="34"/>
  <c r="Q2173" i="34"/>
  <c r="R2169" i="34"/>
  <c r="V2169" i="34"/>
  <c r="AA2169" i="34"/>
  <c r="P2169" i="34"/>
  <c r="Q2169" i="34"/>
  <c r="R2165" i="34"/>
  <c r="V2165" i="34"/>
  <c r="AA2165" i="34"/>
  <c r="P2165" i="34"/>
  <c r="Q2165" i="34"/>
  <c r="P2340" i="34"/>
  <c r="Q2340" i="34"/>
  <c r="R2340" i="34"/>
  <c r="V2340" i="34"/>
  <c r="AA2340" i="34"/>
  <c r="R2371" i="34"/>
  <c r="V2371" i="34"/>
  <c r="AA2371" i="34"/>
  <c r="P2371" i="34"/>
  <c r="Q2371" i="34"/>
  <c r="R2355" i="34"/>
  <c r="V2355" i="34"/>
  <c r="AA2355" i="34"/>
  <c r="P2355" i="34"/>
  <c r="Q2355" i="34"/>
  <c r="P2256" i="34"/>
  <c r="Q2256" i="34"/>
  <c r="R2256" i="34"/>
  <c r="V2256" i="34"/>
  <c r="AA2256" i="34"/>
  <c r="P2252" i="34"/>
  <c r="Q2252" i="34"/>
  <c r="R2252" i="34"/>
  <c r="V2252" i="34"/>
  <c r="AA2252" i="34"/>
  <c r="P2248" i="34"/>
  <c r="Q2248" i="34"/>
  <c r="R2248" i="34"/>
  <c r="V2248" i="34"/>
  <c r="AA2248" i="34"/>
  <c r="P2244" i="34"/>
  <c r="Q2244" i="34"/>
  <c r="R2244" i="34"/>
  <c r="V2244" i="34"/>
  <c r="AA2244" i="34"/>
  <c r="R2239" i="34"/>
  <c r="V2239" i="34"/>
  <c r="AA2239" i="34"/>
  <c r="P2239" i="34"/>
  <c r="Q2239" i="34"/>
  <c r="R2189" i="34"/>
  <c r="V2189" i="34"/>
  <c r="AA2189" i="34"/>
  <c r="P2189" i="34"/>
  <c r="Q2189" i="34"/>
  <c r="R2185" i="34"/>
  <c r="V2185" i="34"/>
  <c r="AA2185" i="34"/>
  <c r="P2185" i="34"/>
  <c r="Q2185" i="34"/>
  <c r="R2181" i="34"/>
  <c r="V2181" i="34"/>
  <c r="AA2181" i="34"/>
  <c r="P2181" i="34"/>
  <c r="Q2181" i="34"/>
  <c r="R2177" i="34"/>
  <c r="V2177" i="34"/>
  <c r="AA2177" i="34"/>
  <c r="P2177" i="34"/>
  <c r="Q2177" i="34"/>
  <c r="P2458" i="34"/>
  <c r="Q2458" i="34"/>
  <c r="R2458" i="34"/>
  <c r="V2458" i="34"/>
  <c r="AA2458" i="34"/>
  <c r="P2454" i="34"/>
  <c r="Q2454" i="34"/>
  <c r="R2454" i="34"/>
  <c r="V2454" i="34"/>
  <c r="AA2454" i="34"/>
  <c r="P2450" i="34"/>
  <c r="Q2450" i="34"/>
  <c r="R2450" i="34"/>
  <c r="V2450" i="34"/>
  <c r="AA2450" i="34"/>
  <c r="P2446" i="34"/>
  <c r="R2446" i="34"/>
  <c r="V2446" i="34"/>
  <c r="Q2446" i="34"/>
  <c r="AA2446" i="34"/>
  <c r="P2442" i="34"/>
  <c r="R2442" i="34"/>
  <c r="V2442" i="34"/>
  <c r="AA2442" i="34"/>
  <c r="Q2442" i="34"/>
  <c r="P2438" i="34"/>
  <c r="Q2438" i="34"/>
  <c r="R2438" i="34"/>
  <c r="V2438" i="34"/>
  <c r="AA2438" i="34"/>
  <c r="P2434" i="34"/>
  <c r="Q2434" i="34"/>
  <c r="R2434" i="34"/>
  <c r="V2434" i="34"/>
  <c r="AA2434" i="34"/>
  <c r="R2351" i="34"/>
  <c r="V2351" i="34"/>
  <c r="AA2351" i="34"/>
  <c r="P2351" i="34"/>
  <c r="Q2351" i="34"/>
  <c r="R2347" i="34"/>
  <c r="V2347" i="34"/>
  <c r="AA2347" i="34"/>
  <c r="P2347" i="34"/>
  <c r="Q2347" i="34"/>
  <c r="R2343" i="34"/>
  <c r="V2343" i="34"/>
  <c r="AA2343" i="34"/>
  <c r="P2343" i="34"/>
  <c r="Q2343" i="34"/>
  <c r="P2338" i="34"/>
  <c r="Q2338" i="34"/>
  <c r="R2338" i="34"/>
  <c r="V2338" i="34"/>
  <c r="AA2338" i="34"/>
  <c r="P2334" i="34"/>
  <c r="Q2334" i="34"/>
  <c r="R2334" i="34"/>
  <c r="V2334" i="34"/>
  <c r="AA2334" i="34"/>
  <c r="P2330" i="34"/>
  <c r="Q2330" i="34"/>
  <c r="R2330" i="34"/>
  <c r="V2330" i="34"/>
  <c r="AA2330" i="34"/>
  <c r="P2326" i="34"/>
  <c r="Q2326" i="34"/>
  <c r="R2326" i="34"/>
  <c r="V2326" i="34"/>
  <c r="AA2326" i="34"/>
  <c r="P2236" i="34"/>
  <c r="Q2236" i="34"/>
  <c r="R2236" i="34"/>
  <c r="V2236" i="34"/>
  <c r="AA2236" i="34"/>
  <c r="P2232" i="34"/>
  <c r="Q2232" i="34"/>
  <c r="R2232" i="34"/>
  <c r="V2232" i="34"/>
  <c r="AA2232" i="34"/>
  <c r="P2228" i="34"/>
  <c r="Q2228" i="34"/>
  <c r="R2228" i="34"/>
  <c r="V2228" i="34"/>
  <c r="AA2228" i="34"/>
  <c r="P2224" i="34"/>
  <c r="Q2224" i="34"/>
  <c r="R2224" i="34"/>
  <c r="V2224" i="34"/>
  <c r="AA2224" i="34"/>
  <c r="P2176" i="34"/>
  <c r="Q2176" i="34"/>
  <c r="R2176" i="34"/>
  <c r="V2176" i="34"/>
  <c r="AA2176" i="34"/>
  <c r="P2172" i="34"/>
  <c r="Q2172" i="34"/>
  <c r="R2172" i="34"/>
  <c r="V2172" i="34"/>
  <c r="AA2172" i="34"/>
  <c r="P2168" i="34"/>
  <c r="Q2168" i="34"/>
  <c r="R2168" i="34"/>
  <c r="V2168" i="34"/>
  <c r="AA2168" i="34"/>
  <c r="P2164" i="34"/>
  <c r="Q2164" i="34"/>
  <c r="R2164" i="34"/>
  <c r="V2164" i="34"/>
  <c r="AA2164" i="34"/>
  <c r="R2461" i="34"/>
  <c r="V2461" i="34"/>
  <c r="AA2461" i="34"/>
  <c r="P2461" i="34"/>
  <c r="Q2461" i="34"/>
  <c r="R2363" i="34"/>
  <c r="V2363" i="34"/>
  <c r="AA2363" i="34"/>
  <c r="P2363" i="34"/>
  <c r="Q2363" i="34"/>
  <c r="R2161" i="34"/>
  <c r="V2161" i="34"/>
  <c r="AA2161" i="34"/>
  <c r="P2161" i="34"/>
  <c r="Q2161" i="34"/>
  <c r="P2464" i="34"/>
  <c r="R2464" i="34"/>
  <c r="V2464" i="34"/>
  <c r="AA2464" i="34"/>
  <c r="Q2464" i="34"/>
  <c r="P2378" i="34"/>
  <c r="Q2378" i="34"/>
  <c r="R2378" i="34"/>
  <c r="V2378" i="34"/>
  <c r="AA2378" i="34"/>
  <c r="P2374" i="34"/>
  <c r="Q2374" i="34"/>
  <c r="R2374" i="34"/>
  <c r="V2374" i="34"/>
  <c r="AA2374" i="34"/>
  <c r="P2370" i="34"/>
  <c r="Q2370" i="34"/>
  <c r="R2370" i="34"/>
  <c r="V2370" i="34"/>
  <c r="AA2370" i="34"/>
  <c r="P2366" i="34"/>
  <c r="Q2366" i="34"/>
  <c r="R2366" i="34"/>
  <c r="V2366" i="34"/>
  <c r="AA2366" i="34"/>
  <c r="P2362" i="34"/>
  <c r="Q2362" i="34"/>
  <c r="R2362" i="34"/>
  <c r="V2362" i="34"/>
  <c r="AA2362" i="34"/>
  <c r="P2358" i="34"/>
  <c r="Q2358" i="34"/>
  <c r="R2358" i="34"/>
  <c r="V2358" i="34"/>
  <c r="AA2358" i="34"/>
  <c r="P2354" i="34"/>
  <c r="Q2354" i="34"/>
  <c r="R2354" i="34"/>
  <c r="V2354" i="34"/>
  <c r="AA2354" i="34"/>
  <c r="R2255" i="34"/>
  <c r="V2255" i="34"/>
  <c r="AA2255" i="34"/>
  <c r="P2255" i="34"/>
  <c r="Q2255" i="34"/>
  <c r="R2251" i="34"/>
  <c r="V2251" i="34"/>
  <c r="AA2251" i="34"/>
  <c r="P2251" i="34"/>
  <c r="Q2251" i="34"/>
  <c r="R2247" i="34"/>
  <c r="V2247" i="34"/>
  <c r="AA2247" i="34"/>
  <c r="P2247" i="34"/>
  <c r="Q2247" i="34"/>
  <c r="R2243" i="34"/>
  <c r="V2243" i="34"/>
  <c r="AA2243" i="34"/>
  <c r="P2243" i="34"/>
  <c r="Q2243" i="34"/>
  <c r="P2192" i="34"/>
  <c r="Q2192" i="34"/>
  <c r="R2192" i="34"/>
  <c r="V2192" i="34"/>
  <c r="AA2192" i="34"/>
  <c r="P2188" i="34"/>
  <c r="Q2188" i="34"/>
  <c r="R2188" i="34"/>
  <c r="V2188" i="34"/>
  <c r="AA2188" i="34"/>
  <c r="P2184" i="34"/>
  <c r="Q2184" i="34"/>
  <c r="R2184" i="34"/>
  <c r="V2184" i="34"/>
  <c r="AA2184" i="34"/>
  <c r="P2180" i="34"/>
  <c r="Q2180" i="34"/>
  <c r="R2180" i="34"/>
  <c r="V2180" i="34"/>
  <c r="AA2180" i="34"/>
  <c r="P2120" i="34"/>
  <c r="Q2120" i="34"/>
  <c r="R2120" i="34"/>
  <c r="V2120" i="34"/>
  <c r="AA2120" i="34"/>
  <c r="R2457" i="34"/>
  <c r="V2457" i="34"/>
  <c r="AA2457" i="34"/>
  <c r="P2457" i="34"/>
  <c r="Q2457" i="34"/>
  <c r="R2453" i="34"/>
  <c r="V2453" i="34"/>
  <c r="AA2453" i="34"/>
  <c r="P2453" i="34"/>
  <c r="Q2453" i="34"/>
  <c r="R2449" i="34"/>
  <c r="V2449" i="34"/>
  <c r="AA2449" i="34"/>
  <c r="P2449" i="34"/>
  <c r="Q2449" i="34"/>
  <c r="R2445" i="34"/>
  <c r="V2445" i="34"/>
  <c r="AA2445" i="34"/>
  <c r="P2445" i="34"/>
  <c r="Q2445" i="34"/>
  <c r="R2441" i="34"/>
  <c r="V2441" i="34"/>
  <c r="P2441" i="34"/>
  <c r="AA2441" i="34"/>
  <c r="Q2441" i="34"/>
  <c r="R2437" i="34"/>
  <c r="V2437" i="34"/>
  <c r="AA2437" i="34"/>
  <c r="P2437" i="34"/>
  <c r="Q2437" i="34"/>
  <c r="R2433" i="34"/>
  <c r="V2433" i="34"/>
  <c r="AA2433" i="34"/>
  <c r="P2433" i="34"/>
  <c r="Q2433" i="34"/>
  <c r="P2350" i="34"/>
  <c r="Q2350" i="34"/>
  <c r="R2350" i="34"/>
  <c r="V2350" i="34"/>
  <c r="AA2350" i="34"/>
  <c r="P2346" i="34"/>
  <c r="Q2346" i="34"/>
  <c r="R2346" i="34"/>
  <c r="V2346" i="34"/>
  <c r="AA2346" i="34"/>
  <c r="P2342" i="34"/>
  <c r="Q2342" i="34"/>
  <c r="R2342" i="34"/>
  <c r="V2342" i="34"/>
  <c r="AA2342" i="34"/>
  <c r="R2337" i="34"/>
  <c r="V2337" i="34"/>
  <c r="AA2337" i="34"/>
  <c r="P2337" i="34"/>
  <c r="Q2337" i="34"/>
  <c r="R2333" i="34"/>
  <c r="V2333" i="34"/>
  <c r="AA2333" i="34"/>
  <c r="P2333" i="34"/>
  <c r="Q2333" i="34"/>
  <c r="R2329" i="34"/>
  <c r="V2329" i="34"/>
  <c r="AA2329" i="34"/>
  <c r="P2329" i="34"/>
  <c r="Q2329" i="34"/>
  <c r="R2325" i="34"/>
  <c r="V2325" i="34"/>
  <c r="AA2325" i="34"/>
  <c r="P2325" i="34"/>
  <c r="Q2325" i="34"/>
  <c r="R2235" i="34"/>
  <c r="V2235" i="34"/>
  <c r="AA2235" i="34"/>
  <c r="P2235" i="34"/>
  <c r="Q2235" i="34"/>
  <c r="R2231" i="34"/>
  <c r="V2231" i="34"/>
  <c r="AA2231" i="34"/>
  <c r="P2231" i="34"/>
  <c r="Q2231" i="34"/>
  <c r="R2227" i="34"/>
  <c r="V2227" i="34"/>
  <c r="AA2227" i="34"/>
  <c r="P2227" i="34"/>
  <c r="Q2227" i="34"/>
  <c r="R2223" i="34"/>
  <c r="V2223" i="34"/>
  <c r="AA2223" i="34"/>
  <c r="P2223" i="34"/>
  <c r="Q2223" i="34"/>
  <c r="R2175" i="34"/>
  <c r="V2175" i="34"/>
  <c r="AA2175" i="34"/>
  <c r="P2175" i="34"/>
  <c r="Q2175" i="34"/>
  <c r="R2171" i="34"/>
  <c r="V2171" i="34"/>
  <c r="AA2171" i="34"/>
  <c r="P2171" i="34"/>
  <c r="Q2171" i="34"/>
  <c r="R2167" i="34"/>
  <c r="V2167" i="34"/>
  <c r="AA2167" i="34"/>
  <c r="P2167" i="34"/>
  <c r="Q2167" i="34"/>
  <c r="R2163" i="34"/>
  <c r="V2163" i="34"/>
  <c r="AA2163" i="34"/>
  <c r="P2163" i="34"/>
  <c r="Q2163" i="34"/>
  <c r="A2467" i="34"/>
  <c r="A2463" i="34"/>
  <c r="A2377" i="34"/>
  <c r="A2373" i="34"/>
  <c r="A2369" i="34"/>
  <c r="A2365" i="34"/>
  <c r="A2361" i="34"/>
  <c r="A2357" i="34"/>
  <c r="A2353" i="34"/>
  <c r="A2254" i="34"/>
  <c r="A2250" i="34"/>
  <c r="A2246" i="34"/>
  <c r="A2242" i="34"/>
  <c r="A2192" i="34"/>
  <c r="A2188" i="34"/>
  <c r="A2184" i="34"/>
  <c r="A2180" i="34"/>
  <c r="A2120" i="34"/>
  <c r="A2457" i="34"/>
  <c r="A2453" i="34"/>
  <c r="A2449" i="34"/>
  <c r="A2445" i="34"/>
  <c r="A2441" i="34"/>
  <c r="A2437" i="34"/>
  <c r="A2433" i="34"/>
  <c r="A2350" i="34"/>
  <c r="A2346" i="34"/>
  <c r="A2342" i="34"/>
  <c r="A2338" i="34"/>
  <c r="A2334" i="34"/>
  <c r="A2330" i="34"/>
  <c r="A2326" i="34"/>
  <c r="A2236" i="34"/>
  <c r="A2232" i="34"/>
  <c r="A2228" i="34"/>
  <c r="A2224" i="34"/>
  <c r="A2176" i="34"/>
  <c r="A2172" i="34"/>
  <c r="A2168" i="34"/>
  <c r="A2164" i="34"/>
  <c r="A2241" i="34"/>
  <c r="A2466" i="34"/>
  <c r="A2462" i="34"/>
  <c r="A2376" i="34"/>
  <c r="A2372" i="34"/>
  <c r="A2368" i="34"/>
  <c r="A2364" i="34"/>
  <c r="A2360" i="34"/>
  <c r="A2356" i="34"/>
  <c r="A2352" i="34"/>
  <c r="A2253" i="34"/>
  <c r="A2249" i="34"/>
  <c r="A2245" i="34"/>
  <c r="A2191" i="34"/>
  <c r="A2187" i="34"/>
  <c r="A2183" i="34"/>
  <c r="A2179" i="34"/>
  <c r="A2460" i="34"/>
  <c r="A2456" i="34"/>
  <c r="A2452" i="34"/>
  <c r="A2448" i="34"/>
  <c r="A2444" i="34"/>
  <c r="A2440" i="34"/>
  <c r="A2436" i="34"/>
  <c r="A2432" i="34"/>
  <c r="A2349" i="34"/>
  <c r="A2345" i="34"/>
  <c r="A2341" i="34"/>
  <c r="A2337" i="34"/>
  <c r="A2333" i="34"/>
  <c r="A2329" i="34"/>
  <c r="A2325" i="34"/>
  <c r="A2235" i="34"/>
  <c r="A2231" i="34"/>
  <c r="A2227" i="34"/>
  <c r="A2223" i="34"/>
  <c r="A2175" i="34"/>
  <c r="A2171" i="34"/>
  <c r="A2167" i="34"/>
  <c r="A2163" i="34"/>
  <c r="A2340" i="34"/>
  <c r="A2465" i="34"/>
  <c r="A2461" i="34"/>
  <c r="A2375" i="34"/>
  <c r="A2371" i="34"/>
  <c r="A2367" i="34"/>
  <c r="A2363" i="34"/>
  <c r="A2359" i="34"/>
  <c r="A2355" i="34"/>
  <c r="A2256" i="34"/>
  <c r="A2252" i="34"/>
  <c r="A2248" i="34"/>
  <c r="A2244" i="34"/>
  <c r="A2240" i="34"/>
  <c r="A2190" i="34"/>
  <c r="A2186" i="34"/>
  <c r="A2182" i="34"/>
  <c r="A2178" i="34"/>
  <c r="A2459" i="34"/>
  <c r="A2455" i="34"/>
  <c r="A2451" i="34"/>
  <c r="A2447" i="34"/>
  <c r="A2443" i="34"/>
  <c r="A2439" i="34"/>
  <c r="A2435" i="34"/>
  <c r="A2431" i="34"/>
  <c r="A2348" i="34"/>
  <c r="A2344" i="34"/>
  <c r="A2336" i="34"/>
  <c r="A2332" i="34"/>
  <c r="A2328" i="34"/>
  <c r="A2238" i="34"/>
  <c r="A2234" i="34"/>
  <c r="A2230" i="34"/>
  <c r="A2226" i="34"/>
  <c r="A2222" i="34"/>
  <c r="A2174" i="34"/>
  <c r="A2170" i="34"/>
  <c r="A2166" i="34"/>
  <c r="A2162" i="34"/>
  <c r="A2161" i="34"/>
  <c r="A2464" i="34"/>
  <c r="A2378" i="34"/>
  <c r="A2374" i="34"/>
  <c r="A2370" i="34"/>
  <c r="A2366" i="34"/>
  <c r="A2362" i="34"/>
  <c r="A2358" i="34"/>
  <c r="A2354" i="34"/>
  <c r="A2255" i="34"/>
  <c r="A2251" i="34"/>
  <c r="A2247" i="34"/>
  <c r="A2243" i="34"/>
  <c r="A2239" i="34"/>
  <c r="A2189" i="34"/>
  <c r="A2185" i="34"/>
  <c r="A2181" i="34"/>
  <c r="A2177" i="34"/>
  <c r="A2458" i="34"/>
  <c r="A2454" i="34"/>
  <c r="A2450" i="34"/>
  <c r="A2446" i="34"/>
  <c r="A2442" i="34"/>
  <c r="A2438" i="34"/>
  <c r="A2434" i="34"/>
  <c r="A2351" i="34"/>
  <c r="A2347" i="34"/>
  <c r="A2343" i="34"/>
  <c r="A2339" i="34"/>
  <c r="A2335" i="34"/>
  <c r="A2331" i="34"/>
  <c r="A2327" i="34"/>
  <c r="A2237" i="34"/>
  <c r="A2233" i="34"/>
  <c r="A2229" i="34"/>
  <c r="A2225" i="34"/>
  <c r="A2221" i="34"/>
  <c r="A2173" i="34"/>
  <c r="A2169" i="34"/>
  <c r="A2165" i="34"/>
  <c r="B2067" i="34" l="1"/>
  <c r="B2066" i="34"/>
  <c r="B2065" i="34"/>
  <c r="B2044" i="34"/>
  <c r="B2069" i="34"/>
  <c r="B2068" i="34"/>
  <c r="B2070" i="34"/>
  <c r="B2039" i="34"/>
  <c r="B2038" i="34"/>
  <c r="B2037" i="34"/>
  <c r="B2036" i="34"/>
  <c r="B2041" i="34"/>
  <c r="B2040" i="34"/>
  <c r="B2042" i="34"/>
  <c r="B2002" i="34"/>
  <c r="B2001" i="34"/>
  <c r="B2000" i="34"/>
  <c r="B2034" i="34"/>
  <c r="B2003" i="34"/>
  <c r="B2102" i="34"/>
  <c r="R2003" i="34" l="1"/>
  <c r="V2003" i="34"/>
  <c r="AA2003" i="34"/>
  <c r="P2003" i="34"/>
  <c r="Q2003" i="34"/>
  <c r="P2036" i="34"/>
  <c r="Q2036" i="34"/>
  <c r="R2036" i="34"/>
  <c r="V2036" i="34"/>
  <c r="AA2036" i="34"/>
  <c r="R2065" i="34"/>
  <c r="V2065" i="34"/>
  <c r="AA2065" i="34"/>
  <c r="P2065" i="34"/>
  <c r="Q2065" i="34"/>
  <c r="P2042" i="34"/>
  <c r="Q2042" i="34"/>
  <c r="R2042" i="34"/>
  <c r="V2042" i="34"/>
  <c r="AA2042" i="34"/>
  <c r="P2068" i="34"/>
  <c r="Q2068" i="34"/>
  <c r="R2068" i="34"/>
  <c r="V2068" i="34"/>
  <c r="AA2068" i="34"/>
  <c r="P2102" i="34"/>
  <c r="Q2102" i="34"/>
  <c r="R2102" i="34"/>
  <c r="V2102" i="34"/>
  <c r="AA2102" i="34"/>
  <c r="R2001" i="34"/>
  <c r="V2001" i="34"/>
  <c r="AA2001" i="34"/>
  <c r="P2001" i="34"/>
  <c r="Q2001" i="34"/>
  <c r="R2041" i="34"/>
  <c r="V2041" i="34"/>
  <c r="AA2041" i="34"/>
  <c r="P2041" i="34"/>
  <c r="Q2041" i="34"/>
  <c r="R2039" i="34"/>
  <c r="V2039" i="34"/>
  <c r="AA2039" i="34"/>
  <c r="P2039" i="34"/>
  <c r="Q2039" i="34"/>
  <c r="P2044" i="34"/>
  <c r="Q2044" i="34"/>
  <c r="R2044" i="34"/>
  <c r="V2044" i="34"/>
  <c r="AA2044" i="34"/>
  <c r="P2002" i="34"/>
  <c r="Q2002" i="34"/>
  <c r="R2002" i="34"/>
  <c r="V2002" i="34"/>
  <c r="AA2002" i="34"/>
  <c r="P2070" i="34"/>
  <c r="Q2070" i="34"/>
  <c r="R2070" i="34"/>
  <c r="V2070" i="34"/>
  <c r="AA2070" i="34"/>
  <c r="P2034" i="34"/>
  <c r="Q2034" i="34"/>
  <c r="R2034" i="34"/>
  <c r="V2034" i="34"/>
  <c r="AA2034" i="34"/>
  <c r="R2037" i="34"/>
  <c r="V2037" i="34"/>
  <c r="AA2037" i="34"/>
  <c r="P2037" i="34"/>
  <c r="Q2037" i="34"/>
  <c r="P2066" i="34"/>
  <c r="Q2066" i="34"/>
  <c r="R2066" i="34"/>
  <c r="V2066" i="34"/>
  <c r="AA2066" i="34"/>
  <c r="P2000" i="34"/>
  <c r="Q2000" i="34"/>
  <c r="R2000" i="34"/>
  <c r="V2000" i="34"/>
  <c r="AA2000" i="34"/>
  <c r="P2040" i="34"/>
  <c r="Q2040" i="34"/>
  <c r="R2040" i="34"/>
  <c r="V2040" i="34"/>
  <c r="AA2040" i="34"/>
  <c r="P2038" i="34"/>
  <c r="Q2038" i="34"/>
  <c r="R2038" i="34"/>
  <c r="V2038" i="34"/>
  <c r="AA2038" i="34"/>
  <c r="R2069" i="34"/>
  <c r="V2069" i="34"/>
  <c r="AA2069" i="34"/>
  <c r="P2069" i="34"/>
  <c r="Q2069" i="34"/>
  <c r="R2067" i="34"/>
  <c r="V2067" i="34"/>
  <c r="AA2067" i="34"/>
  <c r="P2067" i="34"/>
  <c r="Q2067" i="34"/>
  <c r="A2002" i="34"/>
  <c r="A2034" i="34"/>
  <c r="A2042" i="34"/>
  <c r="A2066" i="34"/>
  <c r="A2000" i="34"/>
  <c r="A2040" i="34"/>
  <c r="A2038" i="34"/>
  <c r="A2067" i="34"/>
  <c r="A2001" i="34"/>
  <c r="A2041" i="34"/>
  <c r="A2039" i="34"/>
  <c r="A2044" i="34"/>
  <c r="A2003" i="34"/>
  <c r="A2036" i="34"/>
  <c r="A2070" i="34"/>
  <c r="A2065" i="34"/>
  <c r="A2068" i="34"/>
  <c r="A2102" i="34"/>
  <c r="A2037" i="34"/>
  <c r="A2069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26" i="34"/>
  <c r="B1825" i="34"/>
  <c r="B1824" i="34"/>
  <c r="B1823" i="34"/>
  <c r="B1822" i="34"/>
  <c r="B1821" i="34"/>
  <c r="B1820" i="34"/>
  <c r="B1819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432" i="34"/>
  <c r="B1431" i="34"/>
  <c r="B1419" i="34"/>
  <c r="B1418" i="34"/>
  <c r="B1417" i="34"/>
  <c r="B1416" i="34"/>
  <c r="B1415" i="34"/>
  <c r="B1414" i="34"/>
  <c r="B1413" i="34"/>
  <c r="B1412" i="34"/>
  <c r="B1391" i="34"/>
  <c r="B1390" i="34"/>
  <c r="B1389" i="34"/>
  <c r="B1388" i="34"/>
  <c r="B1387" i="34"/>
  <c r="B1386" i="34"/>
  <c r="B1385" i="34"/>
  <c r="B1382" i="34"/>
  <c r="B1357" i="34"/>
  <c r="B1356" i="34"/>
  <c r="B1355" i="34"/>
  <c r="B1354" i="34"/>
  <c r="B1353" i="34"/>
  <c r="B1352" i="34"/>
  <c r="B1351" i="34"/>
  <c r="B1350" i="34"/>
  <c r="B1349" i="34"/>
  <c r="B1346" i="34"/>
  <c r="B1345" i="34"/>
  <c r="B1344" i="34"/>
  <c r="B1037" i="34"/>
  <c r="B1036" i="34"/>
  <c r="B1029" i="34"/>
  <c r="B1028" i="34"/>
  <c r="B1115" i="34"/>
  <c r="B1114" i="34"/>
  <c r="B1113" i="34"/>
  <c r="B1112" i="34"/>
  <c r="B1111" i="34"/>
  <c r="B1110" i="34"/>
  <c r="B1109" i="34"/>
  <c r="B1108" i="34"/>
  <c r="B1042" i="34"/>
  <c r="B1041" i="34"/>
  <c r="B1040" i="34"/>
  <c r="B1039" i="34"/>
  <c r="B1038" i="34"/>
  <c r="B1142" i="34"/>
  <c r="B1308" i="34"/>
  <c r="B1307" i="34"/>
  <c r="B1313" i="34"/>
  <c r="B1311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21" i="34"/>
  <c r="B1884" i="34"/>
  <c r="B2005" i="34"/>
  <c r="B2004" i="34"/>
  <c r="B1930" i="34"/>
  <c r="B1929" i="34"/>
  <c r="B1928" i="34"/>
  <c r="B1927" i="34"/>
  <c r="B1926" i="34"/>
  <c r="B1925" i="34"/>
  <c r="B1924" i="34"/>
  <c r="B1923" i="34"/>
  <c r="B1953" i="34"/>
  <c r="B1952" i="34"/>
  <c r="B1951" i="34"/>
  <c r="B1950" i="34"/>
  <c r="B1949" i="34"/>
  <c r="B1948" i="34"/>
  <c r="B1947" i="34"/>
  <c r="B1946" i="34"/>
  <c r="B1945" i="34"/>
  <c r="B1944" i="34"/>
  <c r="B1920" i="34"/>
  <c r="B1919" i="34"/>
  <c r="B1918" i="34"/>
  <c r="B1917" i="34"/>
  <c r="B1916" i="34"/>
  <c r="B1915" i="34"/>
  <c r="B1914" i="34"/>
  <c r="B1913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912" i="34"/>
  <c r="B1911" i="34"/>
  <c r="B1883" i="34"/>
  <c r="B1882" i="34"/>
  <c r="B1894" i="34"/>
  <c r="B1893" i="34"/>
  <c r="B1892" i="34"/>
  <c r="B1878" i="34"/>
  <c r="B1877" i="34"/>
  <c r="B2092" i="34"/>
  <c r="B2091" i="34"/>
  <c r="B2090" i="34"/>
  <c r="B2073" i="34"/>
  <c r="B2072" i="34"/>
  <c r="B2071" i="34"/>
  <c r="B2043" i="34"/>
  <c r="B2035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2106" i="34"/>
  <c r="B2105" i="34"/>
  <c r="B2104" i="34"/>
  <c r="B2100" i="34"/>
  <c r="B2099" i="34"/>
  <c r="B2098" i="34"/>
  <c r="B2097" i="34"/>
  <c r="B1988" i="34"/>
  <c r="B1987" i="34"/>
  <c r="B1986" i="34"/>
  <c r="B1985" i="34"/>
  <c r="B1984" i="34"/>
  <c r="B1982" i="34"/>
  <c r="B1980" i="34"/>
  <c r="B1979" i="34"/>
  <c r="B1978" i="34"/>
  <c r="B1910" i="34"/>
  <c r="B1890" i="34"/>
  <c r="B1889" i="34"/>
  <c r="B1888" i="34"/>
  <c r="B1887" i="34"/>
  <c r="B1886" i="34"/>
  <c r="B1881" i="34"/>
  <c r="B1880" i="34"/>
  <c r="B1879" i="34"/>
  <c r="B2103" i="34"/>
  <c r="B2101" i="34"/>
  <c r="B1874" i="34"/>
  <c r="B1873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287" i="34"/>
  <c r="B2259" i="34"/>
  <c r="B2258" i="34"/>
  <c r="B2257" i="34"/>
  <c r="B2143" i="34"/>
  <c r="B2142" i="34"/>
  <c r="B2123" i="34"/>
  <c r="B2122" i="34"/>
  <c r="B2108" i="34"/>
  <c r="B2096" i="34"/>
  <c r="B2095" i="34"/>
  <c r="B2089" i="34"/>
  <c r="B2088" i="34"/>
  <c r="B2087" i="34"/>
  <c r="B2086" i="34"/>
  <c r="B2085" i="34"/>
  <c r="B2084" i="34"/>
  <c r="B2083" i="34"/>
  <c r="B2082" i="34"/>
  <c r="B2064" i="34"/>
  <c r="B2063" i="34"/>
  <c r="B2062" i="34"/>
  <c r="B2061" i="34"/>
  <c r="B2060" i="34"/>
  <c r="B2059" i="34"/>
  <c r="B2058" i="34"/>
  <c r="B2057" i="34"/>
  <c r="B2056" i="34"/>
  <c r="B2055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22" i="34"/>
  <c r="B1885" i="34"/>
  <c r="B2094" i="34"/>
  <c r="B2093" i="34"/>
  <c r="B2081" i="34"/>
  <c r="B2080" i="34"/>
  <c r="B2079" i="34"/>
  <c r="B2078" i="34"/>
  <c r="B2077" i="34"/>
  <c r="B2076" i="34"/>
  <c r="B2075" i="34"/>
  <c r="B2074" i="34"/>
  <c r="B2054" i="34"/>
  <c r="B2053" i="34"/>
  <c r="B2052" i="34"/>
  <c r="B2051" i="34"/>
  <c r="B2050" i="34"/>
  <c r="B2049" i="34"/>
  <c r="B2048" i="34"/>
  <c r="B2047" i="34"/>
  <c r="B2046" i="34"/>
  <c r="B2045" i="34"/>
  <c r="B2019" i="34"/>
  <c r="B2018" i="34"/>
  <c r="B201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01" i="34"/>
  <c r="B2200" i="34"/>
  <c r="B2199" i="34"/>
  <c r="B2198" i="34"/>
  <c r="B2197" i="34"/>
  <c r="B2196" i="34"/>
  <c r="B2195" i="34"/>
  <c r="B2194" i="34"/>
  <c r="B2193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19" i="34"/>
  <c r="B2118" i="34"/>
  <c r="B2117" i="34"/>
  <c r="B2116" i="34"/>
  <c r="B2115" i="34"/>
  <c r="B2114" i="34"/>
  <c r="B2113" i="34"/>
  <c r="B2110" i="34"/>
  <c r="B2109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20" i="34"/>
  <c r="B2219" i="34"/>
  <c r="B2218" i="34"/>
  <c r="B2217" i="34"/>
  <c r="B2216" i="34"/>
  <c r="B2215" i="34"/>
  <c r="B2214" i="34"/>
  <c r="R2219" i="34" l="1"/>
  <c r="V2219" i="34"/>
  <c r="AA2219" i="34"/>
  <c r="P2219" i="34"/>
  <c r="Q2219" i="34"/>
  <c r="P2302" i="34"/>
  <c r="Q2302" i="34"/>
  <c r="R2302" i="34"/>
  <c r="V2302" i="34"/>
  <c r="AA2302" i="34"/>
  <c r="P2310" i="34"/>
  <c r="Q2310" i="34"/>
  <c r="R2310" i="34"/>
  <c r="V2310" i="34"/>
  <c r="AA2310" i="34"/>
  <c r="P2406" i="34"/>
  <c r="Q2406" i="34"/>
  <c r="R2406" i="34"/>
  <c r="V2406" i="34"/>
  <c r="AA2406" i="34"/>
  <c r="P2418" i="34"/>
  <c r="Q2418" i="34"/>
  <c r="R2418" i="34"/>
  <c r="V2418" i="34"/>
  <c r="AA2418" i="34"/>
  <c r="P2114" i="34"/>
  <c r="Q2114" i="34"/>
  <c r="R2114" i="34"/>
  <c r="V2114" i="34"/>
  <c r="AA2114" i="34"/>
  <c r="P2130" i="34"/>
  <c r="Q2130" i="34"/>
  <c r="R2130" i="34"/>
  <c r="V2130" i="34"/>
  <c r="AA2130" i="34"/>
  <c r="R2193" i="34"/>
  <c r="V2193" i="34"/>
  <c r="AA2193" i="34"/>
  <c r="P2193" i="34"/>
  <c r="Q2193" i="34"/>
  <c r="R2267" i="34"/>
  <c r="V2267" i="34"/>
  <c r="AA2267" i="34"/>
  <c r="P2267" i="34"/>
  <c r="Q2267" i="34"/>
  <c r="R2017" i="34"/>
  <c r="V2017" i="34"/>
  <c r="AA2017" i="34"/>
  <c r="P2017" i="34"/>
  <c r="Q2017" i="34"/>
  <c r="R2077" i="34"/>
  <c r="V2077" i="34"/>
  <c r="AA2077" i="34"/>
  <c r="P2077" i="34"/>
  <c r="Q2077" i="34"/>
  <c r="R1973" i="34"/>
  <c r="V1973" i="34"/>
  <c r="AA1973" i="34"/>
  <c r="P1973" i="34"/>
  <c r="Q1973" i="34"/>
  <c r="P2060" i="34"/>
  <c r="Q2060" i="34"/>
  <c r="R2060" i="34"/>
  <c r="V2060" i="34"/>
  <c r="AA2060" i="34"/>
  <c r="P2064" i="34"/>
  <c r="Q2064" i="34"/>
  <c r="R2064" i="34"/>
  <c r="V2064" i="34"/>
  <c r="AA2064" i="34"/>
  <c r="P2148" i="34"/>
  <c r="Q2148" i="34"/>
  <c r="R2148" i="34"/>
  <c r="V2148" i="34"/>
  <c r="AA2148" i="34"/>
  <c r="P2160" i="34"/>
  <c r="Q2160" i="34"/>
  <c r="R2160" i="34"/>
  <c r="V2160" i="34"/>
  <c r="AA2160" i="34"/>
  <c r="R2103" i="34"/>
  <c r="V2103" i="34"/>
  <c r="AA2103" i="34"/>
  <c r="P2103" i="34"/>
  <c r="Q2103" i="34"/>
  <c r="P1986" i="34"/>
  <c r="Q1986" i="34"/>
  <c r="R1986" i="34"/>
  <c r="V1986" i="34"/>
  <c r="AA1986" i="34"/>
  <c r="R1941" i="34"/>
  <c r="V1941" i="34"/>
  <c r="AA1941" i="34"/>
  <c r="P1941" i="34"/>
  <c r="Q1941" i="34"/>
  <c r="R2091" i="34"/>
  <c r="V2091" i="34"/>
  <c r="AA2091" i="34"/>
  <c r="P2091" i="34"/>
  <c r="Q2091" i="34"/>
  <c r="P1900" i="34"/>
  <c r="Q1900" i="34"/>
  <c r="R1900" i="34"/>
  <c r="V1900" i="34"/>
  <c r="AA1900" i="34"/>
  <c r="P1958" i="34"/>
  <c r="Q1958" i="34"/>
  <c r="R1958" i="34"/>
  <c r="V1958" i="34"/>
  <c r="AA1958" i="34"/>
  <c r="P2214" i="34"/>
  <c r="Q2214" i="34"/>
  <c r="R2214" i="34"/>
  <c r="V2214" i="34"/>
  <c r="AA2214" i="34"/>
  <c r="P2218" i="34"/>
  <c r="Q2218" i="34"/>
  <c r="R2218" i="34"/>
  <c r="V2218" i="34"/>
  <c r="AA2218" i="34"/>
  <c r="R2289" i="34"/>
  <c r="V2289" i="34"/>
  <c r="AA2289" i="34"/>
  <c r="P2289" i="34"/>
  <c r="Q2289" i="34"/>
  <c r="R2293" i="34"/>
  <c r="V2293" i="34"/>
  <c r="AA2293" i="34"/>
  <c r="P2293" i="34"/>
  <c r="Q2293" i="34"/>
  <c r="R2297" i="34"/>
  <c r="V2297" i="34"/>
  <c r="AA2297" i="34"/>
  <c r="P2297" i="34"/>
  <c r="Q2297" i="34"/>
  <c r="R2301" i="34"/>
  <c r="V2301" i="34"/>
  <c r="AA2301" i="34"/>
  <c r="P2301" i="34"/>
  <c r="Q2301" i="34"/>
  <c r="R2305" i="34"/>
  <c r="V2305" i="34"/>
  <c r="AA2305" i="34"/>
  <c r="P2305" i="34"/>
  <c r="Q2305" i="34"/>
  <c r="R2309" i="34"/>
  <c r="V2309" i="34"/>
  <c r="AA2309" i="34"/>
  <c r="P2309" i="34"/>
  <c r="Q2309" i="34"/>
  <c r="R2313" i="34"/>
  <c r="V2313" i="34"/>
  <c r="AA2313" i="34"/>
  <c r="P2313" i="34"/>
  <c r="Q2313" i="34"/>
  <c r="R2401" i="34"/>
  <c r="V2401" i="34"/>
  <c r="AA2401" i="34"/>
  <c r="P2401" i="34"/>
  <c r="Q2401" i="34"/>
  <c r="R2405" i="34"/>
  <c r="V2405" i="34"/>
  <c r="AA2405" i="34"/>
  <c r="P2405" i="34"/>
  <c r="Q2405" i="34"/>
  <c r="R2409" i="34"/>
  <c r="V2409" i="34"/>
  <c r="AA2409" i="34"/>
  <c r="P2409" i="34"/>
  <c r="Q2409" i="34"/>
  <c r="R2413" i="34"/>
  <c r="V2413" i="34"/>
  <c r="AA2413" i="34"/>
  <c r="P2413" i="34"/>
  <c r="Q2413" i="34"/>
  <c r="R2417" i="34"/>
  <c r="V2417" i="34"/>
  <c r="AA2417" i="34"/>
  <c r="P2417" i="34"/>
  <c r="Q2417" i="34"/>
  <c r="R2421" i="34"/>
  <c r="V2421" i="34"/>
  <c r="AA2421" i="34"/>
  <c r="P2421" i="34"/>
  <c r="Q2421" i="34"/>
  <c r="R2425" i="34"/>
  <c r="V2425" i="34"/>
  <c r="AA2425" i="34"/>
  <c r="P2425" i="34"/>
  <c r="Q2425" i="34"/>
  <c r="R2429" i="34"/>
  <c r="V2429" i="34"/>
  <c r="AA2429" i="34"/>
  <c r="P2429" i="34"/>
  <c r="Q2429" i="34"/>
  <c r="R2113" i="34"/>
  <c r="V2113" i="34"/>
  <c r="AA2113" i="34"/>
  <c r="P2113" i="34"/>
  <c r="Q2113" i="34"/>
  <c r="R2117" i="34"/>
  <c r="V2117" i="34"/>
  <c r="AA2117" i="34"/>
  <c r="P2117" i="34"/>
  <c r="Q2117" i="34"/>
  <c r="R2125" i="34"/>
  <c r="V2125" i="34"/>
  <c r="AA2125" i="34"/>
  <c r="P2125" i="34"/>
  <c r="Q2125" i="34"/>
  <c r="R2129" i="34"/>
  <c r="V2129" i="34"/>
  <c r="AA2129" i="34"/>
  <c r="P2129" i="34"/>
  <c r="Q2129" i="34"/>
  <c r="R2133" i="34"/>
  <c r="V2133" i="34"/>
  <c r="AA2133" i="34"/>
  <c r="P2133" i="34"/>
  <c r="Q2133" i="34"/>
  <c r="R2137" i="34"/>
  <c r="V2137" i="34"/>
  <c r="AA2137" i="34"/>
  <c r="P2137" i="34"/>
  <c r="Q2137" i="34"/>
  <c r="R2141" i="34"/>
  <c r="V2141" i="34"/>
  <c r="AA2141" i="34"/>
  <c r="P2141" i="34"/>
  <c r="Q2141" i="34"/>
  <c r="P2196" i="34"/>
  <c r="Q2196" i="34"/>
  <c r="R2196" i="34"/>
  <c r="V2196" i="34"/>
  <c r="AA2196" i="34"/>
  <c r="P2200" i="34"/>
  <c r="Q2200" i="34"/>
  <c r="R2200" i="34"/>
  <c r="V2200" i="34"/>
  <c r="AA2200" i="34"/>
  <c r="P2262" i="34"/>
  <c r="Q2262" i="34"/>
  <c r="R2262" i="34"/>
  <c r="V2262" i="34"/>
  <c r="AA2262" i="34"/>
  <c r="P2266" i="34"/>
  <c r="Q2266" i="34"/>
  <c r="R2266" i="34"/>
  <c r="V2266" i="34"/>
  <c r="AA2266" i="34"/>
  <c r="P2270" i="34"/>
  <c r="Q2270" i="34"/>
  <c r="R2270" i="34"/>
  <c r="V2270" i="34"/>
  <c r="AA2270" i="34"/>
  <c r="P2274" i="34"/>
  <c r="Q2274" i="34"/>
  <c r="R2274" i="34"/>
  <c r="V2274" i="34"/>
  <c r="AA2274" i="34"/>
  <c r="P2278" i="34"/>
  <c r="Q2278" i="34"/>
  <c r="R2278" i="34"/>
  <c r="V2278" i="34"/>
  <c r="AA2278" i="34"/>
  <c r="P2282" i="34"/>
  <c r="Q2282" i="34"/>
  <c r="R2282" i="34"/>
  <c r="V2282" i="34"/>
  <c r="AA2282" i="34"/>
  <c r="P2286" i="34"/>
  <c r="Q2286" i="34"/>
  <c r="R2286" i="34"/>
  <c r="V2286" i="34"/>
  <c r="AA2286" i="34"/>
  <c r="R2045" i="34"/>
  <c r="V2045" i="34"/>
  <c r="AA2045" i="34"/>
  <c r="P2045" i="34"/>
  <c r="Q2045" i="34"/>
  <c r="R2049" i="34"/>
  <c r="V2049" i="34"/>
  <c r="AA2049" i="34"/>
  <c r="P2049" i="34"/>
  <c r="Q2049" i="34"/>
  <c r="R2053" i="34"/>
  <c r="V2053" i="34"/>
  <c r="AA2053" i="34"/>
  <c r="P2053" i="34"/>
  <c r="Q2053" i="34"/>
  <c r="P2076" i="34"/>
  <c r="Q2076" i="34"/>
  <c r="R2076" i="34"/>
  <c r="V2076" i="34"/>
  <c r="AA2076" i="34"/>
  <c r="P2080" i="34"/>
  <c r="Q2080" i="34"/>
  <c r="R2080" i="34"/>
  <c r="V2080" i="34"/>
  <c r="AA2080" i="34"/>
  <c r="R1885" i="34"/>
  <c r="V1885" i="34"/>
  <c r="P1885" i="34"/>
  <c r="AA1885" i="34"/>
  <c r="Q1885" i="34"/>
  <c r="P1968" i="34"/>
  <c r="Q1968" i="34"/>
  <c r="R1968" i="34"/>
  <c r="V1968" i="34"/>
  <c r="AA1968" i="34"/>
  <c r="P1972" i="34"/>
  <c r="Q1972" i="34"/>
  <c r="R1972" i="34"/>
  <c r="V1972" i="34"/>
  <c r="AA1972" i="34"/>
  <c r="P1976" i="34"/>
  <c r="Q1976" i="34"/>
  <c r="R1976" i="34"/>
  <c r="V1976" i="34"/>
  <c r="AA1976" i="34"/>
  <c r="P2022" i="34"/>
  <c r="Q2022" i="34"/>
  <c r="R2022" i="34"/>
  <c r="V2022" i="34"/>
  <c r="AA2022" i="34"/>
  <c r="P2026" i="34"/>
  <c r="Q2026" i="34"/>
  <c r="R2026" i="34"/>
  <c r="V2026" i="34"/>
  <c r="AA2026" i="34"/>
  <c r="P2030" i="34"/>
  <c r="Q2030" i="34"/>
  <c r="R2030" i="34"/>
  <c r="V2030" i="34"/>
  <c r="AA2030" i="34"/>
  <c r="R2055" i="34"/>
  <c r="V2055" i="34"/>
  <c r="AA2055" i="34"/>
  <c r="P2055" i="34"/>
  <c r="Q2055" i="34"/>
  <c r="R2059" i="34"/>
  <c r="V2059" i="34"/>
  <c r="AA2059" i="34"/>
  <c r="P2059" i="34"/>
  <c r="Q2059" i="34"/>
  <c r="R2063" i="34"/>
  <c r="V2063" i="34"/>
  <c r="AA2063" i="34"/>
  <c r="P2063" i="34"/>
  <c r="Q2063" i="34"/>
  <c r="P2084" i="34"/>
  <c r="Q2084" i="34"/>
  <c r="R2084" i="34"/>
  <c r="V2084" i="34"/>
  <c r="AA2084" i="34"/>
  <c r="P2088" i="34"/>
  <c r="Q2088" i="34"/>
  <c r="R2088" i="34"/>
  <c r="V2088" i="34"/>
  <c r="AA2088" i="34"/>
  <c r="P2108" i="34"/>
  <c r="Q2108" i="34"/>
  <c r="R2108" i="34"/>
  <c r="V2108" i="34"/>
  <c r="AA2108" i="34"/>
  <c r="R2143" i="34"/>
  <c r="V2143" i="34"/>
  <c r="AA2143" i="34"/>
  <c r="P2143" i="34"/>
  <c r="Q2143" i="34"/>
  <c r="R2287" i="34"/>
  <c r="V2287" i="34"/>
  <c r="AA2287" i="34"/>
  <c r="P2287" i="34"/>
  <c r="Q2287" i="34"/>
  <c r="R2147" i="34"/>
  <c r="V2147" i="34"/>
  <c r="AA2147" i="34"/>
  <c r="P2147" i="34"/>
  <c r="Q2147" i="34"/>
  <c r="R2151" i="34"/>
  <c r="V2151" i="34"/>
  <c r="AA2151" i="34"/>
  <c r="P2151" i="34"/>
  <c r="Q2151" i="34"/>
  <c r="R2155" i="34"/>
  <c r="V2155" i="34"/>
  <c r="AA2155" i="34"/>
  <c r="P2155" i="34"/>
  <c r="Q2155" i="34"/>
  <c r="R2159" i="34"/>
  <c r="V2159" i="34"/>
  <c r="AA2159" i="34"/>
  <c r="P2159" i="34"/>
  <c r="Q2159" i="34"/>
  <c r="P2204" i="34"/>
  <c r="Q2204" i="34"/>
  <c r="R2204" i="34"/>
  <c r="V2204" i="34"/>
  <c r="AA2204" i="34"/>
  <c r="P2208" i="34"/>
  <c r="Q2208" i="34"/>
  <c r="R2208" i="34"/>
  <c r="V2208" i="34"/>
  <c r="AA2208" i="34"/>
  <c r="P2212" i="34"/>
  <c r="Q2212" i="34"/>
  <c r="R2212" i="34"/>
  <c r="V2212" i="34"/>
  <c r="AA2212" i="34"/>
  <c r="R2101" i="34"/>
  <c r="V2101" i="34"/>
  <c r="AA2101" i="34"/>
  <c r="P2101" i="34"/>
  <c r="Q2101" i="34"/>
  <c r="R1881" i="34"/>
  <c r="V1881" i="34"/>
  <c r="P1881" i="34"/>
  <c r="AA1881" i="34"/>
  <c r="Q1881" i="34"/>
  <c r="P1889" i="34"/>
  <c r="Q1889" i="34"/>
  <c r="R1889" i="34"/>
  <c r="V1889" i="34"/>
  <c r="AA1889" i="34"/>
  <c r="R1979" i="34"/>
  <c r="V1979" i="34"/>
  <c r="AA1979" i="34"/>
  <c r="P1979" i="34"/>
  <c r="Q1979" i="34"/>
  <c r="R1985" i="34"/>
  <c r="V1985" i="34"/>
  <c r="AA1985" i="34"/>
  <c r="P1985" i="34"/>
  <c r="Q1985" i="34"/>
  <c r="R2097" i="34"/>
  <c r="V2097" i="34"/>
  <c r="AA2097" i="34"/>
  <c r="P2097" i="34"/>
  <c r="Q2097" i="34"/>
  <c r="P2104" i="34"/>
  <c r="Q2104" i="34"/>
  <c r="R2104" i="34"/>
  <c r="V2104" i="34"/>
  <c r="AA2104" i="34"/>
  <c r="P1932" i="34"/>
  <c r="Q1932" i="34"/>
  <c r="R1932" i="34"/>
  <c r="V1932" i="34"/>
  <c r="AA1932" i="34"/>
  <c r="P1936" i="34"/>
  <c r="Q1936" i="34"/>
  <c r="R1936" i="34"/>
  <c r="V1936" i="34"/>
  <c r="AA1936" i="34"/>
  <c r="P1940" i="34"/>
  <c r="Q1940" i="34"/>
  <c r="R1940" i="34"/>
  <c r="V1940" i="34"/>
  <c r="AA1940" i="34"/>
  <c r="R1989" i="34"/>
  <c r="V1989" i="34"/>
  <c r="AA1989" i="34"/>
  <c r="P1989" i="34"/>
  <c r="Q1989" i="34"/>
  <c r="R1993" i="34"/>
  <c r="V1993" i="34"/>
  <c r="AA1993" i="34"/>
  <c r="P1993" i="34"/>
  <c r="Q1993" i="34"/>
  <c r="R1997" i="34"/>
  <c r="V1997" i="34"/>
  <c r="AA1997" i="34"/>
  <c r="P1997" i="34"/>
  <c r="Q1997" i="34"/>
  <c r="R2043" i="34"/>
  <c r="V2043" i="34"/>
  <c r="AA2043" i="34"/>
  <c r="P2043" i="34"/>
  <c r="Q2043" i="34"/>
  <c r="P2090" i="34"/>
  <c r="Q2090" i="34"/>
  <c r="R2090" i="34"/>
  <c r="V2090" i="34"/>
  <c r="AA2090" i="34"/>
  <c r="P1878" i="34"/>
  <c r="R1878" i="34"/>
  <c r="V1878" i="34"/>
  <c r="AA1878" i="34"/>
  <c r="Q1878" i="34"/>
  <c r="P1882" i="34"/>
  <c r="R1882" i="34"/>
  <c r="V1882" i="34"/>
  <c r="AA1882" i="34"/>
  <c r="Q1882" i="34"/>
  <c r="R1895" i="34"/>
  <c r="V1895" i="34"/>
  <c r="AA1895" i="34"/>
  <c r="P1895" i="34"/>
  <c r="Q1895" i="34"/>
  <c r="R1899" i="34"/>
  <c r="V1899" i="34"/>
  <c r="AA1899" i="34"/>
  <c r="P1899" i="34"/>
  <c r="Q1899" i="34"/>
  <c r="R1903" i="34"/>
  <c r="V1903" i="34"/>
  <c r="AA1903" i="34"/>
  <c r="P1903" i="34"/>
  <c r="Q1903" i="34"/>
  <c r="R1907" i="34"/>
  <c r="V1907" i="34"/>
  <c r="AA1907" i="34"/>
  <c r="P1907" i="34"/>
  <c r="Q1907" i="34"/>
  <c r="P1914" i="34"/>
  <c r="Q1914" i="34"/>
  <c r="R1914" i="34"/>
  <c r="V1914" i="34"/>
  <c r="AA1914" i="34"/>
  <c r="P1918" i="34"/>
  <c r="Q1918" i="34"/>
  <c r="R1918" i="34"/>
  <c r="V1918" i="34"/>
  <c r="AA1918" i="34"/>
  <c r="R1945" i="34"/>
  <c r="V1945" i="34"/>
  <c r="AA1945" i="34"/>
  <c r="P1945" i="34"/>
  <c r="Q1945" i="34"/>
  <c r="R1949" i="34"/>
  <c r="V1949" i="34"/>
  <c r="AA1949" i="34"/>
  <c r="P1949" i="34"/>
  <c r="Q1949" i="34"/>
  <c r="R1953" i="34"/>
  <c r="V1953" i="34"/>
  <c r="AA1953" i="34"/>
  <c r="P1953" i="34"/>
  <c r="Q1953" i="34"/>
  <c r="P1926" i="34"/>
  <c r="Q1926" i="34"/>
  <c r="R1926" i="34"/>
  <c r="V1926" i="34"/>
  <c r="AA1926" i="34"/>
  <c r="P1930" i="34"/>
  <c r="Q1930" i="34"/>
  <c r="R1930" i="34"/>
  <c r="V1930" i="34"/>
  <c r="AA1930" i="34"/>
  <c r="R1921" i="34"/>
  <c r="V1921" i="34"/>
  <c r="AA1921" i="34"/>
  <c r="P1921" i="34"/>
  <c r="Q1921" i="34"/>
  <c r="R1957" i="34"/>
  <c r="V1957" i="34"/>
  <c r="AA1957" i="34"/>
  <c r="P1957" i="34"/>
  <c r="Q1957" i="34"/>
  <c r="R1961" i="34"/>
  <c r="V1961" i="34"/>
  <c r="AA1961" i="34"/>
  <c r="P1961" i="34"/>
  <c r="Q1961" i="34"/>
  <c r="R1965" i="34"/>
  <c r="V1965" i="34"/>
  <c r="AA1965" i="34"/>
  <c r="P1965" i="34"/>
  <c r="Q1965" i="34"/>
  <c r="R2009" i="34"/>
  <c r="V2009" i="34"/>
  <c r="AA2009" i="34"/>
  <c r="P2009" i="34"/>
  <c r="Q2009" i="34"/>
  <c r="R2013" i="34"/>
  <c r="V2013" i="34"/>
  <c r="AA2013" i="34"/>
  <c r="P2013" i="34"/>
  <c r="Q2013" i="34"/>
  <c r="R1311" i="34"/>
  <c r="V1311" i="34"/>
  <c r="AA1311" i="34"/>
  <c r="P1311" i="34"/>
  <c r="Q1311" i="34"/>
  <c r="Q1142" i="34"/>
  <c r="R1142" i="34"/>
  <c r="V1142" i="34"/>
  <c r="AA1142" i="34"/>
  <c r="P1142" i="34"/>
  <c r="R1041" i="34"/>
  <c r="V1041" i="34"/>
  <c r="AA1041" i="34"/>
  <c r="P1041" i="34"/>
  <c r="Q1041" i="34"/>
  <c r="Q1110" i="34"/>
  <c r="R1110" i="34"/>
  <c r="V1110" i="34"/>
  <c r="AA1110" i="34"/>
  <c r="P1110" i="34"/>
  <c r="Q1114" i="34"/>
  <c r="R1114" i="34"/>
  <c r="V1114" i="34"/>
  <c r="AA1114" i="34"/>
  <c r="P1114" i="34"/>
  <c r="P1036" i="34"/>
  <c r="Q1036" i="34"/>
  <c r="R1036" i="34"/>
  <c r="V1036" i="34"/>
  <c r="AA1036" i="34"/>
  <c r="P1346" i="34"/>
  <c r="T1346" i="34"/>
  <c r="Q1346" i="34"/>
  <c r="U1346" i="34"/>
  <c r="R1346" i="34"/>
  <c r="V1346" i="34"/>
  <c r="S1346" i="34"/>
  <c r="AA1346" i="34"/>
  <c r="P1352" i="34"/>
  <c r="T1352" i="34"/>
  <c r="Q1352" i="34"/>
  <c r="U1352" i="34"/>
  <c r="R1352" i="34"/>
  <c r="V1352" i="34"/>
  <c r="S1352" i="34"/>
  <c r="AA1352" i="34"/>
  <c r="P1356" i="34"/>
  <c r="T1356" i="34"/>
  <c r="Q1356" i="34"/>
  <c r="U1356" i="34"/>
  <c r="R1356" i="34"/>
  <c r="V1356" i="34"/>
  <c r="S1356" i="34"/>
  <c r="AA1356" i="34"/>
  <c r="P1386" i="34"/>
  <c r="T1386" i="34"/>
  <c r="Q1386" i="34"/>
  <c r="U1386" i="34"/>
  <c r="R1386" i="34"/>
  <c r="V1386" i="34"/>
  <c r="S1386" i="34"/>
  <c r="AA1386" i="34"/>
  <c r="P1390" i="34"/>
  <c r="T1390" i="34"/>
  <c r="Q1390" i="34"/>
  <c r="U1390" i="34"/>
  <c r="R1390" i="34"/>
  <c r="V1390" i="34"/>
  <c r="S1390" i="34"/>
  <c r="AA1390" i="34"/>
  <c r="P1414" i="34"/>
  <c r="T1414" i="34"/>
  <c r="Q1414" i="34"/>
  <c r="U1414" i="34"/>
  <c r="R1414" i="34"/>
  <c r="V1414" i="34"/>
  <c r="S1414" i="34"/>
  <c r="AA1414" i="34"/>
  <c r="P1418" i="34"/>
  <c r="T1418" i="34"/>
  <c r="Q1418" i="34"/>
  <c r="U1418" i="34"/>
  <c r="R1418" i="34"/>
  <c r="V1418" i="34"/>
  <c r="S1418" i="34"/>
  <c r="AA1418" i="34"/>
  <c r="P1764" i="34"/>
  <c r="Q1764" i="34"/>
  <c r="R1764" i="34"/>
  <c r="V1764" i="34"/>
  <c r="AA1764" i="34"/>
  <c r="P1768" i="34"/>
  <c r="Q1768" i="34"/>
  <c r="R1768" i="34"/>
  <c r="V1768" i="34"/>
  <c r="AA1768" i="34"/>
  <c r="P1772" i="34"/>
  <c r="Q1772" i="34"/>
  <c r="R1772" i="34"/>
  <c r="V1772" i="34"/>
  <c r="AA1772" i="34"/>
  <c r="R1797" i="34"/>
  <c r="V1797" i="34"/>
  <c r="AA1797" i="34"/>
  <c r="P1797" i="34"/>
  <c r="Q1797" i="34"/>
  <c r="R1801" i="34"/>
  <c r="V1801" i="34"/>
  <c r="AA1801" i="34"/>
  <c r="P1801" i="34"/>
  <c r="Q1801" i="34"/>
  <c r="P1822" i="34"/>
  <c r="Q1822" i="34"/>
  <c r="R1822" i="34"/>
  <c r="V1822" i="34"/>
  <c r="AA1822" i="34"/>
  <c r="P1826" i="34"/>
  <c r="Q1826" i="34"/>
  <c r="R1826" i="34"/>
  <c r="V1826" i="34"/>
  <c r="AA1826" i="34"/>
  <c r="P1856" i="34"/>
  <c r="R1856" i="34"/>
  <c r="V1856" i="34"/>
  <c r="AA1856" i="34"/>
  <c r="Q1856" i="34"/>
  <c r="P1860" i="34"/>
  <c r="R1860" i="34"/>
  <c r="V1860" i="34"/>
  <c r="AA1860" i="34"/>
  <c r="Q1860" i="34"/>
  <c r="R2215" i="34"/>
  <c r="V2215" i="34"/>
  <c r="AA2215" i="34"/>
  <c r="P2215" i="34"/>
  <c r="Q2215" i="34"/>
  <c r="P2298" i="34"/>
  <c r="Q2298" i="34"/>
  <c r="R2298" i="34"/>
  <c r="V2298" i="34"/>
  <c r="AA2298" i="34"/>
  <c r="P2314" i="34"/>
  <c r="Q2314" i="34"/>
  <c r="R2314" i="34"/>
  <c r="V2314" i="34"/>
  <c r="AA2314" i="34"/>
  <c r="P2426" i="34"/>
  <c r="Q2426" i="34"/>
  <c r="R2426" i="34"/>
  <c r="V2426" i="34"/>
  <c r="AA2426" i="34"/>
  <c r="P2126" i="34"/>
  <c r="Q2126" i="34"/>
  <c r="R2126" i="34"/>
  <c r="V2126" i="34"/>
  <c r="AA2126" i="34"/>
  <c r="R2201" i="34"/>
  <c r="V2201" i="34"/>
  <c r="AA2201" i="34"/>
  <c r="P2201" i="34"/>
  <c r="Q2201" i="34"/>
  <c r="R2275" i="34"/>
  <c r="V2275" i="34"/>
  <c r="AA2275" i="34"/>
  <c r="P2275" i="34"/>
  <c r="Q2275" i="34"/>
  <c r="P2046" i="34"/>
  <c r="Q2046" i="34"/>
  <c r="R2046" i="34"/>
  <c r="V2046" i="34"/>
  <c r="AA2046" i="34"/>
  <c r="R2081" i="34"/>
  <c r="V2081" i="34"/>
  <c r="AA2081" i="34"/>
  <c r="P2081" i="34"/>
  <c r="Q2081" i="34"/>
  <c r="R1969" i="34"/>
  <c r="V1969" i="34"/>
  <c r="AA1969" i="34"/>
  <c r="P1969" i="34"/>
  <c r="Q1969" i="34"/>
  <c r="P2056" i="34"/>
  <c r="Q2056" i="34"/>
  <c r="R2056" i="34"/>
  <c r="V2056" i="34"/>
  <c r="AA2056" i="34"/>
  <c r="P2122" i="34"/>
  <c r="Q2122" i="34"/>
  <c r="R2122" i="34"/>
  <c r="V2122" i="34"/>
  <c r="AA2122" i="34"/>
  <c r="R2257" i="34"/>
  <c r="V2257" i="34"/>
  <c r="AA2257" i="34"/>
  <c r="P2257" i="34"/>
  <c r="Q2257" i="34"/>
  <c r="P2156" i="34"/>
  <c r="Q2156" i="34"/>
  <c r="R2156" i="34"/>
  <c r="V2156" i="34"/>
  <c r="AA2156" i="34"/>
  <c r="R2213" i="34"/>
  <c r="V2213" i="34"/>
  <c r="AA2213" i="34"/>
  <c r="P2213" i="34"/>
  <c r="Q2213" i="34"/>
  <c r="P1980" i="34"/>
  <c r="Q1980" i="34"/>
  <c r="R1980" i="34"/>
  <c r="V1980" i="34"/>
  <c r="AA1980" i="34"/>
  <c r="R1933" i="34"/>
  <c r="V1933" i="34"/>
  <c r="AA1933" i="34"/>
  <c r="P1933" i="34"/>
  <c r="Q1933" i="34"/>
  <c r="P1998" i="34"/>
  <c r="Q1998" i="34"/>
  <c r="R1998" i="34"/>
  <c r="V1998" i="34"/>
  <c r="AA1998" i="34"/>
  <c r="R1883" i="34"/>
  <c r="V1883" i="34"/>
  <c r="P1883" i="34"/>
  <c r="AA1883" i="34"/>
  <c r="Q1883" i="34"/>
  <c r="P1908" i="34"/>
  <c r="Q1908" i="34"/>
  <c r="R1908" i="34"/>
  <c r="V1908" i="34"/>
  <c r="AA1908" i="34"/>
  <c r="R1919" i="34"/>
  <c r="V1919" i="34"/>
  <c r="AA1919" i="34"/>
  <c r="P1919" i="34"/>
  <c r="Q1919" i="34"/>
  <c r="R1927" i="34"/>
  <c r="V1927" i="34"/>
  <c r="AA1927" i="34"/>
  <c r="P1927" i="34"/>
  <c r="Q1927" i="34"/>
  <c r="P1962" i="34"/>
  <c r="Q1962" i="34"/>
  <c r="R1962" i="34"/>
  <c r="V1962" i="34"/>
  <c r="AA1962" i="34"/>
  <c r="P2014" i="34"/>
  <c r="Q2014" i="34"/>
  <c r="R2014" i="34"/>
  <c r="V2014" i="34"/>
  <c r="AA2014" i="34"/>
  <c r="AA1115" i="34"/>
  <c r="P1115" i="34"/>
  <c r="Q1115" i="34"/>
  <c r="R1115" i="34"/>
  <c r="V1115" i="34"/>
  <c r="R1353" i="34"/>
  <c r="V1353" i="34"/>
  <c r="S1353" i="34"/>
  <c r="AA1353" i="34"/>
  <c r="P1353" i="34"/>
  <c r="T1353" i="34"/>
  <c r="Q1353" i="34"/>
  <c r="U1353" i="34"/>
  <c r="R1391" i="34"/>
  <c r="V1391" i="34"/>
  <c r="S1391" i="34"/>
  <c r="AA1391" i="34"/>
  <c r="P1391" i="34"/>
  <c r="T1391" i="34"/>
  <c r="Q1391" i="34"/>
  <c r="U1391" i="34"/>
  <c r="R1769" i="34"/>
  <c r="V1769" i="34"/>
  <c r="AA1769" i="34"/>
  <c r="P1769" i="34"/>
  <c r="Q1769" i="34"/>
  <c r="P1798" i="34"/>
  <c r="Q1798" i="34"/>
  <c r="R1798" i="34"/>
  <c r="V1798" i="34"/>
  <c r="AA1798" i="34"/>
  <c r="R1819" i="34"/>
  <c r="V1819" i="34"/>
  <c r="AA1819" i="34"/>
  <c r="P1819" i="34"/>
  <c r="Q1819" i="34"/>
  <c r="R1823" i="34"/>
  <c r="V1823" i="34"/>
  <c r="AA1823" i="34"/>
  <c r="P1823" i="34"/>
  <c r="Q1823" i="34"/>
  <c r="R1853" i="34"/>
  <c r="V1853" i="34"/>
  <c r="P1853" i="34"/>
  <c r="Q1853" i="34"/>
  <c r="AA1853" i="34"/>
  <c r="R1857" i="34"/>
  <c r="V1857" i="34"/>
  <c r="P1857" i="34"/>
  <c r="Q1857" i="34"/>
  <c r="AA1857" i="34"/>
  <c r="R1861" i="34"/>
  <c r="V1861" i="34"/>
  <c r="P1861" i="34"/>
  <c r="Q1861" i="34"/>
  <c r="AA1861" i="34"/>
  <c r="P2290" i="34"/>
  <c r="Q2290" i="34"/>
  <c r="R2290" i="34"/>
  <c r="V2290" i="34"/>
  <c r="AA2290" i="34"/>
  <c r="P2306" i="34"/>
  <c r="Q2306" i="34"/>
  <c r="R2306" i="34"/>
  <c r="V2306" i="34"/>
  <c r="AA2306" i="34"/>
  <c r="P2410" i="34"/>
  <c r="Q2410" i="34"/>
  <c r="R2410" i="34"/>
  <c r="V2410" i="34"/>
  <c r="AA2410" i="34"/>
  <c r="P2414" i="34"/>
  <c r="Q2414" i="34"/>
  <c r="R2414" i="34"/>
  <c r="V2414" i="34"/>
  <c r="AA2414" i="34"/>
  <c r="P2430" i="34"/>
  <c r="Q2430" i="34"/>
  <c r="R2430" i="34"/>
  <c r="V2430" i="34"/>
  <c r="AA2430" i="34"/>
  <c r="P2134" i="34"/>
  <c r="Q2134" i="34"/>
  <c r="R2134" i="34"/>
  <c r="V2134" i="34"/>
  <c r="AA2134" i="34"/>
  <c r="R2197" i="34"/>
  <c r="V2197" i="34"/>
  <c r="AA2197" i="34"/>
  <c r="P2197" i="34"/>
  <c r="Q2197" i="34"/>
  <c r="R2271" i="34"/>
  <c r="V2271" i="34"/>
  <c r="AA2271" i="34"/>
  <c r="P2271" i="34"/>
  <c r="Q2271" i="34"/>
  <c r="R2283" i="34"/>
  <c r="V2283" i="34"/>
  <c r="AA2283" i="34"/>
  <c r="P2283" i="34"/>
  <c r="Q2283" i="34"/>
  <c r="P2054" i="34"/>
  <c r="Q2054" i="34"/>
  <c r="R2054" i="34"/>
  <c r="V2054" i="34"/>
  <c r="AA2054" i="34"/>
  <c r="R2023" i="34"/>
  <c r="V2023" i="34"/>
  <c r="AA2023" i="34"/>
  <c r="P2023" i="34"/>
  <c r="Q2023" i="34"/>
  <c r="R2027" i="34"/>
  <c r="V2027" i="34"/>
  <c r="AA2027" i="34"/>
  <c r="P2027" i="34"/>
  <c r="Q2027" i="34"/>
  <c r="R2089" i="34"/>
  <c r="V2089" i="34"/>
  <c r="AA2089" i="34"/>
  <c r="P2089" i="34"/>
  <c r="Q2089" i="34"/>
  <c r="P2144" i="34"/>
  <c r="Q2144" i="34"/>
  <c r="R2144" i="34"/>
  <c r="V2144" i="34"/>
  <c r="AA2144" i="34"/>
  <c r="R2205" i="34"/>
  <c r="V2205" i="34"/>
  <c r="AA2205" i="34"/>
  <c r="P2205" i="34"/>
  <c r="Q2205" i="34"/>
  <c r="R1890" i="34"/>
  <c r="V1890" i="34"/>
  <c r="P1890" i="34"/>
  <c r="Q1890" i="34"/>
  <c r="AA1890" i="34"/>
  <c r="R2105" i="34"/>
  <c r="V2105" i="34"/>
  <c r="AA2105" i="34"/>
  <c r="P2105" i="34"/>
  <c r="Q2105" i="34"/>
  <c r="P1990" i="34"/>
  <c r="Q1990" i="34"/>
  <c r="R1990" i="34"/>
  <c r="V1990" i="34"/>
  <c r="AA1990" i="34"/>
  <c r="R2071" i="34"/>
  <c r="V2071" i="34"/>
  <c r="AA2071" i="34"/>
  <c r="P2071" i="34"/>
  <c r="Q2071" i="34"/>
  <c r="P1904" i="34"/>
  <c r="Q1904" i="34"/>
  <c r="R1904" i="34"/>
  <c r="V1904" i="34"/>
  <c r="AA1904" i="34"/>
  <c r="P1946" i="34"/>
  <c r="Q1946" i="34"/>
  <c r="R1946" i="34"/>
  <c r="V1946" i="34"/>
  <c r="AA1946" i="34"/>
  <c r="R1923" i="34"/>
  <c r="V1923" i="34"/>
  <c r="AA1923" i="34"/>
  <c r="P1923" i="34"/>
  <c r="Q1923" i="34"/>
  <c r="P1954" i="34"/>
  <c r="Q1954" i="34"/>
  <c r="R1954" i="34"/>
  <c r="V1954" i="34"/>
  <c r="AA1954" i="34"/>
  <c r="P2010" i="34"/>
  <c r="Q2010" i="34"/>
  <c r="R2010" i="34"/>
  <c r="V2010" i="34"/>
  <c r="AA2010" i="34"/>
  <c r="P1038" i="34"/>
  <c r="Q1038" i="34"/>
  <c r="R1038" i="34"/>
  <c r="V1038" i="34"/>
  <c r="AA1038" i="34"/>
  <c r="AA1111" i="34"/>
  <c r="P1111" i="34"/>
  <c r="Q1111" i="34"/>
  <c r="R1111" i="34"/>
  <c r="V1111" i="34"/>
  <c r="R1037" i="34"/>
  <c r="V1037" i="34"/>
  <c r="AA1037" i="34"/>
  <c r="P1037" i="34"/>
  <c r="Q1037" i="34"/>
  <c r="R1357" i="34"/>
  <c r="V1357" i="34"/>
  <c r="S1357" i="34"/>
  <c r="AA1357" i="34"/>
  <c r="P1357" i="34"/>
  <c r="T1357" i="34"/>
  <c r="Q1357" i="34"/>
  <c r="U1357" i="34"/>
  <c r="R1419" i="34"/>
  <c r="V1419" i="34"/>
  <c r="S1419" i="34"/>
  <c r="AA1419" i="34"/>
  <c r="P1419" i="34"/>
  <c r="T1419" i="34"/>
  <c r="Q1419" i="34"/>
  <c r="U1419" i="34"/>
  <c r="P1794" i="34"/>
  <c r="Q1794" i="34"/>
  <c r="R1794" i="34"/>
  <c r="V1794" i="34"/>
  <c r="AA1794" i="34"/>
  <c r="P2216" i="34"/>
  <c r="Q2216" i="34"/>
  <c r="R2216" i="34"/>
  <c r="V2216" i="34"/>
  <c r="AA2216" i="34"/>
  <c r="P2220" i="34"/>
  <c r="Q2220" i="34"/>
  <c r="R2220" i="34"/>
  <c r="V2220" i="34"/>
  <c r="AA2220" i="34"/>
  <c r="R2291" i="34"/>
  <c r="V2291" i="34"/>
  <c r="AA2291" i="34"/>
  <c r="P2291" i="34"/>
  <c r="Q2291" i="34"/>
  <c r="R2295" i="34"/>
  <c r="V2295" i="34"/>
  <c r="AA2295" i="34"/>
  <c r="P2295" i="34"/>
  <c r="Q2295" i="34"/>
  <c r="R2299" i="34"/>
  <c r="V2299" i="34"/>
  <c r="AA2299" i="34"/>
  <c r="P2299" i="34"/>
  <c r="Q2299" i="34"/>
  <c r="R2303" i="34"/>
  <c r="V2303" i="34"/>
  <c r="AA2303" i="34"/>
  <c r="P2303" i="34"/>
  <c r="Q2303" i="34"/>
  <c r="R2307" i="34"/>
  <c r="V2307" i="34"/>
  <c r="AA2307" i="34"/>
  <c r="P2307" i="34"/>
  <c r="Q2307" i="34"/>
  <c r="R2311" i="34"/>
  <c r="V2311" i="34"/>
  <c r="AA2311" i="34"/>
  <c r="P2311" i="34"/>
  <c r="Q2311" i="34"/>
  <c r="R2315" i="34"/>
  <c r="V2315" i="34"/>
  <c r="AA2315" i="34"/>
  <c r="P2315" i="34"/>
  <c r="Q2315" i="34"/>
  <c r="R2403" i="34"/>
  <c r="V2403" i="34"/>
  <c r="AA2403" i="34"/>
  <c r="P2403" i="34"/>
  <c r="Q2403" i="34"/>
  <c r="R2407" i="34"/>
  <c r="V2407" i="34"/>
  <c r="AA2407" i="34"/>
  <c r="P2407" i="34"/>
  <c r="Q2407" i="34"/>
  <c r="R2411" i="34"/>
  <c r="V2411" i="34"/>
  <c r="AA2411" i="34"/>
  <c r="P2411" i="34"/>
  <c r="Q2411" i="34"/>
  <c r="R2415" i="34"/>
  <c r="V2415" i="34"/>
  <c r="AA2415" i="34"/>
  <c r="P2415" i="34"/>
  <c r="Q2415" i="34"/>
  <c r="R2419" i="34"/>
  <c r="V2419" i="34"/>
  <c r="AA2419" i="34"/>
  <c r="P2419" i="34"/>
  <c r="Q2419" i="34"/>
  <c r="R2423" i="34"/>
  <c r="V2423" i="34"/>
  <c r="AA2423" i="34"/>
  <c r="P2423" i="34"/>
  <c r="Q2423" i="34"/>
  <c r="R2427" i="34"/>
  <c r="V2427" i="34"/>
  <c r="AA2427" i="34"/>
  <c r="P2427" i="34"/>
  <c r="Q2427" i="34"/>
  <c r="R2109" i="34"/>
  <c r="V2109" i="34"/>
  <c r="AA2109" i="34"/>
  <c r="P2109" i="34"/>
  <c r="Q2109" i="34"/>
  <c r="R2115" i="34"/>
  <c r="V2115" i="34"/>
  <c r="AA2115" i="34"/>
  <c r="P2115" i="34"/>
  <c r="Q2115" i="34"/>
  <c r="R2119" i="34"/>
  <c r="V2119" i="34"/>
  <c r="AA2119" i="34"/>
  <c r="P2119" i="34"/>
  <c r="Q2119" i="34"/>
  <c r="R2127" i="34"/>
  <c r="V2127" i="34"/>
  <c r="AA2127" i="34"/>
  <c r="P2127" i="34"/>
  <c r="Q2127" i="34"/>
  <c r="R2131" i="34"/>
  <c r="V2131" i="34"/>
  <c r="AA2131" i="34"/>
  <c r="P2131" i="34"/>
  <c r="Q2131" i="34"/>
  <c r="R2135" i="34"/>
  <c r="V2135" i="34"/>
  <c r="AA2135" i="34"/>
  <c r="P2135" i="34"/>
  <c r="Q2135" i="34"/>
  <c r="R2139" i="34"/>
  <c r="V2139" i="34"/>
  <c r="AA2139" i="34"/>
  <c r="P2139" i="34"/>
  <c r="Q2139" i="34"/>
  <c r="P2194" i="34"/>
  <c r="Q2194" i="34"/>
  <c r="R2194" i="34"/>
  <c r="V2194" i="34"/>
  <c r="AA2194" i="34"/>
  <c r="P2198" i="34"/>
  <c r="Q2198" i="34"/>
  <c r="R2198" i="34"/>
  <c r="V2198" i="34"/>
  <c r="AA2198" i="34"/>
  <c r="P2260" i="34"/>
  <c r="Q2260" i="34"/>
  <c r="R2260" i="34"/>
  <c r="V2260" i="34"/>
  <c r="AA2260" i="34"/>
  <c r="P2264" i="34"/>
  <c r="Q2264" i="34"/>
  <c r="R2264" i="34"/>
  <c r="V2264" i="34"/>
  <c r="AA2264" i="34"/>
  <c r="P2268" i="34"/>
  <c r="Q2268" i="34"/>
  <c r="R2268" i="34"/>
  <c r="V2268" i="34"/>
  <c r="AA2268" i="34"/>
  <c r="P2272" i="34"/>
  <c r="Q2272" i="34"/>
  <c r="R2272" i="34"/>
  <c r="V2272" i="34"/>
  <c r="AA2272" i="34"/>
  <c r="P2276" i="34"/>
  <c r="Q2276" i="34"/>
  <c r="R2276" i="34"/>
  <c r="V2276" i="34"/>
  <c r="AA2276" i="34"/>
  <c r="P2280" i="34"/>
  <c r="Q2280" i="34"/>
  <c r="R2280" i="34"/>
  <c r="V2280" i="34"/>
  <c r="AA2280" i="34"/>
  <c r="P2284" i="34"/>
  <c r="Q2284" i="34"/>
  <c r="R2284" i="34"/>
  <c r="V2284" i="34"/>
  <c r="AA2284" i="34"/>
  <c r="P2018" i="34"/>
  <c r="Q2018" i="34"/>
  <c r="R2018" i="34"/>
  <c r="V2018" i="34"/>
  <c r="AA2018" i="34"/>
  <c r="R2047" i="34"/>
  <c r="V2047" i="34"/>
  <c r="AA2047" i="34"/>
  <c r="P2047" i="34"/>
  <c r="Q2047" i="34"/>
  <c r="R2051" i="34"/>
  <c r="V2051" i="34"/>
  <c r="AA2051" i="34"/>
  <c r="P2051" i="34"/>
  <c r="Q2051" i="34"/>
  <c r="P2074" i="34"/>
  <c r="Q2074" i="34"/>
  <c r="R2074" i="34"/>
  <c r="V2074" i="34"/>
  <c r="AA2074" i="34"/>
  <c r="P2078" i="34"/>
  <c r="Q2078" i="34"/>
  <c r="R2078" i="34"/>
  <c r="V2078" i="34"/>
  <c r="AA2078" i="34"/>
  <c r="R2093" i="34"/>
  <c r="V2093" i="34"/>
  <c r="AA2093" i="34"/>
  <c r="P2093" i="34"/>
  <c r="Q2093" i="34"/>
  <c r="P1966" i="34"/>
  <c r="Q1966" i="34"/>
  <c r="R1966" i="34"/>
  <c r="V1966" i="34"/>
  <c r="AA1966" i="34"/>
  <c r="P1970" i="34"/>
  <c r="Q1970" i="34"/>
  <c r="R1970" i="34"/>
  <c r="V1970" i="34"/>
  <c r="AA1970" i="34"/>
  <c r="P1974" i="34"/>
  <c r="Q1974" i="34"/>
  <c r="R1974" i="34"/>
  <c r="V1974" i="34"/>
  <c r="AA1974" i="34"/>
  <c r="P2020" i="34"/>
  <c r="Q2020" i="34"/>
  <c r="R2020" i="34"/>
  <c r="V2020" i="34"/>
  <c r="AA2020" i="34"/>
  <c r="P2024" i="34"/>
  <c r="Q2024" i="34"/>
  <c r="R2024" i="34"/>
  <c r="V2024" i="34"/>
  <c r="AA2024" i="34"/>
  <c r="P2028" i="34"/>
  <c r="Q2028" i="34"/>
  <c r="R2028" i="34"/>
  <c r="V2028" i="34"/>
  <c r="AA2028" i="34"/>
  <c r="P2032" i="34"/>
  <c r="Q2032" i="34"/>
  <c r="R2032" i="34"/>
  <c r="V2032" i="34"/>
  <c r="AA2032" i="34"/>
  <c r="R2057" i="34"/>
  <c r="V2057" i="34"/>
  <c r="AA2057" i="34"/>
  <c r="P2057" i="34"/>
  <c r="Q2057" i="34"/>
  <c r="R2061" i="34"/>
  <c r="V2061" i="34"/>
  <c r="AA2061" i="34"/>
  <c r="P2061" i="34"/>
  <c r="Q2061" i="34"/>
  <c r="P2082" i="34"/>
  <c r="Q2082" i="34"/>
  <c r="R2082" i="34"/>
  <c r="V2082" i="34"/>
  <c r="AA2082" i="34"/>
  <c r="P2086" i="34"/>
  <c r="Q2086" i="34"/>
  <c r="R2086" i="34"/>
  <c r="V2086" i="34"/>
  <c r="AA2086" i="34"/>
  <c r="R2095" i="34"/>
  <c r="V2095" i="34"/>
  <c r="AA2095" i="34"/>
  <c r="P2095" i="34"/>
  <c r="Q2095" i="34"/>
  <c r="R2123" i="34"/>
  <c r="V2123" i="34"/>
  <c r="AA2123" i="34"/>
  <c r="P2123" i="34"/>
  <c r="Q2123" i="34"/>
  <c r="P2258" i="34"/>
  <c r="Q2258" i="34"/>
  <c r="R2258" i="34"/>
  <c r="V2258" i="34"/>
  <c r="AA2258" i="34"/>
  <c r="R2145" i="34"/>
  <c r="V2145" i="34"/>
  <c r="AA2145" i="34"/>
  <c r="P2145" i="34"/>
  <c r="Q2145" i="34"/>
  <c r="R2149" i="34"/>
  <c r="V2149" i="34"/>
  <c r="AA2149" i="34"/>
  <c r="P2149" i="34"/>
  <c r="Q2149" i="34"/>
  <c r="R2153" i="34"/>
  <c r="V2153" i="34"/>
  <c r="AA2153" i="34"/>
  <c r="P2153" i="34"/>
  <c r="Q2153" i="34"/>
  <c r="R2157" i="34"/>
  <c r="V2157" i="34"/>
  <c r="AA2157" i="34"/>
  <c r="P2157" i="34"/>
  <c r="Q2157" i="34"/>
  <c r="P2202" i="34"/>
  <c r="Q2202" i="34"/>
  <c r="R2202" i="34"/>
  <c r="V2202" i="34"/>
  <c r="AA2202" i="34"/>
  <c r="P2206" i="34"/>
  <c r="Q2206" i="34"/>
  <c r="R2206" i="34"/>
  <c r="V2206" i="34"/>
  <c r="AA2206" i="34"/>
  <c r="P2210" i="34"/>
  <c r="Q2210" i="34"/>
  <c r="R2210" i="34"/>
  <c r="V2210" i="34"/>
  <c r="AA2210" i="34"/>
  <c r="R1873" i="34"/>
  <c r="V1873" i="34"/>
  <c r="P1873" i="34"/>
  <c r="AA1873" i="34"/>
  <c r="Q1873" i="34"/>
  <c r="R1879" i="34"/>
  <c r="V1879" i="34"/>
  <c r="P1879" i="34"/>
  <c r="AA1879" i="34"/>
  <c r="Q1879" i="34"/>
  <c r="R1887" i="34"/>
  <c r="V1887" i="34"/>
  <c r="P1887" i="34"/>
  <c r="AA1887" i="34"/>
  <c r="Q1887" i="34"/>
  <c r="P1910" i="34"/>
  <c r="Q1910" i="34"/>
  <c r="R1910" i="34"/>
  <c r="V1910" i="34"/>
  <c r="AA1910" i="34"/>
  <c r="P1982" i="34"/>
  <c r="Q1982" i="34"/>
  <c r="R1982" i="34"/>
  <c r="V1982" i="34"/>
  <c r="AA1982" i="34"/>
  <c r="R1987" i="34"/>
  <c r="V1987" i="34"/>
  <c r="AA1987" i="34"/>
  <c r="P1987" i="34"/>
  <c r="Q1987" i="34"/>
  <c r="R2099" i="34"/>
  <c r="V2099" i="34"/>
  <c r="AA2099" i="34"/>
  <c r="P2099" i="34"/>
  <c r="Q2099" i="34"/>
  <c r="P2106" i="34"/>
  <c r="Q2106" i="34"/>
  <c r="R2106" i="34"/>
  <c r="V2106" i="34"/>
  <c r="AA2106" i="34"/>
  <c r="P1934" i="34"/>
  <c r="Q1934" i="34"/>
  <c r="R1934" i="34"/>
  <c r="V1934" i="34"/>
  <c r="AA1934" i="34"/>
  <c r="P1938" i="34"/>
  <c r="Q1938" i="34"/>
  <c r="R1938" i="34"/>
  <c r="V1938" i="34"/>
  <c r="AA1938" i="34"/>
  <c r="P1942" i="34"/>
  <c r="Q1942" i="34"/>
  <c r="R1942" i="34"/>
  <c r="V1942" i="34"/>
  <c r="AA1942" i="34"/>
  <c r="R1991" i="34"/>
  <c r="V1991" i="34"/>
  <c r="AA1991" i="34"/>
  <c r="P1991" i="34"/>
  <c r="Q1991" i="34"/>
  <c r="R1995" i="34"/>
  <c r="V1995" i="34"/>
  <c r="AA1995" i="34"/>
  <c r="P1995" i="34"/>
  <c r="Q1995" i="34"/>
  <c r="R1999" i="34"/>
  <c r="V1999" i="34"/>
  <c r="AA1999" i="34"/>
  <c r="P1999" i="34"/>
  <c r="Q1999" i="34"/>
  <c r="P2072" i="34"/>
  <c r="Q2072" i="34"/>
  <c r="R2072" i="34"/>
  <c r="V2072" i="34"/>
  <c r="AA2072" i="34"/>
  <c r="P2092" i="34"/>
  <c r="Q2092" i="34"/>
  <c r="R2092" i="34"/>
  <c r="V2092" i="34"/>
  <c r="AA2092" i="34"/>
  <c r="P1893" i="34"/>
  <c r="Q1893" i="34"/>
  <c r="R1893" i="34"/>
  <c r="V1893" i="34"/>
  <c r="AA1893" i="34"/>
  <c r="R1911" i="34"/>
  <c r="V1911" i="34"/>
  <c r="AA1911" i="34"/>
  <c r="P1911" i="34"/>
  <c r="Q1911" i="34"/>
  <c r="R1897" i="34"/>
  <c r="V1897" i="34"/>
  <c r="AA1897" i="34"/>
  <c r="P1897" i="34"/>
  <c r="Q1897" i="34"/>
  <c r="R1901" i="34"/>
  <c r="V1901" i="34"/>
  <c r="AA1901" i="34"/>
  <c r="P1901" i="34"/>
  <c r="Q1901" i="34"/>
  <c r="R1905" i="34"/>
  <c r="V1905" i="34"/>
  <c r="AA1905" i="34"/>
  <c r="P1905" i="34"/>
  <c r="Q1905" i="34"/>
  <c r="R1909" i="34"/>
  <c r="V1909" i="34"/>
  <c r="AA1909" i="34"/>
  <c r="P1909" i="34"/>
  <c r="Q1909" i="34"/>
  <c r="P1916" i="34"/>
  <c r="Q1916" i="34"/>
  <c r="R1916" i="34"/>
  <c r="V1916" i="34"/>
  <c r="AA1916" i="34"/>
  <c r="P1920" i="34"/>
  <c r="Q1920" i="34"/>
  <c r="R1920" i="34"/>
  <c r="V1920" i="34"/>
  <c r="AA1920" i="34"/>
  <c r="R1947" i="34"/>
  <c r="V1947" i="34"/>
  <c r="AA1947" i="34"/>
  <c r="P1947" i="34"/>
  <c r="Q1947" i="34"/>
  <c r="R1951" i="34"/>
  <c r="V1951" i="34"/>
  <c r="AA1951" i="34"/>
  <c r="P1951" i="34"/>
  <c r="Q1951" i="34"/>
  <c r="P1924" i="34"/>
  <c r="Q1924" i="34"/>
  <c r="R1924" i="34"/>
  <c r="V1924" i="34"/>
  <c r="AA1924" i="34"/>
  <c r="P1928" i="34"/>
  <c r="Q1928" i="34"/>
  <c r="R1928" i="34"/>
  <c r="V1928" i="34"/>
  <c r="AA1928" i="34"/>
  <c r="R2005" i="34"/>
  <c r="V2005" i="34"/>
  <c r="AA2005" i="34"/>
  <c r="P2005" i="34"/>
  <c r="Q2005" i="34"/>
  <c r="R1955" i="34"/>
  <c r="V1955" i="34"/>
  <c r="AA1955" i="34"/>
  <c r="P1955" i="34"/>
  <c r="Q1955" i="34"/>
  <c r="R1959" i="34"/>
  <c r="V1959" i="34"/>
  <c r="AA1959" i="34"/>
  <c r="P1959" i="34"/>
  <c r="Q1959" i="34"/>
  <c r="R1963" i="34"/>
  <c r="V1963" i="34"/>
  <c r="AA1963" i="34"/>
  <c r="P1963" i="34"/>
  <c r="Q1963" i="34"/>
  <c r="R2007" i="34"/>
  <c r="V2007" i="34"/>
  <c r="AA2007" i="34"/>
  <c r="P2007" i="34"/>
  <c r="Q2007" i="34"/>
  <c r="R2011" i="34"/>
  <c r="V2011" i="34"/>
  <c r="AA2011" i="34"/>
  <c r="P2011" i="34"/>
  <c r="Q2011" i="34"/>
  <c r="R2015" i="34"/>
  <c r="V2015" i="34"/>
  <c r="AA2015" i="34"/>
  <c r="P2015" i="34"/>
  <c r="Q2015" i="34"/>
  <c r="R1307" i="34"/>
  <c r="V1307" i="34"/>
  <c r="AA1307" i="34"/>
  <c r="P1307" i="34"/>
  <c r="Q1307" i="34"/>
  <c r="R1039" i="34"/>
  <c r="V1039" i="34"/>
  <c r="AA1039" i="34"/>
  <c r="P1039" i="34"/>
  <c r="Q1039" i="34"/>
  <c r="Q1108" i="34"/>
  <c r="R1108" i="34"/>
  <c r="V1108" i="34"/>
  <c r="AA1108" i="34"/>
  <c r="P1108" i="34"/>
  <c r="Q1112" i="34"/>
  <c r="R1112" i="34"/>
  <c r="V1112" i="34"/>
  <c r="AA1112" i="34"/>
  <c r="P1112" i="34"/>
  <c r="P1028" i="34"/>
  <c r="Q1028" i="34"/>
  <c r="R1028" i="34"/>
  <c r="V1028" i="34"/>
  <c r="AA1028" i="34"/>
  <c r="P1344" i="34"/>
  <c r="Q1344" i="34"/>
  <c r="R1344" i="34"/>
  <c r="V1344" i="34"/>
  <c r="AA1344" i="34"/>
  <c r="P1350" i="34"/>
  <c r="T1350" i="34"/>
  <c r="Q1350" i="34"/>
  <c r="U1350" i="34"/>
  <c r="R1350" i="34"/>
  <c r="V1350" i="34"/>
  <c r="S1350" i="34"/>
  <c r="AA1350" i="34"/>
  <c r="P1354" i="34"/>
  <c r="T1354" i="34"/>
  <c r="Q1354" i="34"/>
  <c r="U1354" i="34"/>
  <c r="R1354" i="34"/>
  <c r="V1354" i="34"/>
  <c r="S1354" i="34"/>
  <c r="AA1354" i="34"/>
  <c r="P1382" i="34"/>
  <c r="T1382" i="34"/>
  <c r="Q1382" i="34"/>
  <c r="U1382" i="34"/>
  <c r="R1382" i="34"/>
  <c r="V1382" i="34"/>
  <c r="S1382" i="34"/>
  <c r="AA1382" i="34"/>
  <c r="P1388" i="34"/>
  <c r="T1388" i="34"/>
  <c r="Q1388" i="34"/>
  <c r="U1388" i="34"/>
  <c r="R1388" i="34"/>
  <c r="V1388" i="34"/>
  <c r="S1388" i="34"/>
  <c r="AA1388" i="34"/>
  <c r="P1412" i="34"/>
  <c r="T1412" i="34"/>
  <c r="Q1412" i="34"/>
  <c r="U1412" i="34"/>
  <c r="R1412" i="34"/>
  <c r="V1412" i="34"/>
  <c r="S1412" i="34"/>
  <c r="AA1412" i="34"/>
  <c r="P1416" i="34"/>
  <c r="T1416" i="34"/>
  <c r="Q1416" i="34"/>
  <c r="U1416" i="34"/>
  <c r="R1416" i="34"/>
  <c r="V1416" i="34"/>
  <c r="S1416" i="34"/>
  <c r="AA1416" i="34"/>
  <c r="R1431" i="34"/>
  <c r="V1431" i="34"/>
  <c r="AA1431" i="34"/>
  <c r="P1431" i="34"/>
  <c r="Q1431" i="34"/>
  <c r="P1766" i="34"/>
  <c r="Q1766" i="34"/>
  <c r="R1766" i="34"/>
  <c r="V1766" i="34"/>
  <c r="AA1766" i="34"/>
  <c r="P1770" i="34"/>
  <c r="Q1770" i="34"/>
  <c r="R1770" i="34"/>
  <c r="V1770" i="34"/>
  <c r="AA1770" i="34"/>
  <c r="R1795" i="34"/>
  <c r="V1795" i="34"/>
  <c r="AA1795" i="34"/>
  <c r="P1795" i="34"/>
  <c r="Q1795" i="34"/>
  <c r="R1799" i="34"/>
  <c r="V1799" i="34"/>
  <c r="AA1799" i="34"/>
  <c r="P1799" i="34"/>
  <c r="Q1799" i="34"/>
  <c r="P1820" i="34"/>
  <c r="Q1820" i="34"/>
  <c r="R1820" i="34"/>
  <c r="V1820" i="34"/>
  <c r="AA1820" i="34"/>
  <c r="P1824" i="34"/>
  <c r="Q1824" i="34"/>
  <c r="R1824" i="34"/>
  <c r="V1824" i="34"/>
  <c r="AA1824" i="34"/>
  <c r="P1854" i="34"/>
  <c r="R1854" i="34"/>
  <c r="V1854" i="34"/>
  <c r="AA1854" i="34"/>
  <c r="Q1854" i="34"/>
  <c r="P1858" i="34"/>
  <c r="R1858" i="34"/>
  <c r="V1858" i="34"/>
  <c r="AA1858" i="34"/>
  <c r="Q1858" i="34"/>
  <c r="P1862" i="34"/>
  <c r="R1862" i="34"/>
  <c r="V1862" i="34"/>
  <c r="AA1862" i="34"/>
  <c r="Q1862" i="34"/>
  <c r="P2294" i="34"/>
  <c r="Q2294" i="34"/>
  <c r="R2294" i="34"/>
  <c r="V2294" i="34"/>
  <c r="AA2294" i="34"/>
  <c r="P2402" i="34"/>
  <c r="Q2402" i="34"/>
  <c r="R2402" i="34"/>
  <c r="V2402" i="34"/>
  <c r="AA2402" i="34"/>
  <c r="P2422" i="34"/>
  <c r="Q2422" i="34"/>
  <c r="R2422" i="34"/>
  <c r="V2422" i="34"/>
  <c r="AA2422" i="34"/>
  <c r="P2118" i="34"/>
  <c r="Q2118" i="34"/>
  <c r="R2118" i="34"/>
  <c r="V2118" i="34"/>
  <c r="AA2118" i="34"/>
  <c r="P2138" i="34"/>
  <c r="Q2138" i="34"/>
  <c r="R2138" i="34"/>
  <c r="V2138" i="34"/>
  <c r="AA2138" i="34"/>
  <c r="R2263" i="34"/>
  <c r="V2263" i="34"/>
  <c r="AA2263" i="34"/>
  <c r="P2263" i="34"/>
  <c r="Q2263" i="34"/>
  <c r="R2279" i="34"/>
  <c r="V2279" i="34"/>
  <c r="AA2279" i="34"/>
  <c r="P2279" i="34"/>
  <c r="Q2279" i="34"/>
  <c r="P2050" i="34"/>
  <c r="Q2050" i="34"/>
  <c r="R2050" i="34"/>
  <c r="V2050" i="34"/>
  <c r="AA2050" i="34"/>
  <c r="P1922" i="34"/>
  <c r="Q1922" i="34"/>
  <c r="R1922" i="34"/>
  <c r="V1922" i="34"/>
  <c r="AA1922" i="34"/>
  <c r="R1977" i="34"/>
  <c r="V1977" i="34"/>
  <c r="AA1977" i="34"/>
  <c r="P1977" i="34"/>
  <c r="Q1977" i="34"/>
  <c r="R2031" i="34"/>
  <c r="V2031" i="34"/>
  <c r="AA2031" i="34"/>
  <c r="P2031" i="34"/>
  <c r="Q2031" i="34"/>
  <c r="R2085" i="34"/>
  <c r="V2085" i="34"/>
  <c r="AA2085" i="34"/>
  <c r="P2085" i="34"/>
  <c r="Q2085" i="34"/>
  <c r="P2152" i="34"/>
  <c r="Q2152" i="34"/>
  <c r="R2152" i="34"/>
  <c r="V2152" i="34"/>
  <c r="AA2152" i="34"/>
  <c r="R2209" i="34"/>
  <c r="V2209" i="34"/>
  <c r="AA2209" i="34"/>
  <c r="P2209" i="34"/>
  <c r="Q2209" i="34"/>
  <c r="P1886" i="34"/>
  <c r="R1886" i="34"/>
  <c r="V1886" i="34"/>
  <c r="AA1886" i="34"/>
  <c r="Q1886" i="34"/>
  <c r="P2098" i="34"/>
  <c r="Q2098" i="34"/>
  <c r="R2098" i="34"/>
  <c r="V2098" i="34"/>
  <c r="AA2098" i="34"/>
  <c r="R1937" i="34"/>
  <c r="V1937" i="34"/>
  <c r="AA1937" i="34"/>
  <c r="P1937" i="34"/>
  <c r="Q1937" i="34"/>
  <c r="P1994" i="34"/>
  <c r="Q1994" i="34"/>
  <c r="R1994" i="34"/>
  <c r="V1994" i="34"/>
  <c r="AA1994" i="34"/>
  <c r="R1892" i="34"/>
  <c r="V1892" i="34"/>
  <c r="P1892" i="34"/>
  <c r="Q1892" i="34"/>
  <c r="AA1892" i="34"/>
  <c r="P1896" i="34"/>
  <c r="Q1896" i="34"/>
  <c r="R1896" i="34"/>
  <c r="V1896" i="34"/>
  <c r="AA1896" i="34"/>
  <c r="R1915" i="34"/>
  <c r="V1915" i="34"/>
  <c r="AA1915" i="34"/>
  <c r="P1915" i="34"/>
  <c r="Q1915" i="34"/>
  <c r="P1950" i="34"/>
  <c r="Q1950" i="34"/>
  <c r="R1950" i="34"/>
  <c r="V1950" i="34"/>
  <c r="AA1950" i="34"/>
  <c r="P2004" i="34"/>
  <c r="Q2004" i="34"/>
  <c r="R2004" i="34"/>
  <c r="V2004" i="34"/>
  <c r="AA2004" i="34"/>
  <c r="P2006" i="34"/>
  <c r="Q2006" i="34"/>
  <c r="R2006" i="34"/>
  <c r="V2006" i="34"/>
  <c r="AA2006" i="34"/>
  <c r="R1313" i="34"/>
  <c r="V1313" i="34"/>
  <c r="AA1313" i="34"/>
  <c r="P1313" i="34"/>
  <c r="Q1313" i="34"/>
  <c r="P1042" i="34"/>
  <c r="Q1042" i="34"/>
  <c r="R1042" i="34"/>
  <c r="V1042" i="34"/>
  <c r="AA1042" i="34"/>
  <c r="R1349" i="34"/>
  <c r="V1349" i="34"/>
  <c r="S1349" i="34"/>
  <c r="AA1349" i="34"/>
  <c r="P1349" i="34"/>
  <c r="T1349" i="34"/>
  <c r="Q1349" i="34"/>
  <c r="U1349" i="34"/>
  <c r="R1387" i="34"/>
  <c r="V1387" i="34"/>
  <c r="S1387" i="34"/>
  <c r="AA1387" i="34"/>
  <c r="P1387" i="34"/>
  <c r="T1387" i="34"/>
  <c r="Q1387" i="34"/>
  <c r="U1387" i="34"/>
  <c r="R1415" i="34"/>
  <c r="V1415" i="34"/>
  <c r="S1415" i="34"/>
  <c r="AA1415" i="34"/>
  <c r="P1415" i="34"/>
  <c r="T1415" i="34"/>
  <c r="Q1415" i="34"/>
  <c r="U1415" i="34"/>
  <c r="R1765" i="34"/>
  <c r="V1765" i="34"/>
  <c r="AA1765" i="34"/>
  <c r="P1765" i="34"/>
  <c r="Q1765" i="34"/>
  <c r="R2217" i="34"/>
  <c r="V2217" i="34"/>
  <c r="AA2217" i="34"/>
  <c r="P2217" i="34"/>
  <c r="Q2217" i="34"/>
  <c r="P2288" i="34"/>
  <c r="Q2288" i="34"/>
  <c r="R2288" i="34"/>
  <c r="V2288" i="34"/>
  <c r="AA2288" i="34"/>
  <c r="P2292" i="34"/>
  <c r="Q2292" i="34"/>
  <c r="R2292" i="34"/>
  <c r="V2292" i="34"/>
  <c r="AA2292" i="34"/>
  <c r="P2296" i="34"/>
  <c r="Q2296" i="34"/>
  <c r="R2296" i="34"/>
  <c r="V2296" i="34"/>
  <c r="AA2296" i="34"/>
  <c r="P2300" i="34"/>
  <c r="Q2300" i="34"/>
  <c r="R2300" i="34"/>
  <c r="V2300" i="34"/>
  <c r="AA2300" i="34"/>
  <c r="P2304" i="34"/>
  <c r="Q2304" i="34"/>
  <c r="R2304" i="34"/>
  <c r="V2304" i="34"/>
  <c r="AA2304" i="34"/>
  <c r="P2308" i="34"/>
  <c r="Q2308" i="34"/>
  <c r="R2308" i="34"/>
  <c r="V2308" i="34"/>
  <c r="AA2308" i="34"/>
  <c r="P2312" i="34"/>
  <c r="Q2312" i="34"/>
  <c r="R2312" i="34"/>
  <c r="V2312" i="34"/>
  <c r="AA2312" i="34"/>
  <c r="P2400" i="34"/>
  <c r="Q2400" i="34"/>
  <c r="R2400" i="34"/>
  <c r="V2400" i="34"/>
  <c r="AA2400" i="34"/>
  <c r="P2404" i="34"/>
  <c r="Q2404" i="34"/>
  <c r="R2404" i="34"/>
  <c r="V2404" i="34"/>
  <c r="AA2404" i="34"/>
  <c r="P2408" i="34"/>
  <c r="Q2408" i="34"/>
  <c r="R2408" i="34"/>
  <c r="V2408" i="34"/>
  <c r="AA2408" i="34"/>
  <c r="P2412" i="34"/>
  <c r="Q2412" i="34"/>
  <c r="R2412" i="34"/>
  <c r="V2412" i="34"/>
  <c r="AA2412" i="34"/>
  <c r="P2416" i="34"/>
  <c r="Q2416" i="34"/>
  <c r="R2416" i="34"/>
  <c r="V2416" i="34"/>
  <c r="AA2416" i="34"/>
  <c r="P2420" i="34"/>
  <c r="Q2420" i="34"/>
  <c r="R2420" i="34"/>
  <c r="V2420" i="34"/>
  <c r="AA2420" i="34"/>
  <c r="P2424" i="34"/>
  <c r="Q2424" i="34"/>
  <c r="R2424" i="34"/>
  <c r="V2424" i="34"/>
  <c r="AA2424" i="34"/>
  <c r="P2428" i="34"/>
  <c r="Q2428" i="34"/>
  <c r="R2428" i="34"/>
  <c r="V2428" i="34"/>
  <c r="AA2428" i="34"/>
  <c r="P2110" i="34"/>
  <c r="Q2110" i="34"/>
  <c r="R2110" i="34"/>
  <c r="V2110" i="34"/>
  <c r="AA2110" i="34"/>
  <c r="P2116" i="34"/>
  <c r="Q2116" i="34"/>
  <c r="R2116" i="34"/>
  <c r="V2116" i="34"/>
  <c r="AA2116" i="34"/>
  <c r="P2124" i="34"/>
  <c r="Q2124" i="34"/>
  <c r="R2124" i="34"/>
  <c r="V2124" i="34"/>
  <c r="AA2124" i="34"/>
  <c r="P2128" i="34"/>
  <c r="Q2128" i="34"/>
  <c r="R2128" i="34"/>
  <c r="V2128" i="34"/>
  <c r="AA2128" i="34"/>
  <c r="P2132" i="34"/>
  <c r="Q2132" i="34"/>
  <c r="R2132" i="34"/>
  <c r="V2132" i="34"/>
  <c r="AA2132" i="34"/>
  <c r="P2136" i="34"/>
  <c r="Q2136" i="34"/>
  <c r="R2136" i="34"/>
  <c r="V2136" i="34"/>
  <c r="AA2136" i="34"/>
  <c r="P2140" i="34"/>
  <c r="Q2140" i="34"/>
  <c r="R2140" i="34"/>
  <c r="V2140" i="34"/>
  <c r="AA2140" i="34"/>
  <c r="R2195" i="34"/>
  <c r="V2195" i="34"/>
  <c r="AA2195" i="34"/>
  <c r="P2195" i="34"/>
  <c r="Q2195" i="34"/>
  <c r="R2199" i="34"/>
  <c r="V2199" i="34"/>
  <c r="AA2199" i="34"/>
  <c r="P2199" i="34"/>
  <c r="Q2199" i="34"/>
  <c r="R2261" i="34"/>
  <c r="V2261" i="34"/>
  <c r="AA2261" i="34"/>
  <c r="P2261" i="34"/>
  <c r="Q2261" i="34"/>
  <c r="R2265" i="34"/>
  <c r="V2265" i="34"/>
  <c r="AA2265" i="34"/>
  <c r="P2265" i="34"/>
  <c r="Q2265" i="34"/>
  <c r="R2269" i="34"/>
  <c r="V2269" i="34"/>
  <c r="AA2269" i="34"/>
  <c r="P2269" i="34"/>
  <c r="Q2269" i="34"/>
  <c r="R2273" i="34"/>
  <c r="V2273" i="34"/>
  <c r="AA2273" i="34"/>
  <c r="P2273" i="34"/>
  <c r="Q2273" i="34"/>
  <c r="R2277" i="34"/>
  <c r="V2277" i="34"/>
  <c r="AA2277" i="34"/>
  <c r="P2277" i="34"/>
  <c r="Q2277" i="34"/>
  <c r="R2281" i="34"/>
  <c r="V2281" i="34"/>
  <c r="AA2281" i="34"/>
  <c r="P2281" i="34"/>
  <c r="Q2281" i="34"/>
  <c r="R2285" i="34"/>
  <c r="V2285" i="34"/>
  <c r="AA2285" i="34"/>
  <c r="P2285" i="34"/>
  <c r="Q2285" i="34"/>
  <c r="R2019" i="34"/>
  <c r="V2019" i="34"/>
  <c r="AA2019" i="34"/>
  <c r="P2019" i="34"/>
  <c r="Q2019" i="34"/>
  <c r="P2048" i="34"/>
  <c r="Q2048" i="34"/>
  <c r="R2048" i="34"/>
  <c r="V2048" i="34"/>
  <c r="AA2048" i="34"/>
  <c r="P2052" i="34"/>
  <c r="Q2052" i="34"/>
  <c r="R2052" i="34"/>
  <c r="V2052" i="34"/>
  <c r="AA2052" i="34"/>
  <c r="R2075" i="34"/>
  <c r="V2075" i="34"/>
  <c r="AA2075" i="34"/>
  <c r="P2075" i="34"/>
  <c r="Q2075" i="34"/>
  <c r="R2079" i="34"/>
  <c r="V2079" i="34"/>
  <c r="AA2079" i="34"/>
  <c r="P2079" i="34"/>
  <c r="Q2079" i="34"/>
  <c r="P2094" i="34"/>
  <c r="Q2094" i="34"/>
  <c r="R2094" i="34"/>
  <c r="V2094" i="34"/>
  <c r="AA2094" i="34"/>
  <c r="R1967" i="34"/>
  <c r="V1967" i="34"/>
  <c r="AA1967" i="34"/>
  <c r="P1967" i="34"/>
  <c r="Q1967" i="34"/>
  <c r="R1971" i="34"/>
  <c r="V1971" i="34"/>
  <c r="AA1971" i="34"/>
  <c r="P1971" i="34"/>
  <c r="Q1971" i="34"/>
  <c r="R1975" i="34"/>
  <c r="V1975" i="34"/>
  <c r="AA1975" i="34"/>
  <c r="P1975" i="34"/>
  <c r="Q1975" i="34"/>
  <c r="R2021" i="34"/>
  <c r="V2021" i="34"/>
  <c r="AA2021" i="34"/>
  <c r="P2021" i="34"/>
  <c r="Q2021" i="34"/>
  <c r="R2025" i="34"/>
  <c r="V2025" i="34"/>
  <c r="AA2025" i="34"/>
  <c r="P2025" i="34"/>
  <c r="Q2025" i="34"/>
  <c r="R2029" i="34"/>
  <c r="V2029" i="34"/>
  <c r="AA2029" i="34"/>
  <c r="P2029" i="34"/>
  <c r="Q2029" i="34"/>
  <c r="R2033" i="34"/>
  <c r="V2033" i="34"/>
  <c r="AA2033" i="34"/>
  <c r="P2033" i="34"/>
  <c r="Q2033" i="34"/>
  <c r="P2058" i="34"/>
  <c r="Q2058" i="34"/>
  <c r="R2058" i="34"/>
  <c r="V2058" i="34"/>
  <c r="AA2058" i="34"/>
  <c r="P2062" i="34"/>
  <c r="Q2062" i="34"/>
  <c r="R2062" i="34"/>
  <c r="V2062" i="34"/>
  <c r="AA2062" i="34"/>
  <c r="R2083" i="34"/>
  <c r="V2083" i="34"/>
  <c r="AA2083" i="34"/>
  <c r="P2083" i="34"/>
  <c r="Q2083" i="34"/>
  <c r="R2087" i="34"/>
  <c r="V2087" i="34"/>
  <c r="AA2087" i="34"/>
  <c r="P2087" i="34"/>
  <c r="Q2087" i="34"/>
  <c r="P2096" i="34"/>
  <c r="Q2096" i="34"/>
  <c r="R2096" i="34"/>
  <c r="V2096" i="34"/>
  <c r="AA2096" i="34"/>
  <c r="P2142" i="34"/>
  <c r="Q2142" i="34"/>
  <c r="R2142" i="34"/>
  <c r="V2142" i="34"/>
  <c r="AA2142" i="34"/>
  <c r="R2259" i="34"/>
  <c r="V2259" i="34"/>
  <c r="AA2259" i="34"/>
  <c r="P2259" i="34"/>
  <c r="Q2259" i="34"/>
  <c r="P2146" i="34"/>
  <c r="Q2146" i="34"/>
  <c r="R2146" i="34"/>
  <c r="V2146" i="34"/>
  <c r="AA2146" i="34"/>
  <c r="P2150" i="34"/>
  <c r="Q2150" i="34"/>
  <c r="R2150" i="34"/>
  <c r="V2150" i="34"/>
  <c r="AA2150" i="34"/>
  <c r="P2154" i="34"/>
  <c r="Q2154" i="34"/>
  <c r="R2154" i="34"/>
  <c r="V2154" i="34"/>
  <c r="AA2154" i="34"/>
  <c r="P2158" i="34"/>
  <c r="Q2158" i="34"/>
  <c r="R2158" i="34"/>
  <c r="V2158" i="34"/>
  <c r="AA2158" i="34"/>
  <c r="R2203" i="34"/>
  <c r="V2203" i="34"/>
  <c r="AA2203" i="34"/>
  <c r="P2203" i="34"/>
  <c r="Q2203" i="34"/>
  <c r="R2207" i="34"/>
  <c r="V2207" i="34"/>
  <c r="AA2207" i="34"/>
  <c r="P2207" i="34"/>
  <c r="Q2207" i="34"/>
  <c r="R2211" i="34"/>
  <c r="V2211" i="34"/>
  <c r="AA2211" i="34"/>
  <c r="P2211" i="34"/>
  <c r="Q2211" i="34"/>
  <c r="P1874" i="34"/>
  <c r="R1874" i="34"/>
  <c r="V1874" i="34"/>
  <c r="AA1874" i="34"/>
  <c r="Q1874" i="34"/>
  <c r="P1880" i="34"/>
  <c r="R1880" i="34"/>
  <c r="V1880" i="34"/>
  <c r="AA1880" i="34"/>
  <c r="Q1880" i="34"/>
  <c r="P1888" i="34"/>
  <c r="R1888" i="34"/>
  <c r="V1888" i="34"/>
  <c r="AA1888" i="34"/>
  <c r="Q1888" i="34"/>
  <c r="P1978" i="34"/>
  <c r="Q1978" i="34"/>
  <c r="R1978" i="34"/>
  <c r="V1978" i="34"/>
  <c r="AA1978" i="34"/>
  <c r="P1984" i="34"/>
  <c r="Q1984" i="34"/>
  <c r="R1984" i="34"/>
  <c r="V1984" i="34"/>
  <c r="AA1984" i="34"/>
  <c r="P1988" i="34"/>
  <c r="Q1988" i="34"/>
  <c r="R1988" i="34"/>
  <c r="V1988" i="34"/>
  <c r="AA1988" i="34"/>
  <c r="P2100" i="34"/>
  <c r="Q2100" i="34"/>
  <c r="R2100" i="34"/>
  <c r="V2100" i="34"/>
  <c r="AA2100" i="34"/>
  <c r="R1931" i="34"/>
  <c r="V1931" i="34"/>
  <c r="AA1931" i="34"/>
  <c r="P1931" i="34"/>
  <c r="Q1931" i="34"/>
  <c r="R1935" i="34"/>
  <c r="V1935" i="34"/>
  <c r="AA1935" i="34"/>
  <c r="P1935" i="34"/>
  <c r="Q1935" i="34"/>
  <c r="R1939" i="34"/>
  <c r="V1939" i="34"/>
  <c r="AA1939" i="34"/>
  <c r="P1939" i="34"/>
  <c r="Q1939" i="34"/>
  <c r="R1943" i="34"/>
  <c r="V1943" i="34"/>
  <c r="AA1943" i="34"/>
  <c r="P1943" i="34"/>
  <c r="Q1943" i="34"/>
  <c r="P1992" i="34"/>
  <c r="Q1992" i="34"/>
  <c r="R1992" i="34"/>
  <c r="V1992" i="34"/>
  <c r="AA1992" i="34"/>
  <c r="P1996" i="34"/>
  <c r="Q1996" i="34"/>
  <c r="R1996" i="34"/>
  <c r="V1996" i="34"/>
  <c r="AA1996" i="34"/>
  <c r="R2035" i="34"/>
  <c r="V2035" i="34"/>
  <c r="AA2035" i="34"/>
  <c r="P2035" i="34"/>
  <c r="Q2035" i="34"/>
  <c r="R2073" i="34"/>
  <c r="V2073" i="34"/>
  <c r="AA2073" i="34"/>
  <c r="P2073" i="34"/>
  <c r="Q2073" i="34"/>
  <c r="R1877" i="34"/>
  <c r="V1877" i="34"/>
  <c r="P1877" i="34"/>
  <c r="AA1877" i="34"/>
  <c r="Q1877" i="34"/>
  <c r="R1894" i="34"/>
  <c r="P1894" i="34"/>
  <c r="Q1894" i="34"/>
  <c r="V1894" i="34"/>
  <c r="AA1894" i="34"/>
  <c r="P1912" i="34"/>
  <c r="Q1912" i="34"/>
  <c r="R1912" i="34"/>
  <c r="V1912" i="34"/>
  <c r="AA1912" i="34"/>
  <c r="P1898" i="34"/>
  <c r="Q1898" i="34"/>
  <c r="R1898" i="34"/>
  <c r="V1898" i="34"/>
  <c r="AA1898" i="34"/>
  <c r="P1902" i="34"/>
  <c r="Q1902" i="34"/>
  <c r="R1902" i="34"/>
  <c r="V1902" i="34"/>
  <c r="AA1902" i="34"/>
  <c r="P1906" i="34"/>
  <c r="Q1906" i="34"/>
  <c r="R1906" i="34"/>
  <c r="V1906" i="34"/>
  <c r="AA1906" i="34"/>
  <c r="R1913" i="34"/>
  <c r="V1913" i="34"/>
  <c r="AA1913" i="34"/>
  <c r="P1913" i="34"/>
  <c r="Q1913" i="34"/>
  <c r="R1917" i="34"/>
  <c r="V1917" i="34"/>
  <c r="AA1917" i="34"/>
  <c r="P1917" i="34"/>
  <c r="Q1917" i="34"/>
  <c r="P1944" i="34"/>
  <c r="Q1944" i="34"/>
  <c r="R1944" i="34"/>
  <c r="V1944" i="34"/>
  <c r="AA1944" i="34"/>
  <c r="P1948" i="34"/>
  <c r="Q1948" i="34"/>
  <c r="R1948" i="34"/>
  <c r="V1948" i="34"/>
  <c r="AA1948" i="34"/>
  <c r="P1952" i="34"/>
  <c r="Q1952" i="34"/>
  <c r="R1952" i="34"/>
  <c r="V1952" i="34"/>
  <c r="AA1952" i="34"/>
  <c r="R1925" i="34"/>
  <c r="V1925" i="34"/>
  <c r="AA1925" i="34"/>
  <c r="P1925" i="34"/>
  <c r="Q1925" i="34"/>
  <c r="R1929" i="34"/>
  <c r="V1929" i="34"/>
  <c r="AA1929" i="34"/>
  <c r="P1929" i="34"/>
  <c r="Q1929" i="34"/>
  <c r="P1884" i="34"/>
  <c r="R1884" i="34"/>
  <c r="V1884" i="34"/>
  <c r="AA1884" i="34"/>
  <c r="Q1884" i="34"/>
  <c r="P1956" i="34"/>
  <c r="Q1956" i="34"/>
  <c r="R1956" i="34"/>
  <c r="V1956" i="34"/>
  <c r="AA1956" i="34"/>
  <c r="P1960" i="34"/>
  <c r="Q1960" i="34"/>
  <c r="R1960" i="34"/>
  <c r="V1960" i="34"/>
  <c r="AA1960" i="34"/>
  <c r="P1964" i="34"/>
  <c r="Q1964" i="34"/>
  <c r="R1964" i="34"/>
  <c r="V1964" i="34"/>
  <c r="AA1964" i="34"/>
  <c r="P2008" i="34"/>
  <c r="Q2008" i="34"/>
  <c r="R2008" i="34"/>
  <c r="V2008" i="34"/>
  <c r="AA2008" i="34"/>
  <c r="P2012" i="34"/>
  <c r="Q2012" i="34"/>
  <c r="R2012" i="34"/>
  <c r="V2012" i="34"/>
  <c r="AA2012" i="34"/>
  <c r="P2016" i="34"/>
  <c r="Q2016" i="34"/>
  <c r="R2016" i="34"/>
  <c r="V2016" i="34"/>
  <c r="AA2016" i="34"/>
  <c r="P1308" i="34"/>
  <c r="Q1308" i="34"/>
  <c r="R1308" i="34"/>
  <c r="V1308" i="34"/>
  <c r="AA1308" i="34"/>
  <c r="P1040" i="34"/>
  <c r="Q1040" i="34"/>
  <c r="R1040" i="34"/>
  <c r="V1040" i="34"/>
  <c r="AA1040" i="34"/>
  <c r="AA1109" i="34"/>
  <c r="P1109" i="34"/>
  <c r="Q1109" i="34"/>
  <c r="R1109" i="34"/>
  <c r="V1109" i="34"/>
  <c r="AA1113" i="34"/>
  <c r="P1113" i="34"/>
  <c r="Q1113" i="34"/>
  <c r="R1113" i="34"/>
  <c r="V1113" i="34"/>
  <c r="R1029" i="34"/>
  <c r="V1029" i="34"/>
  <c r="AA1029" i="34"/>
  <c r="P1029" i="34"/>
  <c r="Q1029" i="34"/>
  <c r="R1345" i="34"/>
  <c r="V1345" i="34"/>
  <c r="S1345" i="34"/>
  <c r="AA1345" i="34"/>
  <c r="P1345" i="34"/>
  <c r="T1345" i="34"/>
  <c r="Q1345" i="34"/>
  <c r="U1345" i="34"/>
  <c r="R1351" i="34"/>
  <c r="V1351" i="34"/>
  <c r="S1351" i="34"/>
  <c r="AA1351" i="34"/>
  <c r="P1351" i="34"/>
  <c r="T1351" i="34"/>
  <c r="Q1351" i="34"/>
  <c r="U1351" i="34"/>
  <c r="R1355" i="34"/>
  <c r="V1355" i="34"/>
  <c r="S1355" i="34"/>
  <c r="AA1355" i="34"/>
  <c r="P1355" i="34"/>
  <c r="T1355" i="34"/>
  <c r="Q1355" i="34"/>
  <c r="U1355" i="34"/>
  <c r="R1385" i="34"/>
  <c r="V1385" i="34"/>
  <c r="S1385" i="34"/>
  <c r="AA1385" i="34"/>
  <c r="P1385" i="34"/>
  <c r="T1385" i="34"/>
  <c r="Q1385" i="34"/>
  <c r="U1385" i="34"/>
  <c r="R1389" i="34"/>
  <c r="V1389" i="34"/>
  <c r="S1389" i="34"/>
  <c r="AA1389" i="34"/>
  <c r="P1389" i="34"/>
  <c r="T1389" i="34"/>
  <c r="Q1389" i="34"/>
  <c r="U1389" i="34"/>
  <c r="R1413" i="34"/>
  <c r="V1413" i="34"/>
  <c r="S1413" i="34"/>
  <c r="AA1413" i="34"/>
  <c r="P1413" i="34"/>
  <c r="T1413" i="34"/>
  <c r="Q1413" i="34"/>
  <c r="U1413" i="34"/>
  <c r="R1417" i="34"/>
  <c r="V1417" i="34"/>
  <c r="S1417" i="34"/>
  <c r="AA1417" i="34"/>
  <c r="P1417" i="34"/>
  <c r="T1417" i="34"/>
  <c r="Q1417" i="34"/>
  <c r="U1417" i="34"/>
  <c r="P1432" i="34"/>
  <c r="Q1432" i="34"/>
  <c r="R1432" i="34"/>
  <c r="V1432" i="34"/>
  <c r="AA1432" i="34"/>
  <c r="R1767" i="34"/>
  <c r="V1767" i="34"/>
  <c r="AA1767" i="34"/>
  <c r="P1767" i="34"/>
  <c r="Q1767" i="34"/>
  <c r="R1771" i="34"/>
  <c r="V1771" i="34"/>
  <c r="AA1771" i="34"/>
  <c r="P1771" i="34"/>
  <c r="Q1771" i="34"/>
  <c r="P1796" i="34"/>
  <c r="Q1796" i="34"/>
  <c r="R1796" i="34"/>
  <c r="V1796" i="34"/>
  <c r="AA1796" i="34"/>
  <c r="P1800" i="34"/>
  <c r="Q1800" i="34"/>
  <c r="R1800" i="34"/>
  <c r="V1800" i="34"/>
  <c r="AA1800" i="34"/>
  <c r="R1821" i="34"/>
  <c r="V1821" i="34"/>
  <c r="AA1821" i="34"/>
  <c r="P1821" i="34"/>
  <c r="Q1821" i="34"/>
  <c r="R1825" i="34"/>
  <c r="V1825" i="34"/>
  <c r="AA1825" i="34"/>
  <c r="P1825" i="34"/>
  <c r="Q1825" i="34"/>
  <c r="R1855" i="34"/>
  <c r="V1855" i="34"/>
  <c r="P1855" i="34"/>
  <c r="Q1855" i="34"/>
  <c r="AA1855" i="34"/>
  <c r="R1859" i="34"/>
  <c r="V1859" i="34"/>
  <c r="P1859" i="34"/>
  <c r="Q1859" i="34"/>
  <c r="AA1859" i="34"/>
  <c r="R1863" i="34"/>
  <c r="V1863" i="34"/>
  <c r="P1863" i="34"/>
  <c r="AA1863" i="34"/>
  <c r="Q1863" i="34"/>
  <c r="A1311" i="34"/>
  <c r="A1142" i="34"/>
  <c r="A1041" i="34"/>
  <c r="A1110" i="34"/>
  <c r="A1114" i="34"/>
  <c r="A1036" i="34"/>
  <c r="A1346" i="34"/>
  <c r="A1352" i="34"/>
  <c r="A1356" i="34"/>
  <c r="A1386" i="34"/>
  <c r="A1390" i="34"/>
  <c r="A1414" i="34"/>
  <c r="A1418" i="34"/>
  <c r="A1432" i="34"/>
  <c r="A1450" i="34"/>
  <c r="A1540" i="34"/>
  <c r="A1544" i="34"/>
  <c r="A1548" i="34"/>
  <c r="A1313" i="34"/>
  <c r="A1038" i="34"/>
  <c r="A1042" i="34"/>
  <c r="A1111" i="34"/>
  <c r="A1115" i="34"/>
  <c r="A1037" i="34"/>
  <c r="A1349" i="34"/>
  <c r="A1353" i="34"/>
  <c r="A1357" i="34"/>
  <c r="A1387" i="34"/>
  <c r="A1391" i="34"/>
  <c r="A1415" i="34"/>
  <c r="A1419" i="34"/>
  <c r="A1451" i="34"/>
  <c r="A1541" i="34"/>
  <c r="A1545" i="34"/>
  <c r="A1307" i="34"/>
  <c r="A1039" i="34"/>
  <c r="A1108" i="34"/>
  <c r="A1112" i="34"/>
  <c r="A1028" i="34"/>
  <c r="A1344" i="34"/>
  <c r="A1350" i="34"/>
  <c r="A1354" i="34"/>
  <c r="A1382" i="34"/>
  <c r="A1388" i="34"/>
  <c r="A1412" i="34"/>
  <c r="A1416" i="34"/>
  <c r="A1431" i="34"/>
  <c r="A1458" i="34"/>
  <c r="A1542" i="34"/>
  <c r="A1546" i="34"/>
  <c r="A1308" i="34"/>
  <c r="A1040" i="34"/>
  <c r="A1109" i="34"/>
  <c r="A1113" i="34"/>
  <c r="A1029" i="34"/>
  <c r="A1345" i="34"/>
  <c r="A1351" i="34"/>
  <c r="A1355" i="34"/>
  <c r="A1385" i="34"/>
  <c r="A1389" i="34"/>
  <c r="A1413" i="34"/>
  <c r="A1417" i="34"/>
  <c r="A1449" i="34"/>
  <c r="A1494" i="34"/>
  <c r="A1543" i="34"/>
  <c r="A1547" i="34"/>
  <c r="A2220" i="34"/>
  <c r="A2288" i="34"/>
  <c r="A2300" i="34"/>
  <c r="A2214" i="34"/>
  <c r="A2289" i="34"/>
  <c r="A2297" i="34"/>
  <c r="A2305" i="34"/>
  <c r="A2313" i="34"/>
  <c r="A2401" i="34"/>
  <c r="A2405" i="34"/>
  <c r="A2409" i="34"/>
  <c r="A2413" i="34"/>
  <c r="A2417" i="34"/>
  <c r="A2421" i="34"/>
  <c r="A2425" i="34"/>
  <c r="A2429" i="34"/>
  <c r="A2114" i="34"/>
  <c r="A2118" i="34"/>
  <c r="A2126" i="34"/>
  <c r="A2130" i="34"/>
  <c r="A2134" i="34"/>
  <c r="A2138" i="34"/>
  <c r="A2193" i="34"/>
  <c r="A2197" i="34"/>
  <c r="A2201" i="34"/>
  <c r="A2263" i="34"/>
  <c r="A2267" i="34"/>
  <c r="A2271" i="34"/>
  <c r="A2275" i="34"/>
  <c r="A2279" i="34"/>
  <c r="A2283" i="34"/>
  <c r="A2017" i="34"/>
  <c r="A2046" i="34"/>
  <c r="A2050" i="34"/>
  <c r="A2054" i="34"/>
  <c r="A2077" i="34"/>
  <c r="A2081" i="34"/>
  <c r="A1922" i="34"/>
  <c r="A1969" i="34"/>
  <c r="A1973" i="34"/>
  <c r="A1977" i="34"/>
  <c r="A2023" i="34"/>
  <c r="A2027" i="34"/>
  <c r="A2031" i="34"/>
  <c r="A2056" i="34"/>
  <c r="A2060" i="34"/>
  <c r="A2064" i="34"/>
  <c r="A2085" i="34"/>
  <c r="A2089" i="34"/>
  <c r="A2122" i="34"/>
  <c r="A2257" i="34"/>
  <c r="A2145" i="34"/>
  <c r="A2149" i="34"/>
  <c r="A2153" i="34"/>
  <c r="A2157" i="34"/>
  <c r="A2202" i="34"/>
  <c r="A2206" i="34"/>
  <c r="A2210" i="34"/>
  <c r="A1873" i="34"/>
  <c r="A1879" i="34"/>
  <c r="A1887" i="34"/>
  <c r="A1910" i="34"/>
  <c r="A1982" i="34"/>
  <c r="A1987" i="34"/>
  <c r="A2099" i="34"/>
  <c r="A2106" i="34"/>
  <c r="A1934" i="34"/>
  <c r="A1938" i="34"/>
  <c r="A1942" i="34"/>
  <c r="A1991" i="34"/>
  <c r="A1995" i="34"/>
  <c r="A1999" i="34"/>
  <c r="A2072" i="34"/>
  <c r="A2092" i="34"/>
  <c r="A1893" i="34"/>
  <c r="A1911" i="34"/>
  <c r="A1897" i="34"/>
  <c r="A1901" i="34"/>
  <c r="A1905" i="34"/>
  <c r="A1909" i="34"/>
  <c r="A1916" i="34"/>
  <c r="A1920" i="34"/>
  <c r="A1947" i="34"/>
  <c r="A1951" i="34"/>
  <c r="A1924" i="34"/>
  <c r="A1928" i="34"/>
  <c r="A2005" i="34"/>
  <c r="A1955" i="34"/>
  <c r="A1959" i="34"/>
  <c r="A1963" i="34"/>
  <c r="A2007" i="34"/>
  <c r="A2011" i="34"/>
  <c r="A2015" i="34"/>
  <c r="A1566" i="34"/>
  <c r="A1568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9" i="34"/>
  <c r="A1821" i="34"/>
  <c r="A1823" i="34"/>
  <c r="A1825" i="34"/>
  <c r="A1853" i="34"/>
  <c r="A1855" i="34"/>
  <c r="A1857" i="34"/>
  <c r="A1859" i="34"/>
  <c r="A1861" i="34"/>
  <c r="A1863" i="34"/>
  <c r="A2295" i="34"/>
  <c r="A2292" i="34"/>
  <c r="A2304" i="34"/>
  <c r="A2312" i="34"/>
  <c r="A2218" i="34"/>
  <c r="A2293" i="34"/>
  <c r="A2301" i="34"/>
  <c r="A2309" i="34"/>
  <c r="A2215" i="34"/>
  <c r="A2219" i="34"/>
  <c r="A2290" i="34"/>
  <c r="A2294" i="34"/>
  <c r="A2298" i="34"/>
  <c r="A2302" i="34"/>
  <c r="A2306" i="34"/>
  <c r="A2310" i="34"/>
  <c r="A2314" i="34"/>
  <c r="A2402" i="34"/>
  <c r="A2406" i="34"/>
  <c r="A2410" i="34"/>
  <c r="A2414" i="34"/>
  <c r="A2418" i="34"/>
  <c r="A2422" i="34"/>
  <c r="A2426" i="34"/>
  <c r="A2430" i="34"/>
  <c r="A2115" i="34"/>
  <c r="A2119" i="34"/>
  <c r="A2127" i="34"/>
  <c r="A2131" i="34"/>
  <c r="A2135" i="34"/>
  <c r="A2139" i="34"/>
  <c r="A2194" i="34"/>
  <c r="A2198" i="34"/>
  <c r="A2260" i="34"/>
  <c r="A2264" i="34"/>
  <c r="A2268" i="34"/>
  <c r="A2272" i="34"/>
  <c r="A2276" i="34"/>
  <c r="A2280" i="34"/>
  <c r="A2284" i="34"/>
  <c r="A2018" i="34"/>
  <c r="A2047" i="34"/>
  <c r="A2051" i="34"/>
  <c r="A2074" i="34"/>
  <c r="A2078" i="34"/>
  <c r="A2093" i="34"/>
  <c r="A1966" i="34"/>
  <c r="A1970" i="34"/>
  <c r="A1974" i="34"/>
  <c r="A2020" i="34"/>
  <c r="A2024" i="34"/>
  <c r="A2028" i="34"/>
  <c r="A2032" i="34"/>
  <c r="A2057" i="34"/>
  <c r="A2061" i="34"/>
  <c r="A2082" i="34"/>
  <c r="A2086" i="34"/>
  <c r="A2095" i="34"/>
  <c r="A2123" i="34"/>
  <c r="A2258" i="34"/>
  <c r="A2146" i="34"/>
  <c r="A2150" i="34"/>
  <c r="A2154" i="34"/>
  <c r="A2158" i="34"/>
  <c r="A2203" i="34"/>
  <c r="A2207" i="34"/>
  <c r="A2211" i="34"/>
  <c r="A1874" i="34"/>
  <c r="A1880" i="34"/>
  <c r="A1888" i="34"/>
  <c r="A1978" i="34"/>
  <c r="A1984" i="34"/>
  <c r="A1988" i="34"/>
  <c r="A2100" i="34"/>
  <c r="A1931" i="34"/>
  <c r="A1935" i="34"/>
  <c r="A1939" i="34"/>
  <c r="A1943" i="34"/>
  <c r="A1992" i="34"/>
  <c r="A1996" i="34"/>
  <c r="A2035" i="34"/>
  <c r="A2073" i="34"/>
  <c r="A1877" i="34"/>
  <c r="A1894" i="34"/>
  <c r="A1912" i="34"/>
  <c r="A1898" i="34"/>
  <c r="A1902" i="34"/>
  <c r="A1906" i="34"/>
  <c r="A1913" i="34"/>
  <c r="A1917" i="34"/>
  <c r="A1944" i="34"/>
  <c r="A1948" i="34"/>
  <c r="A1952" i="34"/>
  <c r="A1925" i="34"/>
  <c r="A1929" i="34"/>
  <c r="A1884" i="34"/>
  <c r="A1956" i="34"/>
  <c r="A1960" i="34"/>
  <c r="A1964" i="34"/>
  <c r="A2008" i="34"/>
  <c r="A2012" i="34"/>
  <c r="A2016" i="34"/>
  <c r="A2291" i="34"/>
  <c r="A2299" i="34"/>
  <c r="A2303" i="34"/>
  <c r="A2307" i="34"/>
  <c r="A2311" i="34"/>
  <c r="A2315" i="34"/>
  <c r="A2403" i="34"/>
  <c r="A2407" i="34"/>
  <c r="A2411" i="34"/>
  <c r="A2415" i="34"/>
  <c r="A2419" i="34"/>
  <c r="A2423" i="34"/>
  <c r="A2427" i="34"/>
  <c r="A2109" i="34"/>
  <c r="A2116" i="34"/>
  <c r="A2124" i="34"/>
  <c r="A2128" i="34"/>
  <c r="A2132" i="34"/>
  <c r="A2136" i="34"/>
  <c r="A2140" i="34"/>
  <c r="A2195" i="34"/>
  <c r="A2199" i="34"/>
  <c r="A2261" i="34"/>
  <c r="A2265" i="34"/>
  <c r="A2269" i="34"/>
  <c r="A2273" i="34"/>
  <c r="A2277" i="34"/>
  <c r="A2281" i="34"/>
  <c r="A2285" i="34"/>
  <c r="A2019" i="34"/>
  <c r="A2048" i="34"/>
  <c r="A2052" i="34"/>
  <c r="A2075" i="34"/>
  <c r="A2079" i="34"/>
  <c r="A2094" i="34"/>
  <c r="A1967" i="34"/>
  <c r="A1971" i="34"/>
  <c r="A1975" i="34"/>
  <c r="A2021" i="34"/>
  <c r="A2025" i="34"/>
  <c r="A2029" i="34"/>
  <c r="A2033" i="34"/>
  <c r="A2058" i="34"/>
  <c r="A2062" i="34"/>
  <c r="A2083" i="34"/>
  <c r="A2087" i="34"/>
  <c r="A2096" i="34"/>
  <c r="A2142" i="34"/>
  <c r="A2259" i="34"/>
  <c r="A2147" i="34"/>
  <c r="A2151" i="34"/>
  <c r="A2155" i="34"/>
  <c r="A2159" i="34"/>
  <c r="A2204" i="34"/>
  <c r="A2208" i="34"/>
  <c r="A2212" i="34"/>
  <c r="A2101" i="34"/>
  <c r="A1881" i="34"/>
  <c r="A1889" i="34"/>
  <c r="A1979" i="34"/>
  <c r="A1985" i="34"/>
  <c r="A2097" i="34"/>
  <c r="A2104" i="34"/>
  <c r="A1932" i="34"/>
  <c r="A1936" i="34"/>
  <c r="A1940" i="34"/>
  <c r="A1989" i="34"/>
  <c r="A1993" i="34"/>
  <c r="A1997" i="34"/>
  <c r="A2043" i="34"/>
  <c r="A2090" i="34"/>
  <c r="A1878" i="34"/>
  <c r="A1882" i="34"/>
  <c r="A1895" i="34"/>
  <c r="A1899" i="34"/>
  <c r="A1903" i="34"/>
  <c r="A1907" i="34"/>
  <c r="A1914" i="34"/>
  <c r="A1918" i="34"/>
  <c r="A1945" i="34"/>
  <c r="A1949" i="34"/>
  <c r="A1953" i="34"/>
  <c r="A1926" i="34"/>
  <c r="A1930" i="34"/>
  <c r="A1921" i="34"/>
  <c r="A1957" i="34"/>
  <c r="A1961" i="34"/>
  <c r="A1965" i="34"/>
  <c r="A2009" i="34"/>
  <c r="A2013" i="34"/>
  <c r="A1567" i="34"/>
  <c r="A1569" i="34"/>
  <c r="A1571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20" i="34"/>
  <c r="A1822" i="34"/>
  <c r="A1824" i="34"/>
  <c r="A1826" i="34"/>
  <c r="A1854" i="34"/>
  <c r="A1856" i="34"/>
  <c r="A1858" i="34"/>
  <c r="A1860" i="34"/>
  <c r="A1862" i="34"/>
  <c r="A2216" i="34"/>
  <c r="A2217" i="34"/>
  <c r="A2296" i="34"/>
  <c r="A2308" i="34"/>
  <c r="A2400" i="34"/>
  <c r="A2404" i="34"/>
  <c r="A2408" i="34"/>
  <c r="A2412" i="34"/>
  <c r="A2416" i="34"/>
  <c r="A2420" i="34"/>
  <c r="A2424" i="34"/>
  <c r="A2428" i="34"/>
  <c r="A2110" i="34"/>
  <c r="A2113" i="34"/>
  <c r="A2117" i="34"/>
  <c r="A2125" i="34"/>
  <c r="A2129" i="34"/>
  <c r="A2133" i="34"/>
  <c r="A2137" i="34"/>
  <c r="A2141" i="34"/>
  <c r="A2196" i="34"/>
  <c r="A2200" i="34"/>
  <c r="A2262" i="34"/>
  <c r="A2266" i="34"/>
  <c r="A2270" i="34"/>
  <c r="A2274" i="34"/>
  <c r="A2278" i="34"/>
  <c r="A2282" i="34"/>
  <c r="A2286" i="34"/>
  <c r="A2045" i="34"/>
  <c r="A2049" i="34"/>
  <c r="A2053" i="34"/>
  <c r="A2076" i="34"/>
  <c r="A2080" i="34"/>
  <c r="A1885" i="34"/>
  <c r="A1968" i="34"/>
  <c r="A1972" i="34"/>
  <c r="A1976" i="34"/>
  <c r="A2022" i="34"/>
  <c r="A2026" i="34"/>
  <c r="A2030" i="34"/>
  <c r="A2055" i="34"/>
  <c r="A2059" i="34"/>
  <c r="A2063" i="34"/>
  <c r="A2084" i="34"/>
  <c r="A2088" i="34"/>
  <c r="A2108" i="34"/>
  <c r="A2143" i="34"/>
  <c r="A2287" i="34"/>
  <c r="A2144" i="34"/>
  <c r="A2148" i="34"/>
  <c r="A2152" i="34"/>
  <c r="A2156" i="34"/>
  <c r="A2160" i="34"/>
  <c r="A2205" i="34"/>
  <c r="A2209" i="34"/>
  <c r="A2213" i="34"/>
  <c r="A2103" i="34"/>
  <c r="A1886" i="34"/>
  <c r="A1890" i="34"/>
  <c r="A1980" i="34"/>
  <c r="A1986" i="34"/>
  <c r="A2098" i="34"/>
  <c r="A2105" i="34"/>
  <c r="A1933" i="34"/>
  <c r="A1937" i="34"/>
  <c r="A1941" i="34"/>
  <c r="A1990" i="34"/>
  <c r="A1994" i="34"/>
  <c r="A1998" i="34"/>
  <c r="A2071" i="34"/>
  <c r="A2091" i="34"/>
  <c r="A1892" i="34"/>
  <c r="A1883" i="34"/>
  <c r="A1896" i="34"/>
  <c r="A1900" i="34"/>
  <c r="A1904" i="34"/>
  <c r="A1908" i="34"/>
  <c r="A1915" i="34"/>
  <c r="A1919" i="34"/>
  <c r="A1946" i="34"/>
  <c r="A1950" i="34"/>
  <c r="A1923" i="34"/>
  <c r="A1927" i="34"/>
  <c r="A2004" i="34"/>
  <c r="A1954" i="34"/>
  <c r="A1958" i="34"/>
  <c r="A1962" i="34"/>
  <c r="A2006" i="34"/>
  <c r="A2010" i="34"/>
  <c r="A2014" i="34"/>
  <c r="B1061" i="34" l="1"/>
  <c r="B1024" i="34"/>
  <c r="B1023" i="34"/>
  <c r="B1022" i="34"/>
  <c r="B1018" i="34"/>
  <c r="B1017" i="34"/>
  <c r="B1016" i="34"/>
  <c r="B1015" i="34"/>
  <c r="B1014" i="34"/>
  <c r="B1012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618" i="34"/>
  <c r="B617" i="34"/>
  <c r="B609" i="34"/>
  <c r="B608" i="34"/>
  <c r="B607" i="34"/>
  <c r="B539" i="34"/>
  <c r="B538" i="34"/>
  <c r="B537" i="34"/>
  <c r="B536" i="34"/>
  <c r="B535" i="34"/>
  <c r="B534" i="34"/>
  <c r="B533" i="34"/>
  <c r="B531" i="34"/>
  <c r="B530" i="34"/>
  <c r="B529" i="34"/>
  <c r="B528" i="34"/>
  <c r="B527" i="34"/>
  <c r="B525" i="34"/>
  <c r="B524" i="34"/>
  <c r="B522" i="34"/>
  <c r="B521" i="34"/>
  <c r="B519" i="34"/>
  <c r="B518" i="34"/>
  <c r="B517" i="34"/>
  <c r="B515" i="34"/>
  <c r="B514" i="34"/>
  <c r="B513" i="34"/>
  <c r="B512" i="34"/>
  <c r="B511" i="34"/>
  <c r="B510" i="34"/>
  <c r="B509" i="34"/>
  <c r="B508" i="34"/>
  <c r="B507" i="34"/>
  <c r="B506" i="34"/>
  <c r="B505" i="34"/>
  <c r="B503" i="34"/>
  <c r="B502" i="34"/>
  <c r="B501" i="34"/>
  <c r="B499" i="34"/>
  <c r="B498" i="34"/>
  <c r="B497" i="34"/>
  <c r="B496" i="34"/>
  <c r="B495" i="34"/>
  <c r="B494" i="34"/>
  <c r="B493" i="34"/>
  <c r="B395" i="34"/>
  <c r="B394" i="34"/>
  <c r="B393" i="34"/>
  <c r="B392" i="34"/>
  <c r="B390" i="34"/>
  <c r="B389" i="34"/>
  <c r="B388" i="34"/>
  <c r="B387" i="34"/>
  <c r="B386" i="34"/>
  <c r="B385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69" i="34"/>
  <c r="B368" i="34"/>
  <c r="B366" i="34"/>
  <c r="B365" i="34"/>
  <c r="B364" i="34"/>
  <c r="B363" i="34"/>
  <c r="B362" i="34"/>
  <c r="B361" i="34"/>
  <c r="B360" i="34"/>
  <c r="B359" i="34"/>
  <c r="B1162" i="34"/>
  <c r="B1155" i="34"/>
  <c r="B1156" i="34"/>
  <c r="B1157" i="34"/>
  <c r="B1168" i="34"/>
  <c r="B1169" i="34"/>
  <c r="B1170" i="34"/>
  <c r="B1171" i="34"/>
  <c r="B1158" i="34"/>
  <c r="B1159" i="34"/>
  <c r="B1163" i="34"/>
  <c r="B1164" i="34"/>
  <c r="B1172" i="34"/>
  <c r="B1173" i="34"/>
  <c r="B1187" i="34"/>
  <c r="B1068" i="34"/>
  <c r="B1069" i="34"/>
  <c r="B1070" i="34"/>
  <c r="B1071" i="34"/>
  <c r="B1072" i="34"/>
  <c r="B1073" i="34"/>
  <c r="B1074" i="34"/>
  <c r="B1215" i="34"/>
  <c r="B1216" i="34"/>
  <c r="B1217" i="34"/>
  <c r="B1218" i="34"/>
  <c r="B1219" i="34"/>
  <c r="B1225" i="34"/>
  <c r="B1226" i="34"/>
  <c r="B1229" i="34"/>
  <c r="B1230" i="34"/>
  <c r="B1231" i="34"/>
  <c r="B1331" i="34"/>
  <c r="B1332" i="34"/>
  <c r="B1333" i="34"/>
  <c r="B1335" i="34"/>
  <c r="B1337" i="34"/>
  <c r="B1338" i="34"/>
  <c r="B1045" i="34"/>
  <c r="B1046" i="34"/>
  <c r="B1047" i="34"/>
  <c r="B1048" i="34"/>
  <c r="B1050" i="34"/>
  <c r="B1054" i="34"/>
  <c r="B1056" i="34"/>
  <c r="B1057" i="34"/>
  <c r="B1090" i="34"/>
  <c r="B1092" i="34"/>
  <c r="B1093" i="34"/>
  <c r="B1094" i="34"/>
  <c r="B1095" i="34"/>
  <c r="B1096" i="34"/>
  <c r="B1098" i="34"/>
  <c r="B1099" i="34"/>
  <c r="B1367" i="34"/>
  <c r="B1368" i="34"/>
  <c r="B1370" i="34"/>
  <c r="B1372" i="34"/>
  <c r="B1373" i="34"/>
  <c r="B1401" i="34"/>
  <c r="B1402" i="34"/>
  <c r="B1403" i="34"/>
  <c r="B1426" i="34"/>
  <c r="B1782" i="34"/>
  <c r="B1783" i="34"/>
  <c r="B1784" i="34"/>
  <c r="B1161" i="34"/>
  <c r="B1341" i="34"/>
  <c r="B1340" i="34"/>
  <c r="B1284" i="34"/>
  <c r="B1282" i="34"/>
  <c r="B1277" i="34"/>
  <c r="B1275" i="34"/>
  <c r="B1251" i="34"/>
  <c r="B1250" i="34"/>
  <c r="B1233" i="34"/>
  <c r="B1232" i="34"/>
  <c r="B1785" i="34"/>
  <c r="B1086" i="34"/>
  <c r="B1085" i="34"/>
  <c r="B1052" i="34"/>
  <c r="B1051" i="34"/>
  <c r="B1146" i="34"/>
  <c r="B1145" i="34"/>
  <c r="B1144" i="34"/>
  <c r="B1143" i="34"/>
  <c r="B1141" i="34"/>
  <c r="B1140" i="34"/>
  <c r="B1139" i="34"/>
  <c r="B1138" i="34"/>
  <c r="B1107" i="34"/>
  <c r="B1106" i="34"/>
  <c r="B1105" i="34"/>
  <c r="B1104" i="34"/>
  <c r="B1103" i="34"/>
  <c r="B1102" i="34"/>
  <c r="B1101" i="34"/>
  <c r="B1100" i="34"/>
  <c r="B1263" i="34"/>
  <c r="B1261" i="34"/>
  <c r="B1254" i="34"/>
  <c r="B1252" i="34"/>
  <c r="B1227" i="34"/>
  <c r="B1343" i="34"/>
  <c r="B1430" i="34"/>
  <c r="B1429" i="34"/>
  <c r="B1428" i="34"/>
  <c r="B1427" i="34"/>
  <c r="B1411" i="34"/>
  <c r="B1410" i="34"/>
  <c r="B1409" i="34"/>
  <c r="B1408" i="34"/>
  <c r="B1407" i="34"/>
  <c r="B1406" i="34"/>
  <c r="B1404" i="34"/>
  <c r="B1381" i="34"/>
  <c r="B1380" i="34"/>
  <c r="B1379" i="34"/>
  <c r="B1378" i="34"/>
  <c r="B1377" i="34"/>
  <c r="B1376" i="34"/>
  <c r="B1375" i="34"/>
  <c r="B1374" i="34"/>
  <c r="B1021" i="34"/>
  <c r="B1020" i="34"/>
  <c r="B1087" i="34"/>
  <c r="B1845" i="34"/>
  <c r="B1844" i="34"/>
  <c r="B1843" i="34"/>
  <c r="B1842" i="34"/>
  <c r="B1818" i="34"/>
  <c r="B1817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2379" i="34"/>
  <c r="B2324" i="34"/>
  <c r="B2323" i="34"/>
  <c r="B2322" i="34"/>
  <c r="B2321" i="34"/>
  <c r="B2320" i="34"/>
  <c r="B2319" i="34"/>
  <c r="B2318" i="34"/>
  <c r="B2317" i="34"/>
  <c r="B2316" i="34"/>
  <c r="B1310" i="34"/>
  <c r="B1309" i="34"/>
  <c r="B1298" i="34"/>
  <c r="B1296" i="34"/>
  <c r="B1293" i="34"/>
  <c r="B1291" i="34"/>
  <c r="B1185" i="34"/>
  <c r="B1184" i="34"/>
  <c r="B1137" i="34"/>
  <c r="B1067" i="34"/>
  <c r="B1852" i="34"/>
  <c r="B1851" i="34"/>
  <c r="B1850" i="34"/>
  <c r="B1849" i="34"/>
  <c r="B1848" i="34"/>
  <c r="B1847" i="34"/>
  <c r="B1846" i="34"/>
  <c r="B2112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121" i="34"/>
  <c r="B1876" i="34"/>
  <c r="B1891" i="34"/>
  <c r="B2107" i="34"/>
  <c r="B1875" i="34"/>
  <c r="P1891" i="34" l="1"/>
  <c r="Q1891" i="34"/>
  <c r="R1891" i="34"/>
  <c r="V1891" i="34"/>
  <c r="AA1891" i="34"/>
  <c r="R1875" i="34"/>
  <c r="V1875" i="34"/>
  <c r="P1875" i="34"/>
  <c r="AA1875" i="34"/>
  <c r="Q1875" i="34"/>
  <c r="R2121" i="34"/>
  <c r="V2121" i="34"/>
  <c r="AA2121" i="34"/>
  <c r="P2121" i="34"/>
  <c r="Q2121" i="34"/>
  <c r="R2383" i="34"/>
  <c r="V2383" i="34"/>
  <c r="AA2383" i="34"/>
  <c r="P2383" i="34"/>
  <c r="Q2383" i="34"/>
  <c r="R2387" i="34"/>
  <c r="V2387" i="34"/>
  <c r="AA2387" i="34"/>
  <c r="P2387" i="34"/>
  <c r="Q2387" i="34"/>
  <c r="R2391" i="34"/>
  <c r="V2391" i="34"/>
  <c r="AA2391" i="34"/>
  <c r="P2391" i="34"/>
  <c r="Q2391" i="34"/>
  <c r="R2395" i="34"/>
  <c r="V2395" i="34"/>
  <c r="AA2395" i="34"/>
  <c r="P2395" i="34"/>
  <c r="Q2395" i="34"/>
  <c r="R2399" i="34"/>
  <c r="V2399" i="34"/>
  <c r="AA2399" i="34"/>
  <c r="P2399" i="34"/>
  <c r="Q2399" i="34"/>
  <c r="P1848" i="34"/>
  <c r="R1848" i="34"/>
  <c r="V1848" i="34"/>
  <c r="AA1848" i="34"/>
  <c r="Q1848" i="34"/>
  <c r="P1852" i="34"/>
  <c r="R1852" i="34"/>
  <c r="V1852" i="34"/>
  <c r="AA1852" i="34"/>
  <c r="Q1852" i="34"/>
  <c r="AA1185" i="34"/>
  <c r="P1185" i="34"/>
  <c r="Q1185" i="34"/>
  <c r="R1185" i="34"/>
  <c r="V1185" i="34"/>
  <c r="P1298" i="34"/>
  <c r="Q1298" i="34"/>
  <c r="R1298" i="34"/>
  <c r="V1298" i="34"/>
  <c r="AA1298" i="34"/>
  <c r="R2317" i="34"/>
  <c r="V2317" i="34"/>
  <c r="AA2317" i="34"/>
  <c r="P2317" i="34"/>
  <c r="Q2317" i="34"/>
  <c r="R2321" i="34"/>
  <c r="V2321" i="34"/>
  <c r="AA2321" i="34"/>
  <c r="P2321" i="34"/>
  <c r="Q2321" i="34"/>
  <c r="R2379" i="34"/>
  <c r="V2379" i="34"/>
  <c r="AA2379" i="34"/>
  <c r="P2379" i="34"/>
  <c r="Q2379" i="34"/>
  <c r="R1761" i="34"/>
  <c r="V1761" i="34"/>
  <c r="AA1761" i="34"/>
  <c r="P1761" i="34"/>
  <c r="Q1761" i="34"/>
  <c r="R1787" i="34"/>
  <c r="V1787" i="34"/>
  <c r="AA1787" i="34"/>
  <c r="P1787" i="34"/>
  <c r="Q1787" i="34"/>
  <c r="R1791" i="34"/>
  <c r="V1791" i="34"/>
  <c r="AA1791" i="34"/>
  <c r="P1791" i="34"/>
  <c r="Q1791" i="34"/>
  <c r="P1812" i="34"/>
  <c r="Q1812" i="34"/>
  <c r="R1812" i="34"/>
  <c r="V1812" i="34"/>
  <c r="AA1812" i="34"/>
  <c r="P1816" i="34"/>
  <c r="Q1816" i="34"/>
  <c r="R1816" i="34"/>
  <c r="V1816" i="34"/>
  <c r="AA1816" i="34"/>
  <c r="R1843" i="34"/>
  <c r="V1843" i="34"/>
  <c r="P1843" i="34"/>
  <c r="Q1843" i="34"/>
  <c r="AA1843" i="34"/>
  <c r="P1020" i="34"/>
  <c r="Q1020" i="34"/>
  <c r="R1020" i="34"/>
  <c r="V1020" i="34"/>
  <c r="AA1020" i="34"/>
  <c r="P1376" i="34"/>
  <c r="T1376" i="34"/>
  <c r="Q1376" i="34"/>
  <c r="U1376" i="34"/>
  <c r="R1376" i="34"/>
  <c r="V1376" i="34"/>
  <c r="S1376" i="34"/>
  <c r="AA1376" i="34"/>
  <c r="P1380" i="34"/>
  <c r="T1380" i="34"/>
  <c r="Q1380" i="34"/>
  <c r="U1380" i="34"/>
  <c r="R1380" i="34"/>
  <c r="V1380" i="34"/>
  <c r="S1380" i="34"/>
  <c r="AA1380" i="34"/>
  <c r="R1407" i="34"/>
  <c r="V1407" i="34"/>
  <c r="S1407" i="34"/>
  <c r="AA1407" i="34"/>
  <c r="P1407" i="34"/>
  <c r="T1407" i="34"/>
  <c r="Q1407" i="34"/>
  <c r="U1407" i="34"/>
  <c r="R1411" i="34"/>
  <c r="V1411" i="34"/>
  <c r="S1411" i="34"/>
  <c r="AA1411" i="34"/>
  <c r="P1411" i="34"/>
  <c r="T1411" i="34"/>
  <c r="Q1411" i="34"/>
  <c r="U1411" i="34"/>
  <c r="P1430" i="34"/>
  <c r="Q1430" i="34"/>
  <c r="R1430" i="34"/>
  <c r="V1430" i="34"/>
  <c r="AA1430" i="34"/>
  <c r="P1254" i="34"/>
  <c r="R1254" i="34"/>
  <c r="V1254" i="34"/>
  <c r="AA1254" i="34"/>
  <c r="Q1254" i="34"/>
  <c r="AA1101" i="34"/>
  <c r="P1101" i="34"/>
  <c r="Q1101" i="34"/>
  <c r="R1101" i="34"/>
  <c r="V1101" i="34"/>
  <c r="AA1105" i="34"/>
  <c r="P1105" i="34"/>
  <c r="Q1105" i="34"/>
  <c r="R1105" i="34"/>
  <c r="V1105" i="34"/>
  <c r="AA1139" i="34"/>
  <c r="P1139" i="34"/>
  <c r="Q1139" i="34"/>
  <c r="R1139" i="34"/>
  <c r="V1139" i="34"/>
  <c r="Q1144" i="34"/>
  <c r="R1144" i="34"/>
  <c r="V1144" i="34"/>
  <c r="AA1144" i="34"/>
  <c r="P1144" i="34"/>
  <c r="P1052" i="34"/>
  <c r="Q1052" i="34"/>
  <c r="R1052" i="34"/>
  <c r="V1052" i="34"/>
  <c r="AA1052" i="34"/>
  <c r="Q1232" i="34"/>
  <c r="R1232" i="34"/>
  <c r="V1232" i="34"/>
  <c r="AA1232" i="34"/>
  <c r="P1232" i="34"/>
  <c r="R1275" i="34"/>
  <c r="V1275" i="34"/>
  <c r="AA1275" i="34"/>
  <c r="P1275" i="34"/>
  <c r="Q1275" i="34"/>
  <c r="P1340" i="34"/>
  <c r="Q1340" i="34"/>
  <c r="R1340" i="34"/>
  <c r="V1340" i="34"/>
  <c r="AA1340" i="34"/>
  <c r="R1783" i="34"/>
  <c r="V1783" i="34"/>
  <c r="AA1783" i="34"/>
  <c r="P1783" i="34"/>
  <c r="Q1783" i="34"/>
  <c r="P1402" i="34"/>
  <c r="T1402" i="34"/>
  <c r="Q1402" i="34"/>
  <c r="U1402" i="34"/>
  <c r="R1402" i="34"/>
  <c r="V1402" i="34"/>
  <c r="S1402" i="34"/>
  <c r="AA1402" i="34"/>
  <c r="P1370" i="34"/>
  <c r="T1370" i="34"/>
  <c r="Q1370" i="34"/>
  <c r="U1370" i="34"/>
  <c r="R1370" i="34"/>
  <c r="V1370" i="34"/>
  <c r="S1370" i="34"/>
  <c r="AA1370" i="34"/>
  <c r="Q1098" i="34"/>
  <c r="R1098" i="34"/>
  <c r="V1098" i="34"/>
  <c r="AA1098" i="34"/>
  <c r="P1098" i="34"/>
  <c r="AA1093" i="34"/>
  <c r="P1093" i="34"/>
  <c r="Q1093" i="34"/>
  <c r="R1093" i="34"/>
  <c r="V1093" i="34"/>
  <c r="P1056" i="34"/>
  <c r="Q1056" i="34"/>
  <c r="R1056" i="34"/>
  <c r="V1056" i="34"/>
  <c r="AA1056" i="34"/>
  <c r="R1047" i="34"/>
  <c r="V1047" i="34"/>
  <c r="AA1047" i="34"/>
  <c r="P1047" i="34"/>
  <c r="Q1047" i="34"/>
  <c r="R1337" i="34"/>
  <c r="V1337" i="34"/>
  <c r="AA1337" i="34"/>
  <c r="P1337" i="34"/>
  <c r="Q1337" i="34"/>
  <c r="R1331" i="34"/>
  <c r="V1331" i="34"/>
  <c r="AA1331" i="34"/>
  <c r="P1331" i="34"/>
  <c r="Q1331" i="34"/>
  <c r="Q1226" i="34"/>
  <c r="R1226" i="34"/>
  <c r="V1226" i="34"/>
  <c r="AA1226" i="34"/>
  <c r="P1226" i="34"/>
  <c r="AA1217" i="34"/>
  <c r="P1217" i="34"/>
  <c r="Q1217" i="34"/>
  <c r="R1217" i="34"/>
  <c r="V1217" i="34"/>
  <c r="R1073" i="34"/>
  <c r="V1073" i="34"/>
  <c r="AA1073" i="34"/>
  <c r="P1073" i="34"/>
  <c r="Q1073" i="34"/>
  <c r="R1069" i="34"/>
  <c r="V1069" i="34"/>
  <c r="AA1069" i="34"/>
  <c r="P1069" i="34"/>
  <c r="Q1069" i="34"/>
  <c r="Q1172" i="34"/>
  <c r="R1172" i="34"/>
  <c r="V1172" i="34"/>
  <c r="AA1172" i="34"/>
  <c r="P1172" i="34"/>
  <c r="Q1158" i="34"/>
  <c r="R1158" i="34"/>
  <c r="V1158" i="34"/>
  <c r="AA1158" i="34"/>
  <c r="P1158" i="34"/>
  <c r="Q1168" i="34"/>
  <c r="R1168" i="34"/>
  <c r="V1168" i="34"/>
  <c r="AA1168" i="34"/>
  <c r="P1168" i="34"/>
  <c r="Q1162" i="34"/>
  <c r="R1162" i="34"/>
  <c r="V1162" i="34"/>
  <c r="AA1162" i="34"/>
  <c r="P1162" i="34"/>
  <c r="R362" i="34"/>
  <c r="V362" i="34"/>
  <c r="P362" i="34"/>
  <c r="Q362" i="34"/>
  <c r="AA362" i="34"/>
  <c r="R366" i="34"/>
  <c r="V366" i="34"/>
  <c r="P366" i="34"/>
  <c r="Q366" i="34"/>
  <c r="AA366" i="34"/>
  <c r="Q372" i="34"/>
  <c r="R372" i="34"/>
  <c r="V372" i="34"/>
  <c r="AA372" i="34"/>
  <c r="P372" i="34"/>
  <c r="Q376" i="34"/>
  <c r="R376" i="34"/>
  <c r="V376" i="34"/>
  <c r="AA376" i="34"/>
  <c r="P376" i="34"/>
  <c r="Q380" i="34"/>
  <c r="R380" i="34"/>
  <c r="V380" i="34"/>
  <c r="AA380" i="34"/>
  <c r="P380" i="34"/>
  <c r="AA385" i="34"/>
  <c r="P385" i="34"/>
  <c r="Q385" i="34"/>
  <c r="R385" i="34"/>
  <c r="V385" i="34"/>
  <c r="AA389" i="34"/>
  <c r="P389" i="34"/>
  <c r="Q389" i="34"/>
  <c r="R389" i="34"/>
  <c r="V389" i="34"/>
  <c r="Q394" i="34"/>
  <c r="R394" i="34"/>
  <c r="V394" i="34"/>
  <c r="AA394" i="34"/>
  <c r="P394" i="34"/>
  <c r="P495" i="34"/>
  <c r="Q495" i="34"/>
  <c r="R495" i="34"/>
  <c r="V495" i="34"/>
  <c r="AA495" i="34"/>
  <c r="P499" i="34"/>
  <c r="R499" i="34"/>
  <c r="V499" i="34"/>
  <c r="AA499" i="34"/>
  <c r="Q499" i="34"/>
  <c r="R505" i="34"/>
  <c r="V505" i="34"/>
  <c r="P505" i="34"/>
  <c r="Q505" i="34"/>
  <c r="AA505" i="34"/>
  <c r="R509" i="34"/>
  <c r="V509" i="34"/>
  <c r="P509" i="34"/>
  <c r="Q509" i="34"/>
  <c r="AA509" i="34"/>
  <c r="R513" i="34"/>
  <c r="V513" i="34"/>
  <c r="AA513" i="34"/>
  <c r="P513" i="34"/>
  <c r="Q513" i="34"/>
  <c r="P518" i="34"/>
  <c r="Q518" i="34"/>
  <c r="R518" i="34"/>
  <c r="V518" i="34"/>
  <c r="AA518" i="34"/>
  <c r="P524" i="34"/>
  <c r="Q524" i="34"/>
  <c r="R524" i="34"/>
  <c r="V524" i="34"/>
  <c r="AA524" i="34"/>
  <c r="R529" i="34"/>
  <c r="V529" i="34"/>
  <c r="AA529" i="34"/>
  <c r="P529" i="34"/>
  <c r="Q529" i="34"/>
  <c r="P534" i="34"/>
  <c r="Q534" i="34"/>
  <c r="R534" i="34"/>
  <c r="V534" i="34"/>
  <c r="AA534" i="34"/>
  <c r="P538" i="34"/>
  <c r="Q538" i="34"/>
  <c r="R538" i="34"/>
  <c r="V538" i="34"/>
  <c r="AA538" i="34"/>
  <c r="R609" i="34"/>
  <c r="V609" i="34"/>
  <c r="AA609" i="34"/>
  <c r="P609" i="34"/>
  <c r="Q609" i="34"/>
  <c r="R953" i="34"/>
  <c r="V953" i="34"/>
  <c r="AA953" i="34"/>
  <c r="P953" i="34"/>
  <c r="Q953" i="34"/>
  <c r="R957" i="34"/>
  <c r="V957" i="34"/>
  <c r="AA957" i="34"/>
  <c r="P957" i="34"/>
  <c r="Q957" i="34"/>
  <c r="R961" i="34"/>
  <c r="V961" i="34"/>
  <c r="AA961" i="34"/>
  <c r="P961" i="34"/>
  <c r="Q961" i="34"/>
  <c r="R965" i="34"/>
  <c r="V965" i="34"/>
  <c r="AA965" i="34"/>
  <c r="P965" i="34"/>
  <c r="Q965" i="34"/>
  <c r="R969" i="34"/>
  <c r="V969" i="34"/>
  <c r="AA969" i="34"/>
  <c r="P969" i="34"/>
  <c r="Q969" i="34"/>
  <c r="R973" i="34"/>
  <c r="V973" i="34"/>
  <c r="AA973" i="34"/>
  <c r="P973" i="34"/>
  <c r="Q973" i="34"/>
  <c r="R977" i="34"/>
  <c r="V977" i="34"/>
  <c r="AA977" i="34"/>
  <c r="P977" i="34"/>
  <c r="Q977" i="34"/>
  <c r="R981" i="34"/>
  <c r="V981" i="34"/>
  <c r="AA981" i="34"/>
  <c r="P981" i="34"/>
  <c r="Q981" i="34"/>
  <c r="R985" i="34"/>
  <c r="V985" i="34"/>
  <c r="AA985" i="34"/>
  <c r="P985" i="34"/>
  <c r="Q985" i="34"/>
  <c r="R989" i="34"/>
  <c r="V989" i="34"/>
  <c r="AA989" i="34"/>
  <c r="P989" i="34"/>
  <c r="Q989" i="34"/>
  <c r="R993" i="34"/>
  <c r="V993" i="34"/>
  <c r="AA993" i="34"/>
  <c r="P993" i="34"/>
  <c r="Q993" i="34"/>
  <c r="R997" i="34"/>
  <c r="V997" i="34"/>
  <c r="AA997" i="34"/>
  <c r="P997" i="34"/>
  <c r="Q997" i="34"/>
  <c r="R1001" i="34"/>
  <c r="V1001" i="34"/>
  <c r="AA1001" i="34"/>
  <c r="P1001" i="34"/>
  <c r="Q1001" i="34"/>
  <c r="R1005" i="34"/>
  <c r="V1005" i="34"/>
  <c r="AA1005" i="34"/>
  <c r="P1005" i="34"/>
  <c r="Q1005" i="34"/>
  <c r="R1009" i="34"/>
  <c r="V1009" i="34"/>
  <c r="AA1009" i="34"/>
  <c r="P1009" i="34"/>
  <c r="Q1009" i="34"/>
  <c r="R1015" i="34"/>
  <c r="V1015" i="34"/>
  <c r="AA1015" i="34"/>
  <c r="P1015" i="34"/>
  <c r="Q1015" i="34"/>
  <c r="P1022" i="34"/>
  <c r="Q1022" i="34"/>
  <c r="R1022" i="34"/>
  <c r="V1022" i="34"/>
  <c r="AA1022" i="34"/>
  <c r="R2381" i="34"/>
  <c r="V2381" i="34"/>
  <c r="AA2381" i="34"/>
  <c r="P2381" i="34"/>
  <c r="Q2381" i="34"/>
  <c r="R2107" i="34"/>
  <c r="V2107" i="34"/>
  <c r="AA2107" i="34"/>
  <c r="P2107" i="34"/>
  <c r="Q2107" i="34"/>
  <c r="P2380" i="34"/>
  <c r="Q2380" i="34"/>
  <c r="R2380" i="34"/>
  <c r="V2380" i="34"/>
  <c r="AA2380" i="34"/>
  <c r="P2384" i="34"/>
  <c r="Q2384" i="34"/>
  <c r="R2384" i="34"/>
  <c r="V2384" i="34"/>
  <c r="AA2384" i="34"/>
  <c r="P2388" i="34"/>
  <c r="Q2388" i="34"/>
  <c r="R2388" i="34"/>
  <c r="V2388" i="34"/>
  <c r="AA2388" i="34"/>
  <c r="P2392" i="34"/>
  <c r="Q2392" i="34"/>
  <c r="R2392" i="34"/>
  <c r="V2392" i="34"/>
  <c r="AA2392" i="34"/>
  <c r="P2396" i="34"/>
  <c r="Q2396" i="34"/>
  <c r="R2396" i="34"/>
  <c r="V2396" i="34"/>
  <c r="AA2396" i="34"/>
  <c r="P2112" i="34"/>
  <c r="Q2112" i="34"/>
  <c r="R2112" i="34"/>
  <c r="V2112" i="34"/>
  <c r="AA2112" i="34"/>
  <c r="R1849" i="34"/>
  <c r="V1849" i="34"/>
  <c r="P1849" i="34"/>
  <c r="Q1849" i="34"/>
  <c r="AA1849" i="34"/>
  <c r="R1067" i="34"/>
  <c r="V1067" i="34"/>
  <c r="AA1067" i="34"/>
  <c r="P1067" i="34"/>
  <c r="Q1067" i="34"/>
  <c r="R1291" i="34"/>
  <c r="V1291" i="34"/>
  <c r="AA1291" i="34"/>
  <c r="P1291" i="34"/>
  <c r="Q1291" i="34"/>
  <c r="R1309" i="34"/>
  <c r="V1309" i="34"/>
  <c r="AA1309" i="34"/>
  <c r="P1309" i="34"/>
  <c r="Q1309" i="34"/>
  <c r="P2318" i="34"/>
  <c r="Q2318" i="34"/>
  <c r="R2318" i="34"/>
  <c r="V2318" i="34"/>
  <c r="AA2318" i="34"/>
  <c r="P2322" i="34"/>
  <c r="Q2322" i="34"/>
  <c r="R2322" i="34"/>
  <c r="V2322" i="34"/>
  <c r="AA2322" i="34"/>
  <c r="P1758" i="34"/>
  <c r="Q1758" i="34"/>
  <c r="R1758" i="34"/>
  <c r="V1758" i="34"/>
  <c r="AA1758" i="34"/>
  <c r="P1762" i="34"/>
  <c r="Q1762" i="34"/>
  <c r="R1762" i="34"/>
  <c r="V1762" i="34"/>
  <c r="AA1762" i="34"/>
  <c r="P1788" i="34"/>
  <c r="Q1788" i="34"/>
  <c r="R1788" i="34"/>
  <c r="V1788" i="34"/>
  <c r="AA1788" i="34"/>
  <c r="P1792" i="34"/>
  <c r="Q1792" i="34"/>
  <c r="R1792" i="34"/>
  <c r="V1792" i="34"/>
  <c r="AA1792" i="34"/>
  <c r="R1813" i="34"/>
  <c r="V1813" i="34"/>
  <c r="AA1813" i="34"/>
  <c r="P1813" i="34"/>
  <c r="Q1813" i="34"/>
  <c r="R1817" i="34"/>
  <c r="V1817" i="34"/>
  <c r="AA1817" i="34"/>
  <c r="P1817" i="34"/>
  <c r="Q1817" i="34"/>
  <c r="P1844" i="34"/>
  <c r="R1844" i="34"/>
  <c r="V1844" i="34"/>
  <c r="AA1844" i="34"/>
  <c r="Q1844" i="34"/>
  <c r="R1021" i="34"/>
  <c r="V1021" i="34"/>
  <c r="AA1021" i="34"/>
  <c r="P1021" i="34"/>
  <c r="Q1021" i="34"/>
  <c r="R1377" i="34"/>
  <c r="V1377" i="34"/>
  <c r="S1377" i="34"/>
  <c r="AA1377" i="34"/>
  <c r="P1377" i="34"/>
  <c r="T1377" i="34"/>
  <c r="Q1377" i="34"/>
  <c r="U1377" i="34"/>
  <c r="R1381" i="34"/>
  <c r="V1381" i="34"/>
  <c r="S1381" i="34"/>
  <c r="AA1381" i="34"/>
  <c r="P1381" i="34"/>
  <c r="T1381" i="34"/>
  <c r="Q1381" i="34"/>
  <c r="U1381" i="34"/>
  <c r="P1408" i="34"/>
  <c r="T1408" i="34"/>
  <c r="Q1408" i="34"/>
  <c r="U1408" i="34"/>
  <c r="R1408" i="34"/>
  <c r="V1408" i="34"/>
  <c r="S1408" i="34"/>
  <c r="AA1408" i="34"/>
  <c r="R1427" i="34"/>
  <c r="V1427" i="34"/>
  <c r="AA1427" i="34"/>
  <c r="P1427" i="34"/>
  <c r="Q1427" i="34"/>
  <c r="R1343" i="34"/>
  <c r="V1343" i="34"/>
  <c r="AA1343" i="34"/>
  <c r="P1343" i="34"/>
  <c r="Q1343" i="34"/>
  <c r="R1261" i="34"/>
  <c r="V1261" i="34"/>
  <c r="AA1261" i="34"/>
  <c r="P1261" i="34"/>
  <c r="Q1261" i="34"/>
  <c r="Q1102" i="34"/>
  <c r="R1102" i="34"/>
  <c r="V1102" i="34"/>
  <c r="AA1102" i="34"/>
  <c r="P1102" i="34"/>
  <c r="Q1106" i="34"/>
  <c r="R1106" i="34"/>
  <c r="V1106" i="34"/>
  <c r="AA1106" i="34"/>
  <c r="P1106" i="34"/>
  <c r="Q1140" i="34"/>
  <c r="R1140" i="34"/>
  <c r="V1140" i="34"/>
  <c r="AA1140" i="34"/>
  <c r="P1140" i="34"/>
  <c r="AA1145" i="34"/>
  <c r="P1145" i="34"/>
  <c r="Q1145" i="34"/>
  <c r="R1145" i="34"/>
  <c r="V1145" i="34"/>
  <c r="P1085" i="34"/>
  <c r="AA1085" i="34"/>
  <c r="Q1085" i="34"/>
  <c r="R1085" i="34"/>
  <c r="V1085" i="34"/>
  <c r="AA1233" i="34"/>
  <c r="P1233" i="34"/>
  <c r="Q1233" i="34"/>
  <c r="R1233" i="34"/>
  <c r="V1233" i="34"/>
  <c r="R1277" i="34"/>
  <c r="V1277" i="34"/>
  <c r="AA1277" i="34"/>
  <c r="P1277" i="34"/>
  <c r="Q1277" i="34"/>
  <c r="R1341" i="34"/>
  <c r="V1341" i="34"/>
  <c r="AA1341" i="34"/>
  <c r="P1341" i="34"/>
  <c r="Q1341" i="34"/>
  <c r="P1782" i="34"/>
  <c r="Q1782" i="34"/>
  <c r="R1782" i="34"/>
  <c r="V1782" i="34"/>
  <c r="AA1782" i="34"/>
  <c r="R1401" i="34"/>
  <c r="V1401" i="34"/>
  <c r="S1401" i="34"/>
  <c r="AA1401" i="34"/>
  <c r="P1401" i="34"/>
  <c r="T1401" i="34"/>
  <c r="Q1401" i="34"/>
  <c r="U1401" i="34"/>
  <c r="P1368" i="34"/>
  <c r="T1368" i="34"/>
  <c r="Q1368" i="34"/>
  <c r="U1368" i="34"/>
  <c r="R1368" i="34"/>
  <c r="V1368" i="34"/>
  <c r="S1368" i="34"/>
  <c r="AA1368" i="34"/>
  <c r="Q1096" i="34"/>
  <c r="R1096" i="34"/>
  <c r="V1096" i="34"/>
  <c r="AA1096" i="34"/>
  <c r="P1096" i="34"/>
  <c r="Q1092" i="34"/>
  <c r="R1092" i="34"/>
  <c r="V1092" i="34"/>
  <c r="AA1092" i="34"/>
  <c r="P1092" i="34"/>
  <c r="P1054" i="34"/>
  <c r="Q1054" i="34"/>
  <c r="R1054" i="34"/>
  <c r="V1054" i="34"/>
  <c r="AA1054" i="34"/>
  <c r="P1046" i="34"/>
  <c r="Q1046" i="34"/>
  <c r="R1046" i="34"/>
  <c r="V1046" i="34"/>
  <c r="AA1046" i="34"/>
  <c r="R1335" i="34"/>
  <c r="V1335" i="34"/>
  <c r="AA1335" i="34"/>
  <c r="P1335" i="34"/>
  <c r="Q1335" i="34"/>
  <c r="AA1231" i="34"/>
  <c r="P1231" i="34"/>
  <c r="Q1231" i="34"/>
  <c r="R1231" i="34"/>
  <c r="V1231" i="34"/>
  <c r="AA1225" i="34"/>
  <c r="P1225" i="34"/>
  <c r="Q1225" i="34"/>
  <c r="R1225" i="34"/>
  <c r="V1225" i="34"/>
  <c r="Q1216" i="34"/>
  <c r="R1216" i="34"/>
  <c r="V1216" i="34"/>
  <c r="AA1216" i="34"/>
  <c r="P1216" i="34"/>
  <c r="P1072" i="34"/>
  <c r="Q1072" i="34"/>
  <c r="R1072" i="34"/>
  <c r="V1072" i="34"/>
  <c r="AA1072" i="34"/>
  <c r="P1068" i="34"/>
  <c r="Q1068" i="34"/>
  <c r="R1068" i="34"/>
  <c r="V1068" i="34"/>
  <c r="AA1068" i="34"/>
  <c r="Q1164" i="34"/>
  <c r="R1164" i="34"/>
  <c r="V1164" i="34"/>
  <c r="AA1164" i="34"/>
  <c r="P1164" i="34"/>
  <c r="AA1171" i="34"/>
  <c r="P1171" i="34"/>
  <c r="Q1171" i="34"/>
  <c r="R1171" i="34"/>
  <c r="V1171" i="34"/>
  <c r="AA1157" i="34"/>
  <c r="P1157" i="34"/>
  <c r="Q1157" i="34"/>
  <c r="R1157" i="34"/>
  <c r="V1157" i="34"/>
  <c r="P359" i="34"/>
  <c r="Q359" i="34"/>
  <c r="R359" i="34"/>
  <c r="V359" i="34"/>
  <c r="AA359" i="34"/>
  <c r="P363" i="34"/>
  <c r="Q363" i="34"/>
  <c r="R363" i="34"/>
  <c r="V363" i="34"/>
  <c r="AA363" i="34"/>
  <c r="Q368" i="34"/>
  <c r="R368" i="34"/>
  <c r="V368" i="34"/>
  <c r="AA368" i="34"/>
  <c r="P368" i="34"/>
  <c r="AA373" i="34"/>
  <c r="P373" i="34"/>
  <c r="Q373" i="34"/>
  <c r="R373" i="34"/>
  <c r="V373" i="34"/>
  <c r="AA377" i="34"/>
  <c r="P377" i="34"/>
  <c r="Q377" i="34"/>
  <c r="R377" i="34"/>
  <c r="V377" i="34"/>
  <c r="AA381" i="34"/>
  <c r="P381" i="34"/>
  <c r="Q381" i="34"/>
  <c r="R381" i="34"/>
  <c r="V381" i="34"/>
  <c r="Q386" i="34"/>
  <c r="R386" i="34"/>
  <c r="V386" i="34"/>
  <c r="AA386" i="34"/>
  <c r="P386" i="34"/>
  <c r="Q390" i="34"/>
  <c r="R390" i="34"/>
  <c r="V390" i="34"/>
  <c r="AA390" i="34"/>
  <c r="P390" i="34"/>
  <c r="AA395" i="34"/>
  <c r="P395" i="34"/>
  <c r="Q395" i="34"/>
  <c r="R395" i="34"/>
  <c r="V395" i="34"/>
  <c r="R496" i="34"/>
  <c r="V496" i="34"/>
  <c r="AA496" i="34"/>
  <c r="P496" i="34"/>
  <c r="Q496" i="34"/>
  <c r="P501" i="34"/>
  <c r="R501" i="34"/>
  <c r="V501" i="34"/>
  <c r="AA501" i="34"/>
  <c r="Q501" i="34"/>
  <c r="P506" i="34"/>
  <c r="Q506" i="34"/>
  <c r="R506" i="34"/>
  <c r="V506" i="34"/>
  <c r="AA506" i="34"/>
  <c r="P510" i="34"/>
  <c r="Q510" i="34"/>
  <c r="R510" i="34"/>
  <c r="V510" i="34"/>
  <c r="AA510" i="34"/>
  <c r="P514" i="34"/>
  <c r="Q514" i="34"/>
  <c r="R514" i="34"/>
  <c r="V514" i="34"/>
  <c r="AA514" i="34"/>
  <c r="R519" i="34"/>
  <c r="V519" i="34"/>
  <c r="AA519" i="34"/>
  <c r="P519" i="34"/>
  <c r="Q519" i="34"/>
  <c r="R525" i="34"/>
  <c r="V525" i="34"/>
  <c r="AA525" i="34"/>
  <c r="P525" i="34"/>
  <c r="Q525" i="34"/>
  <c r="P530" i="34"/>
  <c r="Q530" i="34"/>
  <c r="R530" i="34"/>
  <c r="V530" i="34"/>
  <c r="AA530" i="34"/>
  <c r="R535" i="34"/>
  <c r="V535" i="34"/>
  <c r="AA535" i="34"/>
  <c r="P535" i="34"/>
  <c r="Q535" i="34"/>
  <c r="R539" i="34"/>
  <c r="V539" i="34"/>
  <c r="AA539" i="34"/>
  <c r="P539" i="34"/>
  <c r="Q539" i="34"/>
  <c r="R617" i="34"/>
  <c r="V617" i="34"/>
  <c r="AA617" i="34"/>
  <c r="P617" i="34"/>
  <c r="Q617" i="34"/>
  <c r="P954" i="34"/>
  <c r="Q954" i="34"/>
  <c r="R954" i="34"/>
  <c r="V954" i="34"/>
  <c r="AA954" i="34"/>
  <c r="P958" i="34"/>
  <c r="Q958" i="34"/>
  <c r="R958" i="34"/>
  <c r="V958" i="34"/>
  <c r="AA958" i="34"/>
  <c r="P962" i="34"/>
  <c r="Q962" i="34"/>
  <c r="R962" i="34"/>
  <c r="V962" i="34"/>
  <c r="AA962" i="34"/>
  <c r="P966" i="34"/>
  <c r="Q966" i="34"/>
  <c r="R966" i="34"/>
  <c r="V966" i="34"/>
  <c r="AA966" i="34"/>
  <c r="P970" i="34"/>
  <c r="Q970" i="34"/>
  <c r="R970" i="34"/>
  <c r="V970" i="34"/>
  <c r="AA970" i="34"/>
  <c r="P974" i="34"/>
  <c r="Q974" i="34"/>
  <c r="R974" i="34"/>
  <c r="V974" i="34"/>
  <c r="AA974" i="34"/>
  <c r="P978" i="34"/>
  <c r="Q978" i="34"/>
  <c r="R978" i="34"/>
  <c r="V978" i="34"/>
  <c r="AA978" i="34"/>
  <c r="P982" i="34"/>
  <c r="Q982" i="34"/>
  <c r="R982" i="34"/>
  <c r="V982" i="34"/>
  <c r="AA982" i="34"/>
  <c r="P986" i="34"/>
  <c r="Q986" i="34"/>
  <c r="R986" i="34"/>
  <c r="V986" i="34"/>
  <c r="AA986" i="34"/>
  <c r="P990" i="34"/>
  <c r="Q990" i="34"/>
  <c r="R990" i="34"/>
  <c r="V990" i="34"/>
  <c r="AA990" i="34"/>
  <c r="P994" i="34"/>
  <c r="Q994" i="34"/>
  <c r="R994" i="34"/>
  <c r="V994" i="34"/>
  <c r="AA994" i="34"/>
  <c r="P998" i="34"/>
  <c r="Q998" i="34"/>
  <c r="R998" i="34"/>
  <c r="V998" i="34"/>
  <c r="AA998" i="34"/>
  <c r="P1002" i="34"/>
  <c r="Q1002" i="34"/>
  <c r="R1002" i="34"/>
  <c r="V1002" i="34"/>
  <c r="AA1002" i="34"/>
  <c r="P1006" i="34"/>
  <c r="Q1006" i="34"/>
  <c r="R1006" i="34"/>
  <c r="V1006" i="34"/>
  <c r="AA1006" i="34"/>
  <c r="P1010" i="34"/>
  <c r="Q1010" i="34"/>
  <c r="R1010" i="34"/>
  <c r="V1010" i="34"/>
  <c r="AA1010" i="34"/>
  <c r="P1016" i="34"/>
  <c r="Q1016" i="34"/>
  <c r="R1016" i="34"/>
  <c r="V1016" i="34"/>
  <c r="AA1016" i="34"/>
  <c r="R1023" i="34"/>
  <c r="V1023" i="34"/>
  <c r="AA1023" i="34"/>
  <c r="P1023" i="34"/>
  <c r="Q1023" i="34"/>
  <c r="R2385" i="34"/>
  <c r="V2385" i="34"/>
  <c r="AA2385" i="34"/>
  <c r="P2385" i="34"/>
  <c r="Q2385" i="34"/>
  <c r="R2393" i="34"/>
  <c r="V2393" i="34"/>
  <c r="AA2393" i="34"/>
  <c r="P2393" i="34"/>
  <c r="Q2393" i="34"/>
  <c r="R2397" i="34"/>
  <c r="V2397" i="34"/>
  <c r="AA2397" i="34"/>
  <c r="P2397" i="34"/>
  <c r="Q2397" i="34"/>
  <c r="P1846" i="34"/>
  <c r="R1846" i="34"/>
  <c r="V1846" i="34"/>
  <c r="AA1846" i="34"/>
  <c r="Q1846" i="34"/>
  <c r="P1850" i="34"/>
  <c r="R1850" i="34"/>
  <c r="V1850" i="34"/>
  <c r="AA1850" i="34"/>
  <c r="Q1850" i="34"/>
  <c r="AA1137" i="34"/>
  <c r="P1137" i="34"/>
  <c r="Q1137" i="34"/>
  <c r="R1137" i="34"/>
  <c r="V1137" i="34"/>
  <c r="R1293" i="34"/>
  <c r="V1293" i="34"/>
  <c r="AA1293" i="34"/>
  <c r="P1293" i="34"/>
  <c r="Q1293" i="34"/>
  <c r="P1310" i="34"/>
  <c r="Q1310" i="34"/>
  <c r="R1310" i="34"/>
  <c r="V1310" i="34"/>
  <c r="AA1310" i="34"/>
  <c r="R2319" i="34"/>
  <c r="V2319" i="34"/>
  <c r="AA2319" i="34"/>
  <c r="P2319" i="34"/>
  <c r="Q2319" i="34"/>
  <c r="R2323" i="34"/>
  <c r="V2323" i="34"/>
  <c r="AA2323" i="34"/>
  <c r="P2323" i="34"/>
  <c r="Q2323" i="34"/>
  <c r="R1759" i="34"/>
  <c r="V1759" i="34"/>
  <c r="AA1759" i="34"/>
  <c r="P1759" i="34"/>
  <c r="Q1759" i="34"/>
  <c r="R1763" i="34"/>
  <c r="V1763" i="34"/>
  <c r="AA1763" i="34"/>
  <c r="P1763" i="34"/>
  <c r="Q1763" i="34"/>
  <c r="R1789" i="34"/>
  <c r="V1789" i="34"/>
  <c r="AA1789" i="34"/>
  <c r="P1789" i="34"/>
  <c r="Q1789" i="34"/>
  <c r="R1793" i="34"/>
  <c r="V1793" i="34"/>
  <c r="AA1793" i="34"/>
  <c r="P1793" i="34"/>
  <c r="Q1793" i="34"/>
  <c r="P1814" i="34"/>
  <c r="Q1814" i="34"/>
  <c r="R1814" i="34"/>
  <c r="V1814" i="34"/>
  <c r="AA1814" i="34"/>
  <c r="P1818" i="34"/>
  <c r="Q1818" i="34"/>
  <c r="R1818" i="34"/>
  <c r="V1818" i="34"/>
  <c r="AA1818" i="34"/>
  <c r="R1845" i="34"/>
  <c r="V1845" i="34"/>
  <c r="P1845" i="34"/>
  <c r="Q1845" i="34"/>
  <c r="AA1845" i="34"/>
  <c r="P1374" i="34"/>
  <c r="T1374" i="34"/>
  <c r="Q1374" i="34"/>
  <c r="U1374" i="34"/>
  <c r="R1374" i="34"/>
  <c r="V1374" i="34"/>
  <c r="S1374" i="34"/>
  <c r="AA1374" i="34"/>
  <c r="P1378" i="34"/>
  <c r="T1378" i="34"/>
  <c r="Q1378" i="34"/>
  <c r="U1378" i="34"/>
  <c r="R1378" i="34"/>
  <c r="V1378" i="34"/>
  <c r="S1378" i="34"/>
  <c r="AA1378" i="34"/>
  <c r="P1404" i="34"/>
  <c r="T1404" i="34"/>
  <c r="Q1404" i="34"/>
  <c r="U1404" i="34"/>
  <c r="R1404" i="34"/>
  <c r="V1404" i="34"/>
  <c r="S1404" i="34"/>
  <c r="AA1404" i="34"/>
  <c r="R1409" i="34"/>
  <c r="V1409" i="34"/>
  <c r="S1409" i="34"/>
  <c r="AA1409" i="34"/>
  <c r="P1409" i="34"/>
  <c r="T1409" i="34"/>
  <c r="Q1409" i="34"/>
  <c r="U1409" i="34"/>
  <c r="P1428" i="34"/>
  <c r="Q1428" i="34"/>
  <c r="R1428" i="34"/>
  <c r="V1428" i="34"/>
  <c r="AA1428" i="34"/>
  <c r="AA1227" i="34"/>
  <c r="P1227" i="34"/>
  <c r="Q1227" i="34"/>
  <c r="R1227" i="34"/>
  <c r="V1227" i="34"/>
  <c r="R1263" i="34"/>
  <c r="V1263" i="34"/>
  <c r="AA1263" i="34"/>
  <c r="P1263" i="34"/>
  <c r="Q1263" i="34"/>
  <c r="AA1103" i="34"/>
  <c r="P1103" i="34"/>
  <c r="Q1103" i="34"/>
  <c r="R1103" i="34"/>
  <c r="V1103" i="34"/>
  <c r="AA1107" i="34"/>
  <c r="P1107" i="34"/>
  <c r="Q1107" i="34"/>
  <c r="R1107" i="34"/>
  <c r="V1107" i="34"/>
  <c r="AA1141" i="34"/>
  <c r="P1141" i="34"/>
  <c r="Q1141" i="34"/>
  <c r="R1141" i="34"/>
  <c r="V1141" i="34"/>
  <c r="Q1146" i="34"/>
  <c r="R1146" i="34"/>
  <c r="V1146" i="34"/>
  <c r="AA1146" i="34"/>
  <c r="P1146" i="34"/>
  <c r="Q1086" i="34"/>
  <c r="R1086" i="34"/>
  <c r="V1086" i="34"/>
  <c r="AA1086" i="34"/>
  <c r="P1086" i="34"/>
  <c r="Q1250" i="34"/>
  <c r="P1250" i="34"/>
  <c r="R1250" i="34"/>
  <c r="V1250" i="34"/>
  <c r="AA1250" i="34"/>
  <c r="P1282" i="34"/>
  <c r="Q1282" i="34"/>
  <c r="R1282" i="34"/>
  <c r="V1282" i="34"/>
  <c r="AA1282" i="34"/>
  <c r="AA1161" i="34"/>
  <c r="P1161" i="34"/>
  <c r="Q1161" i="34"/>
  <c r="R1161" i="34"/>
  <c r="V1161" i="34"/>
  <c r="P1426" i="34"/>
  <c r="Q1426" i="34"/>
  <c r="R1426" i="34"/>
  <c r="V1426" i="34"/>
  <c r="AA1426" i="34"/>
  <c r="R1373" i="34"/>
  <c r="V1373" i="34"/>
  <c r="S1373" i="34"/>
  <c r="AA1373" i="34"/>
  <c r="P1373" i="34"/>
  <c r="T1373" i="34"/>
  <c r="Q1373" i="34"/>
  <c r="U1373" i="34"/>
  <c r="R1367" i="34"/>
  <c r="V1367" i="34"/>
  <c r="S1367" i="34"/>
  <c r="AA1367" i="34"/>
  <c r="P1367" i="34"/>
  <c r="T1367" i="34"/>
  <c r="Q1367" i="34"/>
  <c r="U1367" i="34"/>
  <c r="AA1095" i="34"/>
  <c r="P1095" i="34"/>
  <c r="Q1095" i="34"/>
  <c r="R1095" i="34"/>
  <c r="V1095" i="34"/>
  <c r="Q1090" i="34"/>
  <c r="R1090" i="34"/>
  <c r="V1090" i="34"/>
  <c r="AA1090" i="34"/>
  <c r="P1090" i="34"/>
  <c r="P1050" i="34"/>
  <c r="Q1050" i="34"/>
  <c r="R1050" i="34"/>
  <c r="V1050" i="34"/>
  <c r="AA1050" i="34"/>
  <c r="R1045" i="34"/>
  <c r="V1045" i="34"/>
  <c r="AA1045" i="34"/>
  <c r="P1045" i="34"/>
  <c r="Q1045" i="34"/>
  <c r="R1333" i="34"/>
  <c r="V1333" i="34"/>
  <c r="AA1333" i="34"/>
  <c r="P1333" i="34"/>
  <c r="Q1333" i="34"/>
  <c r="Q1230" i="34"/>
  <c r="R1230" i="34"/>
  <c r="V1230" i="34"/>
  <c r="AA1230" i="34"/>
  <c r="P1230" i="34"/>
  <c r="AA1219" i="34"/>
  <c r="P1219" i="34"/>
  <c r="Q1219" i="34"/>
  <c r="R1219" i="34"/>
  <c r="V1219" i="34"/>
  <c r="AA1215" i="34"/>
  <c r="P1215" i="34"/>
  <c r="Q1215" i="34"/>
  <c r="R1215" i="34"/>
  <c r="V1215" i="34"/>
  <c r="R1071" i="34"/>
  <c r="V1071" i="34"/>
  <c r="AA1071" i="34"/>
  <c r="P1071" i="34"/>
  <c r="Q1071" i="34"/>
  <c r="AA1187" i="34"/>
  <c r="P1187" i="34"/>
  <c r="Q1187" i="34"/>
  <c r="R1187" i="34"/>
  <c r="V1187" i="34"/>
  <c r="AA1163" i="34"/>
  <c r="P1163" i="34"/>
  <c r="Q1163" i="34"/>
  <c r="R1163" i="34"/>
  <c r="V1163" i="34"/>
  <c r="Q1170" i="34"/>
  <c r="R1170" i="34"/>
  <c r="V1170" i="34"/>
  <c r="AA1170" i="34"/>
  <c r="P1170" i="34"/>
  <c r="Q1156" i="34"/>
  <c r="R1156" i="34"/>
  <c r="V1156" i="34"/>
  <c r="AA1156" i="34"/>
  <c r="P1156" i="34"/>
  <c r="R360" i="34"/>
  <c r="V360" i="34"/>
  <c r="P360" i="34"/>
  <c r="Q360" i="34"/>
  <c r="AA360" i="34"/>
  <c r="R364" i="34"/>
  <c r="V364" i="34"/>
  <c r="P364" i="34"/>
  <c r="Q364" i="34"/>
  <c r="AA364" i="34"/>
  <c r="AA369" i="34"/>
  <c r="P369" i="34"/>
  <c r="Q369" i="34"/>
  <c r="R369" i="34"/>
  <c r="V369" i="34"/>
  <c r="Q374" i="34"/>
  <c r="R374" i="34"/>
  <c r="V374" i="34"/>
  <c r="AA374" i="34"/>
  <c r="P374" i="34"/>
  <c r="Q378" i="34"/>
  <c r="R378" i="34"/>
  <c r="V378" i="34"/>
  <c r="AA378" i="34"/>
  <c r="P378" i="34"/>
  <c r="Q382" i="34"/>
  <c r="R382" i="34"/>
  <c r="V382" i="34"/>
  <c r="AA382" i="34"/>
  <c r="P382" i="34"/>
  <c r="AA387" i="34"/>
  <c r="P387" i="34"/>
  <c r="Q387" i="34"/>
  <c r="R387" i="34"/>
  <c r="V387" i="34"/>
  <c r="Q392" i="34"/>
  <c r="R392" i="34"/>
  <c r="V392" i="34"/>
  <c r="AA392" i="34"/>
  <c r="P392" i="34"/>
  <c r="P493" i="34"/>
  <c r="Q493" i="34"/>
  <c r="R493" i="34"/>
  <c r="V493" i="34"/>
  <c r="AA493" i="34"/>
  <c r="P497" i="34"/>
  <c r="Q497" i="34"/>
  <c r="R497" i="34"/>
  <c r="V497" i="34"/>
  <c r="AA497" i="34"/>
  <c r="R502" i="34"/>
  <c r="V502" i="34"/>
  <c r="P502" i="34"/>
  <c r="Q502" i="34"/>
  <c r="AA502" i="34"/>
  <c r="R507" i="34"/>
  <c r="V507" i="34"/>
  <c r="P507" i="34"/>
  <c r="Q507" i="34"/>
  <c r="AA507" i="34"/>
  <c r="R511" i="34"/>
  <c r="V511" i="34"/>
  <c r="AA511" i="34"/>
  <c r="P511" i="34"/>
  <c r="Q511" i="34"/>
  <c r="R515" i="34"/>
  <c r="V515" i="34"/>
  <c r="AA515" i="34"/>
  <c r="P515" i="34"/>
  <c r="Q515" i="34"/>
  <c r="R521" i="34"/>
  <c r="V521" i="34"/>
  <c r="AA521" i="34"/>
  <c r="P521" i="34"/>
  <c r="Q521" i="34"/>
  <c r="R527" i="34"/>
  <c r="V527" i="34"/>
  <c r="AA527" i="34"/>
  <c r="P527" i="34"/>
  <c r="Q527" i="34"/>
  <c r="R531" i="34"/>
  <c r="V531" i="34"/>
  <c r="AA531" i="34"/>
  <c r="P531" i="34"/>
  <c r="Q531" i="34"/>
  <c r="P536" i="34"/>
  <c r="Q536" i="34"/>
  <c r="R536" i="34"/>
  <c r="V536" i="34"/>
  <c r="AA536" i="34"/>
  <c r="R607" i="34"/>
  <c r="V607" i="34"/>
  <c r="AA607" i="34"/>
  <c r="P607" i="34"/>
  <c r="Q607" i="34"/>
  <c r="P618" i="34"/>
  <c r="Q618" i="34"/>
  <c r="R618" i="34"/>
  <c r="V618" i="34"/>
  <c r="AA618" i="34"/>
  <c r="R955" i="34"/>
  <c r="V955" i="34"/>
  <c r="AA955" i="34"/>
  <c r="P955" i="34"/>
  <c r="Q955" i="34"/>
  <c r="R959" i="34"/>
  <c r="V959" i="34"/>
  <c r="AA959" i="34"/>
  <c r="P959" i="34"/>
  <c r="Q959" i="34"/>
  <c r="R963" i="34"/>
  <c r="V963" i="34"/>
  <c r="AA963" i="34"/>
  <c r="P963" i="34"/>
  <c r="Q963" i="34"/>
  <c r="R967" i="34"/>
  <c r="V967" i="34"/>
  <c r="AA967" i="34"/>
  <c r="P967" i="34"/>
  <c r="Q967" i="34"/>
  <c r="R971" i="34"/>
  <c r="V971" i="34"/>
  <c r="AA971" i="34"/>
  <c r="P971" i="34"/>
  <c r="Q971" i="34"/>
  <c r="R975" i="34"/>
  <c r="V975" i="34"/>
  <c r="AA975" i="34"/>
  <c r="P975" i="34"/>
  <c r="Q975" i="34"/>
  <c r="R979" i="34"/>
  <c r="V979" i="34"/>
  <c r="AA979" i="34"/>
  <c r="P979" i="34"/>
  <c r="Q979" i="34"/>
  <c r="R983" i="34"/>
  <c r="V983" i="34"/>
  <c r="AA983" i="34"/>
  <c r="P983" i="34"/>
  <c r="Q983" i="34"/>
  <c r="R987" i="34"/>
  <c r="V987" i="34"/>
  <c r="AA987" i="34"/>
  <c r="P987" i="34"/>
  <c r="Q987" i="34"/>
  <c r="R991" i="34"/>
  <c r="V991" i="34"/>
  <c r="AA991" i="34"/>
  <c r="P991" i="34"/>
  <c r="Q991" i="34"/>
  <c r="R995" i="34"/>
  <c r="V995" i="34"/>
  <c r="AA995" i="34"/>
  <c r="P995" i="34"/>
  <c r="Q995" i="34"/>
  <c r="R999" i="34"/>
  <c r="V999" i="34"/>
  <c r="AA999" i="34"/>
  <c r="P999" i="34"/>
  <c r="Q999" i="34"/>
  <c r="R1003" i="34"/>
  <c r="V1003" i="34"/>
  <c r="AA1003" i="34"/>
  <c r="P1003" i="34"/>
  <c r="Q1003" i="34"/>
  <c r="R1007" i="34"/>
  <c r="V1007" i="34"/>
  <c r="AA1007" i="34"/>
  <c r="P1007" i="34"/>
  <c r="Q1007" i="34"/>
  <c r="P1012" i="34"/>
  <c r="Q1012" i="34"/>
  <c r="R1012" i="34"/>
  <c r="V1012" i="34"/>
  <c r="AA1012" i="34"/>
  <c r="R1017" i="34"/>
  <c r="V1017" i="34"/>
  <c r="AA1017" i="34"/>
  <c r="P1017" i="34"/>
  <c r="Q1017" i="34"/>
  <c r="P1024" i="34"/>
  <c r="Q1024" i="34"/>
  <c r="R1024" i="34"/>
  <c r="V1024" i="34"/>
  <c r="AA1024" i="34"/>
  <c r="R2389" i="34"/>
  <c r="V2389" i="34"/>
  <c r="AA2389" i="34"/>
  <c r="P2389" i="34"/>
  <c r="Q2389" i="34"/>
  <c r="P1876" i="34"/>
  <c r="R1876" i="34"/>
  <c r="V1876" i="34"/>
  <c r="AA1876" i="34"/>
  <c r="Q1876" i="34"/>
  <c r="P2382" i="34"/>
  <c r="Q2382" i="34"/>
  <c r="R2382" i="34"/>
  <c r="V2382" i="34"/>
  <c r="AA2382" i="34"/>
  <c r="P2386" i="34"/>
  <c r="Q2386" i="34"/>
  <c r="R2386" i="34"/>
  <c r="V2386" i="34"/>
  <c r="AA2386" i="34"/>
  <c r="P2390" i="34"/>
  <c r="Q2390" i="34"/>
  <c r="R2390" i="34"/>
  <c r="V2390" i="34"/>
  <c r="AA2390" i="34"/>
  <c r="P2394" i="34"/>
  <c r="Q2394" i="34"/>
  <c r="R2394" i="34"/>
  <c r="V2394" i="34"/>
  <c r="AA2394" i="34"/>
  <c r="P2398" i="34"/>
  <c r="Q2398" i="34"/>
  <c r="R2398" i="34"/>
  <c r="V2398" i="34"/>
  <c r="AA2398" i="34"/>
  <c r="R1847" i="34"/>
  <c r="V1847" i="34"/>
  <c r="P1847" i="34"/>
  <c r="Q1847" i="34"/>
  <c r="AA1847" i="34"/>
  <c r="R1851" i="34"/>
  <c r="V1851" i="34"/>
  <c r="P1851" i="34"/>
  <c r="Q1851" i="34"/>
  <c r="AA1851" i="34"/>
  <c r="Q1184" i="34"/>
  <c r="R1184" i="34"/>
  <c r="V1184" i="34"/>
  <c r="AA1184" i="34"/>
  <c r="P1184" i="34"/>
  <c r="P1296" i="34"/>
  <c r="Q1296" i="34"/>
  <c r="R1296" i="34"/>
  <c r="V1296" i="34"/>
  <c r="AA1296" i="34"/>
  <c r="P2316" i="34"/>
  <c r="Q2316" i="34"/>
  <c r="R2316" i="34"/>
  <c r="V2316" i="34"/>
  <c r="AA2316" i="34"/>
  <c r="P2320" i="34"/>
  <c r="Q2320" i="34"/>
  <c r="R2320" i="34"/>
  <c r="V2320" i="34"/>
  <c r="AA2320" i="34"/>
  <c r="P2324" i="34"/>
  <c r="Q2324" i="34"/>
  <c r="R2324" i="34"/>
  <c r="V2324" i="34"/>
  <c r="AA2324" i="34"/>
  <c r="P1760" i="34"/>
  <c r="Q1760" i="34"/>
  <c r="R1760" i="34"/>
  <c r="V1760" i="34"/>
  <c r="AA1760" i="34"/>
  <c r="P1786" i="34"/>
  <c r="Q1786" i="34"/>
  <c r="R1786" i="34"/>
  <c r="V1786" i="34"/>
  <c r="AA1786" i="34"/>
  <c r="P1790" i="34"/>
  <c r="Q1790" i="34"/>
  <c r="R1790" i="34"/>
  <c r="V1790" i="34"/>
  <c r="AA1790" i="34"/>
  <c r="R1811" i="34"/>
  <c r="V1811" i="34"/>
  <c r="AA1811" i="34"/>
  <c r="P1811" i="34"/>
  <c r="Q1811" i="34"/>
  <c r="R1815" i="34"/>
  <c r="V1815" i="34"/>
  <c r="AA1815" i="34"/>
  <c r="P1815" i="34"/>
  <c r="Q1815" i="34"/>
  <c r="P1842" i="34"/>
  <c r="R1842" i="34"/>
  <c r="V1842" i="34"/>
  <c r="AA1842" i="34"/>
  <c r="Q1842" i="34"/>
  <c r="AA1087" i="34"/>
  <c r="P1087" i="34"/>
  <c r="Q1087" i="34"/>
  <c r="R1087" i="34"/>
  <c r="V1087" i="34"/>
  <c r="R1375" i="34"/>
  <c r="V1375" i="34"/>
  <c r="S1375" i="34"/>
  <c r="AA1375" i="34"/>
  <c r="P1375" i="34"/>
  <c r="T1375" i="34"/>
  <c r="Q1375" i="34"/>
  <c r="U1375" i="34"/>
  <c r="R1379" i="34"/>
  <c r="V1379" i="34"/>
  <c r="S1379" i="34"/>
  <c r="AA1379" i="34"/>
  <c r="P1379" i="34"/>
  <c r="T1379" i="34"/>
  <c r="Q1379" i="34"/>
  <c r="U1379" i="34"/>
  <c r="P1406" i="34"/>
  <c r="T1406" i="34"/>
  <c r="Q1406" i="34"/>
  <c r="U1406" i="34"/>
  <c r="R1406" i="34"/>
  <c r="V1406" i="34"/>
  <c r="S1406" i="34"/>
  <c r="AA1406" i="34"/>
  <c r="P1410" i="34"/>
  <c r="T1410" i="34"/>
  <c r="Q1410" i="34"/>
  <c r="U1410" i="34"/>
  <c r="R1410" i="34"/>
  <c r="V1410" i="34"/>
  <c r="S1410" i="34"/>
  <c r="AA1410" i="34"/>
  <c r="R1429" i="34"/>
  <c r="V1429" i="34"/>
  <c r="AA1429" i="34"/>
  <c r="P1429" i="34"/>
  <c r="Q1429" i="34"/>
  <c r="P1252" i="34"/>
  <c r="R1252" i="34"/>
  <c r="V1252" i="34"/>
  <c r="AA1252" i="34"/>
  <c r="Q1252" i="34"/>
  <c r="Q1100" i="34"/>
  <c r="R1100" i="34"/>
  <c r="V1100" i="34"/>
  <c r="AA1100" i="34"/>
  <c r="P1100" i="34"/>
  <c r="Q1104" i="34"/>
  <c r="R1104" i="34"/>
  <c r="V1104" i="34"/>
  <c r="AA1104" i="34"/>
  <c r="P1104" i="34"/>
  <c r="Q1138" i="34"/>
  <c r="R1138" i="34"/>
  <c r="V1138" i="34"/>
  <c r="AA1138" i="34"/>
  <c r="P1138" i="34"/>
  <c r="AA1143" i="34"/>
  <c r="P1143" i="34"/>
  <c r="Q1143" i="34"/>
  <c r="R1143" i="34"/>
  <c r="V1143" i="34"/>
  <c r="R1051" i="34"/>
  <c r="V1051" i="34"/>
  <c r="AA1051" i="34"/>
  <c r="P1051" i="34"/>
  <c r="Q1051" i="34"/>
  <c r="R1785" i="34"/>
  <c r="V1785" i="34"/>
  <c r="AA1785" i="34"/>
  <c r="P1785" i="34"/>
  <c r="Q1785" i="34"/>
  <c r="R1251" i="34"/>
  <c r="V1251" i="34"/>
  <c r="Q1251" i="34"/>
  <c r="AA1251" i="34"/>
  <c r="P1251" i="34"/>
  <c r="P1284" i="34"/>
  <c r="Q1284" i="34"/>
  <c r="R1284" i="34"/>
  <c r="V1284" i="34"/>
  <c r="AA1284" i="34"/>
  <c r="P1784" i="34"/>
  <c r="Q1784" i="34"/>
  <c r="R1784" i="34"/>
  <c r="V1784" i="34"/>
  <c r="AA1784" i="34"/>
  <c r="R1403" i="34"/>
  <c r="V1403" i="34"/>
  <c r="S1403" i="34"/>
  <c r="AA1403" i="34"/>
  <c r="P1403" i="34"/>
  <c r="T1403" i="34"/>
  <c r="Q1403" i="34"/>
  <c r="U1403" i="34"/>
  <c r="P1372" i="34"/>
  <c r="T1372" i="34"/>
  <c r="Q1372" i="34"/>
  <c r="U1372" i="34"/>
  <c r="R1372" i="34"/>
  <c r="V1372" i="34"/>
  <c r="S1372" i="34"/>
  <c r="AA1372" i="34"/>
  <c r="AA1099" i="34"/>
  <c r="P1099" i="34"/>
  <c r="Q1099" i="34"/>
  <c r="R1099" i="34"/>
  <c r="V1099" i="34"/>
  <c r="Q1094" i="34"/>
  <c r="R1094" i="34"/>
  <c r="V1094" i="34"/>
  <c r="AA1094" i="34"/>
  <c r="P1094" i="34"/>
  <c r="R1057" i="34"/>
  <c r="V1057" i="34"/>
  <c r="AA1057" i="34"/>
  <c r="P1057" i="34"/>
  <c r="Q1057" i="34"/>
  <c r="P1048" i="34"/>
  <c r="Q1048" i="34"/>
  <c r="R1048" i="34"/>
  <c r="V1048" i="34"/>
  <c r="AA1048" i="34"/>
  <c r="P1338" i="34"/>
  <c r="Q1338" i="34"/>
  <c r="R1338" i="34"/>
  <c r="V1338" i="34"/>
  <c r="AA1338" i="34"/>
  <c r="P1332" i="34"/>
  <c r="Q1332" i="34"/>
  <c r="R1332" i="34"/>
  <c r="V1332" i="34"/>
  <c r="AA1332" i="34"/>
  <c r="AA1229" i="34"/>
  <c r="P1229" i="34"/>
  <c r="Q1229" i="34"/>
  <c r="R1229" i="34"/>
  <c r="V1229" i="34"/>
  <c r="Q1218" i="34"/>
  <c r="R1218" i="34"/>
  <c r="V1218" i="34"/>
  <c r="AA1218" i="34"/>
  <c r="P1218" i="34"/>
  <c r="P1074" i="34"/>
  <c r="Q1074" i="34"/>
  <c r="R1074" i="34"/>
  <c r="V1074" i="34"/>
  <c r="AA1074" i="34"/>
  <c r="P1070" i="34"/>
  <c r="Q1070" i="34"/>
  <c r="R1070" i="34"/>
  <c r="V1070" i="34"/>
  <c r="AA1070" i="34"/>
  <c r="AA1173" i="34"/>
  <c r="P1173" i="34"/>
  <c r="Q1173" i="34"/>
  <c r="R1173" i="34"/>
  <c r="V1173" i="34"/>
  <c r="AA1159" i="34"/>
  <c r="P1159" i="34"/>
  <c r="Q1159" i="34"/>
  <c r="R1159" i="34"/>
  <c r="V1159" i="34"/>
  <c r="AA1169" i="34"/>
  <c r="P1169" i="34"/>
  <c r="Q1169" i="34"/>
  <c r="R1169" i="34"/>
  <c r="V1169" i="34"/>
  <c r="AA1155" i="34"/>
  <c r="P1155" i="34"/>
  <c r="Q1155" i="34"/>
  <c r="R1155" i="34"/>
  <c r="V1155" i="34"/>
  <c r="P361" i="34"/>
  <c r="Q361" i="34"/>
  <c r="R361" i="34"/>
  <c r="V361" i="34"/>
  <c r="AA361" i="34"/>
  <c r="P365" i="34"/>
  <c r="Q365" i="34"/>
  <c r="R365" i="34"/>
  <c r="V365" i="34"/>
  <c r="AA365" i="34"/>
  <c r="AA371" i="34"/>
  <c r="P371" i="34"/>
  <c r="Q371" i="34"/>
  <c r="R371" i="34"/>
  <c r="V371" i="34"/>
  <c r="AA375" i="34"/>
  <c r="P375" i="34"/>
  <c r="Q375" i="34"/>
  <c r="R375" i="34"/>
  <c r="V375" i="34"/>
  <c r="AA379" i="34"/>
  <c r="P379" i="34"/>
  <c r="Q379" i="34"/>
  <c r="R379" i="34"/>
  <c r="V379" i="34"/>
  <c r="AA383" i="34"/>
  <c r="P383" i="34"/>
  <c r="Q383" i="34"/>
  <c r="R383" i="34"/>
  <c r="V383" i="34"/>
  <c r="Q388" i="34"/>
  <c r="R388" i="34"/>
  <c r="V388" i="34"/>
  <c r="AA388" i="34"/>
  <c r="P388" i="34"/>
  <c r="AA393" i="34"/>
  <c r="P393" i="34"/>
  <c r="Q393" i="34"/>
  <c r="R393" i="34"/>
  <c r="V393" i="34"/>
  <c r="R494" i="34"/>
  <c r="V494" i="34"/>
  <c r="AA494" i="34"/>
  <c r="P494" i="34"/>
  <c r="Q494" i="34"/>
  <c r="R498" i="34"/>
  <c r="V498" i="34"/>
  <c r="AA498" i="34"/>
  <c r="P498" i="34"/>
  <c r="Q498" i="34"/>
  <c r="P503" i="34"/>
  <c r="R503" i="34"/>
  <c r="V503" i="34"/>
  <c r="AA503" i="34"/>
  <c r="Q503" i="34"/>
  <c r="P508" i="34"/>
  <c r="Q508" i="34"/>
  <c r="R508" i="34"/>
  <c r="V508" i="34"/>
  <c r="AA508" i="34"/>
  <c r="P512" i="34"/>
  <c r="Q512" i="34"/>
  <c r="R512" i="34"/>
  <c r="V512" i="34"/>
  <c r="AA512" i="34"/>
  <c r="R517" i="34"/>
  <c r="V517" i="34"/>
  <c r="AA517" i="34"/>
  <c r="P517" i="34"/>
  <c r="Q517" i="34"/>
  <c r="P522" i="34"/>
  <c r="Q522" i="34"/>
  <c r="R522" i="34"/>
  <c r="V522" i="34"/>
  <c r="AA522" i="34"/>
  <c r="P528" i="34"/>
  <c r="Q528" i="34"/>
  <c r="R528" i="34"/>
  <c r="V528" i="34"/>
  <c r="AA528" i="34"/>
  <c r="R533" i="34"/>
  <c r="V533" i="34"/>
  <c r="AA533" i="34"/>
  <c r="P533" i="34"/>
  <c r="Q533" i="34"/>
  <c r="R537" i="34"/>
  <c r="V537" i="34"/>
  <c r="AA537" i="34"/>
  <c r="P537" i="34"/>
  <c r="Q537" i="34"/>
  <c r="P608" i="34"/>
  <c r="Q608" i="34"/>
  <c r="R608" i="34"/>
  <c r="V608" i="34"/>
  <c r="AA608" i="34"/>
  <c r="P952" i="34"/>
  <c r="Q952" i="34"/>
  <c r="R952" i="34"/>
  <c r="V952" i="34"/>
  <c r="AA952" i="34"/>
  <c r="P956" i="34"/>
  <c r="Q956" i="34"/>
  <c r="R956" i="34"/>
  <c r="V956" i="34"/>
  <c r="AA956" i="34"/>
  <c r="P960" i="34"/>
  <c r="Q960" i="34"/>
  <c r="R960" i="34"/>
  <c r="V960" i="34"/>
  <c r="AA960" i="34"/>
  <c r="P964" i="34"/>
  <c r="Q964" i="34"/>
  <c r="R964" i="34"/>
  <c r="V964" i="34"/>
  <c r="AA964" i="34"/>
  <c r="P968" i="34"/>
  <c r="Q968" i="34"/>
  <c r="R968" i="34"/>
  <c r="V968" i="34"/>
  <c r="AA968" i="34"/>
  <c r="P972" i="34"/>
  <c r="Q972" i="34"/>
  <c r="R972" i="34"/>
  <c r="V972" i="34"/>
  <c r="AA972" i="34"/>
  <c r="P976" i="34"/>
  <c r="Q976" i="34"/>
  <c r="R976" i="34"/>
  <c r="V976" i="34"/>
  <c r="AA976" i="34"/>
  <c r="P980" i="34"/>
  <c r="Q980" i="34"/>
  <c r="R980" i="34"/>
  <c r="V980" i="34"/>
  <c r="AA980" i="34"/>
  <c r="P984" i="34"/>
  <c r="Q984" i="34"/>
  <c r="R984" i="34"/>
  <c r="V984" i="34"/>
  <c r="AA984" i="34"/>
  <c r="P988" i="34"/>
  <c r="Q988" i="34"/>
  <c r="R988" i="34"/>
  <c r="V988" i="34"/>
  <c r="AA988" i="34"/>
  <c r="P992" i="34"/>
  <c r="Q992" i="34"/>
  <c r="R992" i="34"/>
  <c r="V992" i="34"/>
  <c r="AA992" i="34"/>
  <c r="P996" i="34"/>
  <c r="Q996" i="34"/>
  <c r="R996" i="34"/>
  <c r="V996" i="34"/>
  <c r="AA996" i="34"/>
  <c r="P1000" i="34"/>
  <c r="Q1000" i="34"/>
  <c r="R1000" i="34"/>
  <c r="V1000" i="34"/>
  <c r="AA1000" i="34"/>
  <c r="P1004" i="34"/>
  <c r="Q1004" i="34"/>
  <c r="R1004" i="34"/>
  <c r="V1004" i="34"/>
  <c r="AA1004" i="34"/>
  <c r="P1008" i="34"/>
  <c r="Q1008" i="34"/>
  <c r="R1008" i="34"/>
  <c r="V1008" i="34"/>
  <c r="AA1008" i="34"/>
  <c r="P1014" i="34"/>
  <c r="Q1014" i="34"/>
  <c r="R1014" i="34"/>
  <c r="V1014" i="34"/>
  <c r="AA1014" i="34"/>
  <c r="P1018" i="34"/>
  <c r="Q1018" i="34"/>
  <c r="R1018" i="34"/>
  <c r="V1018" i="34"/>
  <c r="AA1018" i="34"/>
  <c r="R1061" i="34"/>
  <c r="V1061" i="34"/>
  <c r="AA1061" i="34"/>
  <c r="P1061" i="34"/>
  <c r="Q1061" i="34"/>
  <c r="A1067" i="34"/>
  <c r="A1291" i="34"/>
  <c r="A1309" i="34"/>
  <c r="A1531" i="34"/>
  <c r="A1535" i="34"/>
  <c r="A1539" i="34"/>
  <c r="A1374" i="34"/>
  <c r="A1378" i="34"/>
  <c r="A1404" i="34"/>
  <c r="A1409" i="34"/>
  <c r="A1427" i="34"/>
  <c r="A1430" i="34"/>
  <c r="A1343" i="34"/>
  <c r="A1261" i="34"/>
  <c r="A1102" i="34"/>
  <c r="A1106" i="34"/>
  <c r="A1140" i="34"/>
  <c r="A1145" i="34"/>
  <c r="A1085" i="34"/>
  <c r="A1233" i="34"/>
  <c r="A1277" i="34"/>
  <c r="A1341" i="34"/>
  <c r="A1514" i="34"/>
  <c r="A1510" i="34"/>
  <c r="A1506" i="34"/>
  <c r="A1502" i="34"/>
  <c r="A1488" i="34"/>
  <c r="A1484" i="34"/>
  <c r="A1478" i="34"/>
  <c r="A1474" i="34"/>
  <c r="A1465" i="34"/>
  <c r="A1401" i="34"/>
  <c r="A1368" i="34"/>
  <c r="A1096" i="34"/>
  <c r="A1092" i="34"/>
  <c r="A1054" i="34"/>
  <c r="A1046" i="34"/>
  <c r="A1335" i="34"/>
  <c r="A1231" i="34"/>
  <c r="A1225" i="34"/>
  <c r="A1216" i="34"/>
  <c r="A1072" i="34"/>
  <c r="A1068" i="34"/>
  <c r="A1164" i="34"/>
  <c r="A1171" i="34"/>
  <c r="A1157" i="34"/>
  <c r="A360" i="34"/>
  <c r="A364" i="34"/>
  <c r="A372" i="34"/>
  <c r="A376" i="34"/>
  <c r="A380" i="34"/>
  <c r="A385" i="34"/>
  <c r="A389" i="34"/>
  <c r="A394" i="34"/>
  <c r="A495" i="34"/>
  <c r="A499" i="34"/>
  <c r="A505" i="34"/>
  <c r="A509" i="34"/>
  <c r="A513" i="34"/>
  <c r="A518" i="34"/>
  <c r="A524" i="34"/>
  <c r="A530" i="34"/>
  <c r="A535" i="34"/>
  <c r="A609" i="34"/>
  <c r="A953" i="34"/>
  <c r="A957" i="34"/>
  <c r="A961" i="34"/>
  <c r="A965" i="34"/>
  <c r="A969" i="34"/>
  <c r="A973" i="34"/>
  <c r="A977" i="34"/>
  <c r="A981" i="34"/>
  <c r="A985" i="34"/>
  <c r="A989" i="34"/>
  <c r="A993" i="34"/>
  <c r="A997" i="34"/>
  <c r="A1001" i="34"/>
  <c r="A1005" i="34"/>
  <c r="A1009" i="34"/>
  <c r="A1015" i="34"/>
  <c r="A1022" i="34"/>
  <c r="A1137" i="34"/>
  <c r="A1293" i="34"/>
  <c r="A1310" i="34"/>
  <c r="A1532" i="34"/>
  <c r="A1536" i="34"/>
  <c r="A1087" i="34"/>
  <c r="A1375" i="34"/>
  <c r="A1379" i="34"/>
  <c r="A1406" i="34"/>
  <c r="A1410" i="34"/>
  <c r="A1428" i="34"/>
  <c r="A1446" i="34"/>
  <c r="A1227" i="34"/>
  <c r="A1263" i="34"/>
  <c r="A1103" i="34"/>
  <c r="A1107" i="34"/>
  <c r="A1141" i="34"/>
  <c r="A1146" i="34"/>
  <c r="A1086" i="34"/>
  <c r="A1250" i="34"/>
  <c r="A1282" i="34"/>
  <c r="A1161" i="34"/>
  <c r="A1513" i="34"/>
  <c r="A1509" i="34"/>
  <c r="A1505" i="34"/>
  <c r="A1501" i="34"/>
  <c r="A1487" i="34"/>
  <c r="A1483" i="34"/>
  <c r="A1477" i="34"/>
  <c r="A1473" i="34"/>
  <c r="A1426" i="34"/>
  <c r="A1373" i="34"/>
  <c r="A1367" i="34"/>
  <c r="A1095" i="34"/>
  <c r="A1090" i="34"/>
  <c r="A1050" i="34"/>
  <c r="A1045" i="34"/>
  <c r="A1333" i="34"/>
  <c r="A1230" i="34"/>
  <c r="A1219" i="34"/>
  <c r="A1215" i="34"/>
  <c r="A1071" i="34"/>
  <c r="A1187" i="34"/>
  <c r="A1163" i="34"/>
  <c r="A1170" i="34"/>
  <c r="A1156" i="34"/>
  <c r="A361" i="34"/>
  <c r="A365" i="34"/>
  <c r="A368" i="34"/>
  <c r="A373" i="34"/>
  <c r="A377" i="34"/>
  <c r="A381" i="34"/>
  <c r="A386" i="34"/>
  <c r="A390" i="34"/>
  <c r="A395" i="34"/>
  <c r="A496" i="34"/>
  <c r="A501" i="34"/>
  <c r="A506" i="34"/>
  <c r="A510" i="34"/>
  <c r="A514" i="34"/>
  <c r="A519" i="34"/>
  <c r="A525" i="34"/>
  <c r="A527" i="34"/>
  <c r="A531" i="34"/>
  <c r="A536" i="34"/>
  <c r="A539" i="34"/>
  <c r="A617" i="34"/>
  <c r="A954" i="34"/>
  <c r="A958" i="34"/>
  <c r="A962" i="34"/>
  <c r="A966" i="34"/>
  <c r="A970" i="34"/>
  <c r="A974" i="34"/>
  <c r="A978" i="34"/>
  <c r="A982" i="34"/>
  <c r="A986" i="34"/>
  <c r="A990" i="34"/>
  <c r="A994" i="34"/>
  <c r="A998" i="34"/>
  <c r="A1002" i="34"/>
  <c r="A1006" i="34"/>
  <c r="A1010" i="34"/>
  <c r="A1016" i="34"/>
  <c r="A1023" i="34"/>
  <c r="A1184" i="34"/>
  <c r="A1296" i="34"/>
  <c r="A1454" i="34"/>
  <c r="A1533" i="34"/>
  <c r="A1537" i="34"/>
  <c r="A1020" i="34"/>
  <c r="A1376" i="34"/>
  <c r="A1380" i="34"/>
  <c r="A1407" i="34"/>
  <c r="A1429" i="34"/>
  <c r="A1447" i="34"/>
  <c r="A1252" i="34"/>
  <c r="A1100" i="34"/>
  <c r="A1104" i="34"/>
  <c r="A1138" i="34"/>
  <c r="A1143" i="34"/>
  <c r="A1051" i="34"/>
  <c r="A1251" i="34"/>
  <c r="A1284" i="34"/>
  <c r="A1512" i="34"/>
  <c r="A1508" i="34"/>
  <c r="A1504" i="34"/>
  <c r="A1500" i="34"/>
  <c r="A1486" i="34"/>
  <c r="A1482" i="34"/>
  <c r="A1476" i="34"/>
  <c r="A1472" i="34"/>
  <c r="A1403" i="34"/>
  <c r="A1372" i="34"/>
  <c r="A1099" i="34"/>
  <c r="A1094" i="34"/>
  <c r="A1057" i="34"/>
  <c r="A1048" i="34"/>
  <c r="A1338" i="34"/>
  <c r="A1332" i="34"/>
  <c r="A1229" i="34"/>
  <c r="A1218" i="34"/>
  <c r="A1074" i="34"/>
  <c r="A1070" i="34"/>
  <c r="A1173" i="34"/>
  <c r="A1159" i="34"/>
  <c r="A1169" i="34"/>
  <c r="A1155" i="34"/>
  <c r="A362" i="34"/>
  <c r="A366" i="34"/>
  <c r="A369" i="34"/>
  <c r="A374" i="34"/>
  <c r="A378" i="34"/>
  <c r="A382" i="34"/>
  <c r="A387" i="34"/>
  <c r="A392" i="34"/>
  <c r="A493" i="34"/>
  <c r="A497" i="34"/>
  <c r="A502" i="34"/>
  <c r="A507" i="34"/>
  <c r="A511" i="34"/>
  <c r="A515" i="34"/>
  <c r="A521" i="34"/>
  <c r="A528" i="34"/>
  <c r="A533" i="34"/>
  <c r="A537" i="34"/>
  <c r="A607" i="34"/>
  <c r="A618" i="34"/>
  <c r="A955" i="34"/>
  <c r="A959" i="34"/>
  <c r="A963" i="34"/>
  <c r="A967" i="34"/>
  <c r="A971" i="34"/>
  <c r="A975" i="34"/>
  <c r="A979" i="34"/>
  <c r="A983" i="34"/>
  <c r="A987" i="34"/>
  <c r="A991" i="34"/>
  <c r="A995" i="34"/>
  <c r="A999" i="34"/>
  <c r="A1003" i="34"/>
  <c r="A1007" i="34"/>
  <c r="A1012" i="34"/>
  <c r="A1017" i="34"/>
  <c r="A1024" i="34"/>
  <c r="A1185" i="34"/>
  <c r="A1298" i="34"/>
  <c r="A1493" i="34"/>
  <c r="A1534" i="34"/>
  <c r="A1538" i="34"/>
  <c r="A1021" i="34"/>
  <c r="A1377" i="34"/>
  <c r="A1381" i="34"/>
  <c r="A1408" i="34"/>
  <c r="A1411" i="34"/>
  <c r="A1448" i="34"/>
  <c r="A1254" i="34"/>
  <c r="A1101" i="34"/>
  <c r="A1105" i="34"/>
  <c r="A1139" i="34"/>
  <c r="A1144" i="34"/>
  <c r="A1052" i="34"/>
  <c r="A1232" i="34"/>
  <c r="A1275" i="34"/>
  <c r="A1340" i="34"/>
  <c r="A1515" i="34"/>
  <c r="A1511" i="34"/>
  <c r="A1507" i="34"/>
  <c r="A1503" i="34"/>
  <c r="A1489" i="34"/>
  <c r="A1485" i="34"/>
  <c r="A1479" i="34"/>
  <c r="A1475" i="34"/>
  <c r="A1471" i="34"/>
  <c r="A1402" i="34"/>
  <c r="A1370" i="34"/>
  <c r="A1098" i="34"/>
  <c r="A1093" i="34"/>
  <c r="A1056" i="34"/>
  <c r="A1047" i="34"/>
  <c r="A1337" i="34"/>
  <c r="A1331" i="34"/>
  <c r="A1226" i="34"/>
  <c r="A1217" i="34"/>
  <c r="A1073" i="34"/>
  <c r="A1069" i="34"/>
  <c r="A1172" i="34"/>
  <c r="A1158" i="34"/>
  <c r="A1168" i="34"/>
  <c r="A1162" i="34"/>
  <c r="A359" i="34"/>
  <c r="A363" i="34"/>
  <c r="A371" i="34"/>
  <c r="A375" i="34"/>
  <c r="A379" i="34"/>
  <c r="A383" i="34"/>
  <c r="A388" i="34"/>
  <c r="A393" i="34"/>
  <c r="A494" i="34"/>
  <c r="A498" i="34"/>
  <c r="A503" i="34"/>
  <c r="A508" i="34"/>
  <c r="A512" i="34"/>
  <c r="A517" i="34"/>
  <c r="A522" i="34"/>
  <c r="A529" i="34"/>
  <c r="A534" i="34"/>
  <c r="A538" i="34"/>
  <c r="A608" i="34"/>
  <c r="A952" i="34"/>
  <c r="A956" i="34"/>
  <c r="A960" i="34"/>
  <c r="A964" i="34"/>
  <c r="A968" i="34"/>
  <c r="A972" i="34"/>
  <c r="A976" i="34"/>
  <c r="A980" i="34"/>
  <c r="A984" i="34"/>
  <c r="A988" i="34"/>
  <c r="A992" i="34"/>
  <c r="A996" i="34"/>
  <c r="A1000" i="34"/>
  <c r="A1004" i="34"/>
  <c r="A1008" i="34"/>
  <c r="A1014" i="34"/>
  <c r="A1018" i="34"/>
  <c r="A1061" i="34"/>
  <c r="A1876" i="34"/>
  <c r="A2381" i="34"/>
  <c r="A2385" i="34"/>
  <c r="A2389" i="34"/>
  <c r="A2393" i="34"/>
  <c r="A2397" i="34"/>
  <c r="A1848" i="34"/>
  <c r="A1852" i="34"/>
  <c r="A2317" i="34"/>
  <c r="A2321" i="34"/>
  <c r="A2379" i="34"/>
  <c r="A1760" i="34"/>
  <c r="A1786" i="34"/>
  <c r="A1790" i="34"/>
  <c r="A1811" i="34"/>
  <c r="A1815" i="34"/>
  <c r="A1842" i="34"/>
  <c r="A1595" i="34"/>
  <c r="A1599" i="34"/>
  <c r="A1626" i="34"/>
  <c r="A1630" i="34"/>
  <c r="A1698" i="34"/>
  <c r="A1702" i="34"/>
  <c r="A1740" i="34"/>
  <c r="A1560" i="34"/>
  <c r="A1564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81" i="34"/>
  <c r="A1577" i="34"/>
  <c r="A1875" i="34"/>
  <c r="A2121" i="34"/>
  <c r="A2382" i="34"/>
  <c r="A2386" i="34"/>
  <c r="A2390" i="34"/>
  <c r="A2394" i="34"/>
  <c r="A2398" i="34"/>
  <c r="A1849" i="34"/>
  <c r="A2318" i="34"/>
  <c r="A2322" i="34"/>
  <c r="A1757" i="34"/>
  <c r="A1761" i="34"/>
  <c r="A1787" i="34"/>
  <c r="A1791" i="34"/>
  <c r="A1812" i="34"/>
  <c r="A1816" i="34"/>
  <c r="A1843" i="34"/>
  <c r="A1596" i="34"/>
  <c r="A1600" i="34"/>
  <c r="A1627" i="34"/>
  <c r="A1631" i="34"/>
  <c r="A1699" i="34"/>
  <c r="A1703" i="34"/>
  <c r="A1755" i="34"/>
  <c r="A1561" i="34"/>
  <c r="A1565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80" i="34"/>
  <c r="A1576" i="34"/>
  <c r="A2107" i="34"/>
  <c r="A2383" i="34"/>
  <c r="A2387" i="34"/>
  <c r="A2391" i="34"/>
  <c r="A2395" i="34"/>
  <c r="A2399" i="34"/>
  <c r="A1846" i="34"/>
  <c r="A1850" i="34"/>
  <c r="A2319" i="34"/>
  <c r="A2323" i="34"/>
  <c r="A1758" i="34"/>
  <c r="A1762" i="34"/>
  <c r="A1788" i="34"/>
  <c r="A1792" i="34"/>
  <c r="A1813" i="34"/>
  <c r="A1817" i="34"/>
  <c r="A1844" i="34"/>
  <c r="A1597" i="34"/>
  <c r="A1601" i="34"/>
  <c r="A1628" i="34"/>
  <c r="A1632" i="34"/>
  <c r="A1700" i="34"/>
  <c r="A1704" i="34"/>
  <c r="A1756" i="34"/>
  <c r="A1558" i="34"/>
  <c r="A1562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79" i="34"/>
  <c r="A1891" i="34"/>
  <c r="A2380" i="34"/>
  <c r="A2384" i="34"/>
  <c r="A2388" i="34"/>
  <c r="A2392" i="34"/>
  <c r="A2396" i="34"/>
  <c r="A2112" i="34"/>
  <c r="A1847" i="34"/>
  <c r="A1851" i="34"/>
  <c r="A2316" i="34"/>
  <c r="A2320" i="34"/>
  <c r="A2324" i="34"/>
  <c r="A1759" i="34"/>
  <c r="A1763" i="34"/>
  <c r="A1789" i="34"/>
  <c r="A1793" i="34"/>
  <c r="A1814" i="34"/>
  <c r="A1818" i="34"/>
  <c r="A1845" i="34"/>
  <c r="A1598" i="34"/>
  <c r="A1602" i="34"/>
  <c r="A1629" i="34"/>
  <c r="A1670" i="34"/>
  <c r="A1701" i="34"/>
  <c r="A1705" i="34"/>
  <c r="A1559" i="34"/>
  <c r="A1563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78" i="34"/>
  <c r="B1153" i="34" l="1"/>
  <c r="B862" i="34"/>
  <c r="B613" i="34"/>
  <c r="B599" i="34"/>
  <c r="R599" i="34" l="1"/>
  <c r="V599" i="34"/>
  <c r="AA599" i="34"/>
  <c r="P599" i="34"/>
  <c r="Q599" i="34"/>
  <c r="R613" i="34"/>
  <c r="V613" i="34"/>
  <c r="AA613" i="34"/>
  <c r="P613" i="34"/>
  <c r="Q613" i="34"/>
  <c r="AA862" i="34"/>
  <c r="P862" i="34"/>
  <c r="Q862" i="34"/>
  <c r="R862" i="34"/>
  <c r="V862" i="34"/>
  <c r="AA1153" i="34"/>
  <c r="P1153" i="34"/>
  <c r="Q1153" i="34"/>
  <c r="R1153" i="34"/>
  <c r="V1153" i="34"/>
  <c r="A613" i="34"/>
  <c r="A862" i="34"/>
  <c r="A599" i="34"/>
  <c r="A1153" i="34"/>
  <c r="B1192" i="34" l="1"/>
  <c r="B1177" i="34"/>
  <c r="B1035" i="34"/>
  <c r="B565" i="34"/>
  <c r="B560" i="34"/>
  <c r="B548" i="34"/>
  <c r="R565" i="34" l="1"/>
  <c r="V565" i="34"/>
  <c r="P565" i="34"/>
  <c r="Q565" i="34"/>
  <c r="AA565" i="34"/>
  <c r="P548" i="34"/>
  <c r="Q548" i="34"/>
  <c r="R548" i="34"/>
  <c r="V548" i="34"/>
  <c r="AA548" i="34"/>
  <c r="R1035" i="34"/>
  <c r="V1035" i="34"/>
  <c r="AA1035" i="34"/>
  <c r="P1035" i="34"/>
  <c r="Q1035" i="34"/>
  <c r="AA1177" i="34"/>
  <c r="P1177" i="34"/>
  <c r="Q1177" i="34"/>
  <c r="R1177" i="34"/>
  <c r="V1177" i="34"/>
  <c r="P560" i="34"/>
  <c r="R560" i="34"/>
  <c r="V560" i="34"/>
  <c r="AA560" i="34"/>
  <c r="Q560" i="34"/>
  <c r="Q1192" i="34"/>
  <c r="R1192" i="34"/>
  <c r="V1192" i="34"/>
  <c r="AA1192" i="34"/>
  <c r="P1192" i="34"/>
  <c r="A1035" i="34"/>
  <c r="A548" i="34"/>
  <c r="A1177" i="34"/>
  <c r="A560" i="34"/>
  <c r="A565" i="34"/>
  <c r="A1192" i="34"/>
  <c r="B420" i="34"/>
  <c r="B839" i="34"/>
  <c r="B826" i="34"/>
  <c r="Q839" i="34" l="1"/>
  <c r="R839" i="34"/>
  <c r="V839" i="34"/>
  <c r="AA839" i="34"/>
  <c r="P839" i="34"/>
  <c r="Q420" i="34"/>
  <c r="R420" i="34"/>
  <c r="V420" i="34"/>
  <c r="AA420" i="34"/>
  <c r="P420" i="34"/>
  <c r="AA826" i="34"/>
  <c r="P826" i="34"/>
  <c r="Q826" i="34"/>
  <c r="R826" i="34"/>
  <c r="V826" i="34"/>
  <c r="A420" i="34"/>
  <c r="A826" i="34"/>
  <c r="A839" i="34"/>
  <c r="B673" i="34"/>
  <c r="B649" i="34"/>
  <c r="B115" i="34"/>
  <c r="B110" i="34"/>
  <c r="B106" i="34"/>
  <c r="B182" i="34"/>
  <c r="B229" i="34"/>
  <c r="B682" i="34"/>
  <c r="B797" i="34"/>
  <c r="AA229" i="34" l="1"/>
  <c r="P229" i="34"/>
  <c r="Q229" i="34"/>
  <c r="R229" i="34"/>
  <c r="V229" i="34"/>
  <c r="Q115" i="34"/>
  <c r="R115" i="34"/>
  <c r="V115" i="34"/>
  <c r="AA115" i="34"/>
  <c r="P115" i="34"/>
  <c r="AA106" i="34"/>
  <c r="P106" i="34"/>
  <c r="Q106" i="34"/>
  <c r="R106" i="34"/>
  <c r="V106" i="34"/>
  <c r="P182" i="34"/>
  <c r="AA182" i="34"/>
  <c r="Q182" i="34"/>
  <c r="R182" i="34"/>
  <c r="V182" i="34"/>
  <c r="R649" i="34"/>
  <c r="V649" i="34"/>
  <c r="AA649" i="34"/>
  <c r="P649" i="34"/>
  <c r="Q649" i="34"/>
  <c r="Q797" i="34"/>
  <c r="R797" i="34"/>
  <c r="V797" i="34"/>
  <c r="AA797" i="34"/>
  <c r="P797" i="34"/>
  <c r="R673" i="34"/>
  <c r="V673" i="34"/>
  <c r="AA673" i="34"/>
  <c r="P673" i="34"/>
  <c r="Q673" i="34"/>
  <c r="P682" i="34"/>
  <c r="Q682" i="34"/>
  <c r="R682" i="34"/>
  <c r="V682" i="34"/>
  <c r="AA682" i="34"/>
  <c r="AA110" i="34"/>
  <c r="P110" i="34"/>
  <c r="Q110" i="34"/>
  <c r="R110" i="34"/>
  <c r="V110" i="34"/>
  <c r="A115" i="34"/>
  <c r="A182" i="34"/>
  <c r="A797" i="34"/>
  <c r="A106" i="34"/>
  <c r="A673" i="34"/>
  <c r="A682" i="34"/>
  <c r="A110" i="34"/>
  <c r="A229" i="34"/>
  <c r="A649" i="34"/>
  <c r="O5" i="78"/>
  <c r="N5" i="78"/>
  <c r="B172" i="34"/>
  <c r="B165" i="34"/>
  <c r="B162" i="34"/>
  <c r="P162" i="34" l="1"/>
  <c r="Q162" i="34"/>
  <c r="R162" i="34"/>
  <c r="V162" i="34"/>
  <c r="AA162" i="34"/>
  <c r="P172" i="34"/>
  <c r="Q172" i="34"/>
  <c r="R172" i="34"/>
  <c r="V172" i="34"/>
  <c r="AA172" i="34"/>
  <c r="R165" i="34"/>
  <c r="V165" i="34"/>
  <c r="AA165" i="34"/>
  <c r="P165" i="34"/>
  <c r="Q165" i="34"/>
  <c r="A162" i="34"/>
  <c r="A172" i="34"/>
  <c r="A165" i="34"/>
  <c r="B239" i="34"/>
  <c r="B238" i="34"/>
  <c r="B237" i="34"/>
  <c r="B236" i="34"/>
  <c r="B234" i="34"/>
  <c r="B233" i="34"/>
  <c r="B225" i="34"/>
  <c r="B224" i="34"/>
  <c r="B223" i="34"/>
  <c r="B222" i="34"/>
  <c r="B221" i="34"/>
  <c r="B219" i="34"/>
  <c r="B218" i="34"/>
  <c r="B216" i="34"/>
  <c r="B211" i="34"/>
  <c r="B210" i="34"/>
  <c r="B208" i="34"/>
  <c r="B207" i="34"/>
  <c r="B206" i="34"/>
  <c r="B205" i="34"/>
  <c r="B204" i="34"/>
  <c r="B203" i="34"/>
  <c r="B202" i="34"/>
  <c r="B181" i="34"/>
  <c r="B180" i="34"/>
  <c r="B179" i="34"/>
  <c r="B178" i="34"/>
  <c r="B176" i="34"/>
  <c r="B175" i="34"/>
  <c r="B174" i="34"/>
  <c r="B173" i="34"/>
  <c r="B168" i="34"/>
  <c r="B166" i="34"/>
  <c r="B164" i="34"/>
  <c r="B163" i="34"/>
  <c r="B160" i="34"/>
  <c r="B159" i="34"/>
  <c r="B158" i="34"/>
  <c r="B825" i="34"/>
  <c r="B824" i="34"/>
  <c r="B823" i="34"/>
  <c r="B796" i="34"/>
  <c r="B795" i="34"/>
  <c r="B794" i="34"/>
  <c r="B793" i="34"/>
  <c r="B792" i="34"/>
  <c r="B791" i="34"/>
  <c r="B790" i="34"/>
  <c r="B788" i="34"/>
  <c r="B787" i="34"/>
  <c r="B775" i="34"/>
  <c r="B774" i="34"/>
  <c r="B772" i="34"/>
  <c r="B771" i="34"/>
  <c r="B769" i="34"/>
  <c r="B768" i="34"/>
  <c r="B767" i="34"/>
  <c r="B766" i="34"/>
  <c r="B765" i="34"/>
  <c r="B762" i="34"/>
  <c r="B761" i="34"/>
  <c r="B760" i="34"/>
  <c r="B759" i="34"/>
  <c r="B758" i="34"/>
  <c r="B757" i="34"/>
  <c r="B756" i="34"/>
  <c r="B755" i="34"/>
  <c r="B754" i="34"/>
  <c r="B738" i="34"/>
  <c r="B737" i="34"/>
  <c r="B736" i="34"/>
  <c r="B734" i="34"/>
  <c r="B733" i="34"/>
  <c r="B731" i="34"/>
  <c r="B730" i="34"/>
  <c r="B729" i="34"/>
  <c r="B728" i="34"/>
  <c r="B706" i="34"/>
  <c r="B705" i="34"/>
  <c r="B704" i="34"/>
  <c r="B703" i="34"/>
  <c r="B702" i="34"/>
  <c r="B701" i="34"/>
  <c r="B670" i="34"/>
  <c r="B669" i="34"/>
  <c r="B668" i="34"/>
  <c r="B667" i="34"/>
  <c r="B665" i="34"/>
  <c r="B664" i="34"/>
  <c r="B663" i="34"/>
  <c r="B662" i="34"/>
  <c r="B661" i="34"/>
  <c r="B634" i="34"/>
  <c r="B633" i="34"/>
  <c r="B632" i="34"/>
  <c r="B631" i="34"/>
  <c r="B629" i="34"/>
  <c r="B628" i="34"/>
  <c r="B627" i="34"/>
  <c r="B625" i="34"/>
  <c r="B624" i="34"/>
  <c r="B595" i="34"/>
  <c r="B593" i="34"/>
  <c r="B592" i="34"/>
  <c r="B591" i="34"/>
  <c r="B590" i="34"/>
  <c r="B589" i="34"/>
  <c r="B588" i="34"/>
  <c r="B587" i="34"/>
  <c r="B586" i="34"/>
  <c r="B404" i="34"/>
  <c r="B403" i="34"/>
  <c r="B402" i="34"/>
  <c r="B401" i="34"/>
  <c r="B400" i="34"/>
  <c r="B399" i="34"/>
  <c r="B398" i="34"/>
  <c r="B396" i="34"/>
  <c r="B298" i="34"/>
  <c r="B297" i="34"/>
  <c r="B296" i="34"/>
  <c r="B294" i="34"/>
  <c r="B293" i="34"/>
  <c r="B274" i="34"/>
  <c r="B273" i="34"/>
  <c r="B272" i="34"/>
  <c r="B270" i="34"/>
  <c r="B269" i="34"/>
  <c r="B267" i="34"/>
  <c r="B266" i="34"/>
  <c r="B264" i="34"/>
  <c r="B263" i="34"/>
  <c r="B258" i="34"/>
  <c r="B257" i="34"/>
  <c r="B256" i="34"/>
  <c r="B255" i="34"/>
  <c r="B253" i="34"/>
  <c r="B252" i="34"/>
  <c r="B250" i="34"/>
  <c r="B242" i="34"/>
  <c r="B241" i="34"/>
  <c r="B240" i="34"/>
  <c r="B1223" i="34"/>
  <c r="B1222" i="34"/>
  <c r="B1221" i="34"/>
  <c r="B1220" i="34"/>
  <c r="B1211" i="34"/>
  <c r="B1210" i="34"/>
  <c r="B1209" i="34"/>
  <c r="B1208" i="34"/>
  <c r="B1203" i="34"/>
  <c r="B1202" i="34"/>
  <c r="B544" i="34"/>
  <c r="B543" i="34"/>
  <c r="B542" i="34"/>
  <c r="B541" i="34"/>
  <c r="B540" i="34"/>
  <c r="B434" i="34"/>
  <c r="B433" i="34"/>
  <c r="B432" i="34"/>
  <c r="B431" i="34"/>
  <c r="B430" i="34"/>
  <c r="B429" i="34"/>
  <c r="B428" i="34"/>
  <c r="B427" i="34"/>
  <c r="B425" i="34"/>
  <c r="B424" i="34"/>
  <c r="B423" i="34"/>
  <c r="B422" i="34"/>
  <c r="B421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844" i="34"/>
  <c r="B843" i="34"/>
  <c r="B842" i="34"/>
  <c r="B841" i="34"/>
  <c r="B840" i="34"/>
  <c r="B1191" i="34"/>
  <c r="B1189" i="34"/>
  <c r="B1188" i="34"/>
  <c r="B1183" i="34"/>
  <c r="B1182" i="34"/>
  <c r="B1176" i="34"/>
  <c r="B1167" i="34"/>
  <c r="B1165" i="34"/>
  <c r="B1150" i="34"/>
  <c r="B1149" i="34"/>
  <c r="B1034" i="34"/>
  <c r="B1033" i="34"/>
  <c r="B1032" i="34"/>
  <c r="B1025" i="34"/>
  <c r="B620" i="34"/>
  <c r="B619" i="34"/>
  <c r="B612" i="34"/>
  <c r="B611" i="34"/>
  <c r="B610" i="34"/>
  <c r="B585" i="34"/>
  <c r="B584" i="34"/>
  <c r="B582" i="34"/>
  <c r="B581" i="34"/>
  <c r="B580" i="34"/>
  <c r="B579" i="34"/>
  <c r="B578" i="34"/>
  <c r="B577" i="34"/>
  <c r="B576" i="34"/>
  <c r="B575" i="34"/>
  <c r="B574" i="34"/>
  <c r="B573" i="34"/>
  <c r="B572" i="34"/>
  <c r="B570" i="34"/>
  <c r="B569" i="34"/>
  <c r="B567" i="34"/>
  <c r="B566" i="34"/>
  <c r="B564" i="34"/>
  <c r="B563" i="34"/>
  <c r="B562" i="34"/>
  <c r="B561" i="34"/>
  <c r="B559" i="34"/>
  <c r="B558" i="34"/>
  <c r="B557" i="34"/>
  <c r="B556" i="34"/>
  <c r="B555" i="34"/>
  <c r="B554" i="34"/>
  <c r="B553" i="34"/>
  <c r="B552" i="34"/>
  <c r="B551" i="34"/>
  <c r="B550" i="34"/>
  <c r="B549" i="34"/>
  <c r="B547" i="34"/>
  <c r="B545" i="34"/>
  <c r="B419" i="34"/>
  <c r="B418" i="34"/>
  <c r="B838" i="34"/>
  <c r="B827" i="34"/>
  <c r="B1116" i="34"/>
  <c r="B1118" i="34"/>
  <c r="B1117" i="34"/>
  <c r="B1044" i="34"/>
  <c r="B1043" i="34"/>
  <c r="B1314" i="34"/>
  <c r="B1195" i="34"/>
  <c r="B1194" i="34"/>
  <c r="B1076" i="34"/>
  <c r="B1075" i="34"/>
  <c r="B1186" i="34"/>
  <c r="B1181" i="34"/>
  <c r="B1180" i="34"/>
  <c r="B1175" i="34"/>
  <c r="B1174" i="34"/>
  <c r="B1179" i="34"/>
  <c r="B1178" i="34"/>
  <c r="B1148" i="34"/>
  <c r="B1147" i="34"/>
  <c r="B1864" i="34"/>
  <c r="B1869" i="34"/>
  <c r="B1868" i="34"/>
  <c r="B1064" i="34"/>
  <c r="B1063" i="34"/>
  <c r="B1062" i="34"/>
  <c r="B1294" i="34"/>
  <c r="B1272" i="34"/>
  <c r="B1271" i="34"/>
  <c r="B1325" i="34"/>
  <c r="B1324" i="34"/>
  <c r="B1306" i="34"/>
  <c r="B1305" i="34"/>
  <c r="B1304" i="34"/>
  <c r="B1303" i="34"/>
  <c r="B1302" i="34"/>
  <c r="B1301" i="34"/>
  <c r="B1300" i="34"/>
  <c r="B1299" i="34"/>
  <c r="B1288" i="34"/>
  <c r="B1287" i="34"/>
  <c r="B1286" i="34"/>
  <c r="B1285" i="34"/>
  <c r="B1281" i="34"/>
  <c r="B1280" i="34"/>
  <c r="B1279" i="34"/>
  <c r="B1278" i="34"/>
  <c r="B1274" i="34"/>
  <c r="B1273" i="34"/>
  <c r="B1269" i="34"/>
  <c r="B1268" i="34"/>
  <c r="B1266" i="34"/>
  <c r="B1265" i="34"/>
  <c r="B1260" i="34"/>
  <c r="B1259" i="34"/>
  <c r="B1258" i="34"/>
  <c r="B1257" i="34"/>
  <c r="B1256" i="34"/>
  <c r="B1249" i="34"/>
  <c r="B1248" i="34"/>
  <c r="B1247" i="34"/>
  <c r="B1246" i="34"/>
  <c r="B1245" i="34"/>
  <c r="B1244" i="34"/>
  <c r="B1243" i="34"/>
  <c r="B1242" i="34"/>
  <c r="B1240" i="34"/>
  <c r="B1239" i="34"/>
  <c r="B1238" i="34"/>
  <c r="B1237" i="34"/>
  <c r="B1235" i="34"/>
  <c r="B1234" i="34"/>
  <c r="B1867" i="34"/>
  <c r="B1866" i="34"/>
  <c r="B1871" i="34"/>
  <c r="B1870" i="34"/>
  <c r="B1865" i="34"/>
  <c r="AA1243" i="34" l="1"/>
  <c r="P1243" i="34"/>
  <c r="Q1243" i="34"/>
  <c r="R1243" i="34"/>
  <c r="V1243" i="34"/>
  <c r="R1287" i="34"/>
  <c r="V1287" i="34"/>
  <c r="AA1287" i="34"/>
  <c r="P1287" i="34"/>
  <c r="Q1287" i="34"/>
  <c r="R1871" i="34"/>
  <c r="V1871" i="34"/>
  <c r="P1871" i="34"/>
  <c r="AA1871" i="34"/>
  <c r="Q1871" i="34"/>
  <c r="AA1235" i="34"/>
  <c r="P1235" i="34"/>
  <c r="Q1235" i="34"/>
  <c r="R1235" i="34"/>
  <c r="V1235" i="34"/>
  <c r="Q1240" i="34"/>
  <c r="R1240" i="34"/>
  <c r="V1240" i="34"/>
  <c r="AA1240" i="34"/>
  <c r="P1240" i="34"/>
  <c r="AA1245" i="34"/>
  <c r="P1245" i="34"/>
  <c r="R1245" i="34"/>
  <c r="V1245" i="34"/>
  <c r="Q1245" i="34"/>
  <c r="AA1249" i="34"/>
  <c r="R1249" i="34"/>
  <c r="V1249" i="34"/>
  <c r="P1249" i="34"/>
  <c r="Q1249" i="34"/>
  <c r="R1259" i="34"/>
  <c r="V1259" i="34"/>
  <c r="AA1259" i="34"/>
  <c r="P1259" i="34"/>
  <c r="Q1259" i="34"/>
  <c r="P1268" i="34"/>
  <c r="Q1268" i="34"/>
  <c r="R1268" i="34"/>
  <c r="V1268" i="34"/>
  <c r="AA1268" i="34"/>
  <c r="P1278" i="34"/>
  <c r="Q1278" i="34"/>
  <c r="R1278" i="34"/>
  <c r="V1278" i="34"/>
  <c r="AA1278" i="34"/>
  <c r="R1285" i="34"/>
  <c r="V1285" i="34"/>
  <c r="AA1285" i="34"/>
  <c r="P1285" i="34"/>
  <c r="Q1285" i="34"/>
  <c r="R1299" i="34"/>
  <c r="V1299" i="34"/>
  <c r="AA1299" i="34"/>
  <c r="P1299" i="34"/>
  <c r="Q1299" i="34"/>
  <c r="R1303" i="34"/>
  <c r="V1303" i="34"/>
  <c r="AA1303" i="34"/>
  <c r="P1303" i="34"/>
  <c r="Q1303" i="34"/>
  <c r="P1324" i="34"/>
  <c r="Q1324" i="34"/>
  <c r="R1324" i="34"/>
  <c r="V1324" i="34"/>
  <c r="AA1324" i="34"/>
  <c r="P1294" i="34"/>
  <c r="Q1294" i="34"/>
  <c r="R1294" i="34"/>
  <c r="V1294" i="34"/>
  <c r="AA1294" i="34"/>
  <c r="P1868" i="34"/>
  <c r="R1868" i="34"/>
  <c r="V1868" i="34"/>
  <c r="AA1868" i="34"/>
  <c r="Q1868" i="34"/>
  <c r="Q1148" i="34"/>
  <c r="R1148" i="34"/>
  <c r="V1148" i="34"/>
  <c r="AA1148" i="34"/>
  <c r="P1148" i="34"/>
  <c r="AA1175" i="34"/>
  <c r="P1175" i="34"/>
  <c r="Q1175" i="34"/>
  <c r="R1175" i="34"/>
  <c r="V1175" i="34"/>
  <c r="R1075" i="34"/>
  <c r="V1075" i="34"/>
  <c r="AA1075" i="34"/>
  <c r="P1075" i="34"/>
  <c r="Q1075" i="34"/>
  <c r="P1314" i="34"/>
  <c r="Q1314" i="34"/>
  <c r="R1314" i="34"/>
  <c r="V1314" i="34"/>
  <c r="AA1314" i="34"/>
  <c r="Q1118" i="34"/>
  <c r="R1118" i="34"/>
  <c r="V1118" i="34"/>
  <c r="AA1118" i="34"/>
  <c r="P1118" i="34"/>
  <c r="Q418" i="34"/>
  <c r="R418" i="34"/>
  <c r="V418" i="34"/>
  <c r="AA418" i="34"/>
  <c r="P418" i="34"/>
  <c r="R549" i="34"/>
  <c r="V549" i="34"/>
  <c r="AA549" i="34"/>
  <c r="P549" i="34"/>
  <c r="Q549" i="34"/>
  <c r="R553" i="34"/>
  <c r="V553" i="34"/>
  <c r="AA553" i="34"/>
  <c r="P553" i="34"/>
  <c r="Q553" i="34"/>
  <c r="R557" i="34"/>
  <c r="V557" i="34"/>
  <c r="AA557" i="34"/>
  <c r="P557" i="34"/>
  <c r="Q557" i="34"/>
  <c r="P562" i="34"/>
  <c r="R562" i="34"/>
  <c r="V562" i="34"/>
  <c r="AA562" i="34"/>
  <c r="Q562" i="34"/>
  <c r="R567" i="34"/>
  <c r="V567" i="34"/>
  <c r="P567" i="34"/>
  <c r="Q567" i="34"/>
  <c r="AA567" i="34"/>
  <c r="R573" i="34"/>
  <c r="V573" i="34"/>
  <c r="P573" i="34"/>
  <c r="Q573" i="34"/>
  <c r="AA573" i="34"/>
  <c r="R577" i="34"/>
  <c r="V577" i="34"/>
  <c r="P577" i="34"/>
  <c r="Q577" i="34"/>
  <c r="AA577" i="34"/>
  <c r="R581" i="34"/>
  <c r="V581" i="34"/>
  <c r="P581" i="34"/>
  <c r="AA581" i="34"/>
  <c r="Q581" i="34"/>
  <c r="P610" i="34"/>
  <c r="Q610" i="34"/>
  <c r="R610" i="34"/>
  <c r="V610" i="34"/>
  <c r="AA610" i="34"/>
  <c r="P620" i="34"/>
  <c r="Q620" i="34"/>
  <c r="R620" i="34"/>
  <c r="V620" i="34"/>
  <c r="AA620" i="34"/>
  <c r="P1034" i="34"/>
  <c r="Q1034" i="34"/>
  <c r="R1034" i="34"/>
  <c r="V1034" i="34"/>
  <c r="AA1034" i="34"/>
  <c r="AA1167" i="34"/>
  <c r="P1167" i="34"/>
  <c r="Q1167" i="34"/>
  <c r="R1167" i="34"/>
  <c r="V1167" i="34"/>
  <c r="Q1188" i="34"/>
  <c r="R1188" i="34"/>
  <c r="V1188" i="34"/>
  <c r="AA1188" i="34"/>
  <c r="P1188" i="34"/>
  <c r="Q841" i="34"/>
  <c r="R841" i="34"/>
  <c r="V841" i="34"/>
  <c r="AA841" i="34"/>
  <c r="P841" i="34"/>
  <c r="AA405" i="34"/>
  <c r="P405" i="34"/>
  <c r="Q405" i="34"/>
  <c r="R405" i="34"/>
  <c r="V405" i="34"/>
  <c r="AA409" i="34"/>
  <c r="P409" i="34"/>
  <c r="Q409" i="34"/>
  <c r="R409" i="34"/>
  <c r="V409" i="34"/>
  <c r="AA413" i="34"/>
  <c r="P413" i="34"/>
  <c r="Q413" i="34"/>
  <c r="R413" i="34"/>
  <c r="V413" i="34"/>
  <c r="AA417" i="34"/>
  <c r="P417" i="34"/>
  <c r="Q417" i="34"/>
  <c r="R417" i="34"/>
  <c r="V417" i="34"/>
  <c r="Q424" i="34"/>
  <c r="R424" i="34"/>
  <c r="V424" i="34"/>
  <c r="AA424" i="34"/>
  <c r="P424" i="34"/>
  <c r="AA429" i="34"/>
  <c r="P429" i="34"/>
  <c r="Q429" i="34"/>
  <c r="R429" i="34"/>
  <c r="V429" i="34"/>
  <c r="AA433" i="34"/>
  <c r="P433" i="34"/>
  <c r="Q433" i="34"/>
  <c r="R433" i="34"/>
  <c r="V433" i="34"/>
  <c r="P542" i="34"/>
  <c r="Q542" i="34"/>
  <c r="R542" i="34"/>
  <c r="V542" i="34"/>
  <c r="AA542" i="34"/>
  <c r="AA1203" i="34"/>
  <c r="P1203" i="34"/>
  <c r="Q1203" i="34"/>
  <c r="R1203" i="34"/>
  <c r="V1203" i="34"/>
  <c r="AA1211" i="34"/>
  <c r="P1211" i="34"/>
  <c r="Q1211" i="34"/>
  <c r="R1211" i="34"/>
  <c r="V1211" i="34"/>
  <c r="AA1223" i="34"/>
  <c r="P1223" i="34"/>
  <c r="Q1223" i="34"/>
  <c r="R1223" i="34"/>
  <c r="V1223" i="34"/>
  <c r="Q250" i="34"/>
  <c r="R250" i="34"/>
  <c r="V250" i="34"/>
  <c r="AA250" i="34"/>
  <c r="P250" i="34"/>
  <c r="R256" i="34"/>
  <c r="V256" i="34"/>
  <c r="AA256" i="34"/>
  <c r="P256" i="34"/>
  <c r="Q256" i="34"/>
  <c r="P264" i="34"/>
  <c r="Q264" i="34"/>
  <c r="R264" i="34"/>
  <c r="V264" i="34"/>
  <c r="AA264" i="34"/>
  <c r="AA270" i="34"/>
  <c r="P270" i="34"/>
  <c r="Q270" i="34"/>
  <c r="R270" i="34"/>
  <c r="V270" i="34"/>
  <c r="Q293" i="34"/>
  <c r="R293" i="34"/>
  <c r="V293" i="34"/>
  <c r="AA293" i="34"/>
  <c r="P293" i="34"/>
  <c r="AA298" i="34"/>
  <c r="P298" i="34"/>
  <c r="Q298" i="34"/>
  <c r="R298" i="34"/>
  <c r="V298" i="34"/>
  <c r="Q400" i="34"/>
  <c r="R400" i="34"/>
  <c r="V400" i="34"/>
  <c r="AA400" i="34"/>
  <c r="P400" i="34"/>
  <c r="Q404" i="34"/>
  <c r="R404" i="34"/>
  <c r="V404" i="34"/>
  <c r="AA404" i="34"/>
  <c r="P404" i="34"/>
  <c r="R589" i="34"/>
  <c r="V589" i="34"/>
  <c r="Q589" i="34"/>
  <c r="AA589" i="34"/>
  <c r="P589" i="34"/>
  <c r="R593" i="34"/>
  <c r="V593" i="34"/>
  <c r="AA593" i="34"/>
  <c r="P593" i="34"/>
  <c r="Q593" i="34"/>
  <c r="R627" i="34"/>
  <c r="V627" i="34"/>
  <c r="AA627" i="34"/>
  <c r="P627" i="34"/>
  <c r="Q627" i="34"/>
  <c r="P632" i="34"/>
  <c r="Q632" i="34"/>
  <c r="R632" i="34"/>
  <c r="V632" i="34"/>
  <c r="AA632" i="34"/>
  <c r="P662" i="34"/>
  <c r="Q662" i="34"/>
  <c r="R662" i="34"/>
  <c r="V662" i="34"/>
  <c r="AA662" i="34"/>
  <c r="R667" i="34"/>
  <c r="V667" i="34"/>
  <c r="AA667" i="34"/>
  <c r="P667" i="34"/>
  <c r="Q667" i="34"/>
  <c r="R701" i="34"/>
  <c r="V701" i="34"/>
  <c r="AA701" i="34"/>
  <c r="P701" i="34"/>
  <c r="Q701" i="34"/>
  <c r="R705" i="34"/>
  <c r="V705" i="34"/>
  <c r="AA705" i="34"/>
  <c r="P705" i="34"/>
  <c r="Q705" i="34"/>
  <c r="P730" i="34"/>
  <c r="Q730" i="34"/>
  <c r="R730" i="34"/>
  <c r="V730" i="34"/>
  <c r="AA730" i="34"/>
  <c r="P736" i="34"/>
  <c r="Q736" i="34"/>
  <c r="R736" i="34"/>
  <c r="V736" i="34"/>
  <c r="AA736" i="34"/>
  <c r="Q755" i="34"/>
  <c r="R755" i="34"/>
  <c r="V755" i="34"/>
  <c r="AA755" i="34"/>
  <c r="P755" i="34"/>
  <c r="Q759" i="34"/>
  <c r="R759" i="34"/>
  <c r="V759" i="34"/>
  <c r="AA759" i="34"/>
  <c r="P759" i="34"/>
  <c r="Q765" i="34"/>
  <c r="R765" i="34"/>
  <c r="V765" i="34"/>
  <c r="AA765" i="34"/>
  <c r="P765" i="34"/>
  <c r="Q769" i="34"/>
  <c r="R769" i="34"/>
  <c r="V769" i="34"/>
  <c r="AA769" i="34"/>
  <c r="P769" i="34"/>
  <c r="Q775" i="34"/>
  <c r="R775" i="34"/>
  <c r="V775" i="34"/>
  <c r="AA775" i="34"/>
  <c r="P775" i="34"/>
  <c r="Q791" i="34"/>
  <c r="R791" i="34"/>
  <c r="V791" i="34"/>
  <c r="AA791" i="34"/>
  <c r="P791" i="34"/>
  <c r="Q795" i="34"/>
  <c r="R795" i="34"/>
  <c r="V795" i="34"/>
  <c r="AA795" i="34"/>
  <c r="P795" i="34"/>
  <c r="Q825" i="34"/>
  <c r="R825" i="34"/>
  <c r="V825" i="34"/>
  <c r="AA825" i="34"/>
  <c r="P825" i="34"/>
  <c r="R163" i="34"/>
  <c r="V163" i="34"/>
  <c r="AA163" i="34"/>
  <c r="P163" i="34"/>
  <c r="Q163" i="34"/>
  <c r="R173" i="34"/>
  <c r="V173" i="34"/>
  <c r="AA173" i="34"/>
  <c r="P173" i="34"/>
  <c r="Q173" i="34"/>
  <c r="P178" i="34"/>
  <c r="R178" i="34"/>
  <c r="V178" i="34"/>
  <c r="AA178" i="34"/>
  <c r="Q178" i="34"/>
  <c r="Q202" i="34"/>
  <c r="R202" i="34"/>
  <c r="V202" i="34"/>
  <c r="AA202" i="34"/>
  <c r="P202" i="34"/>
  <c r="Q206" i="34"/>
  <c r="R206" i="34"/>
  <c r="V206" i="34"/>
  <c r="AA206" i="34"/>
  <c r="P206" i="34"/>
  <c r="AA211" i="34"/>
  <c r="P211" i="34"/>
  <c r="Q211" i="34"/>
  <c r="R211" i="34"/>
  <c r="V211" i="34"/>
  <c r="AA221" i="34"/>
  <c r="P221" i="34"/>
  <c r="Q221" i="34"/>
  <c r="R221" i="34"/>
  <c r="V221" i="34"/>
  <c r="AA225" i="34"/>
  <c r="P225" i="34"/>
  <c r="Q225" i="34"/>
  <c r="R225" i="34"/>
  <c r="V225" i="34"/>
  <c r="AA237" i="34"/>
  <c r="P237" i="34"/>
  <c r="Q237" i="34"/>
  <c r="R237" i="34"/>
  <c r="V237" i="34"/>
  <c r="R1867" i="34"/>
  <c r="V1867" i="34"/>
  <c r="P1867" i="34"/>
  <c r="AA1867" i="34"/>
  <c r="Q1867" i="34"/>
  <c r="AA1247" i="34"/>
  <c r="R1247" i="34"/>
  <c r="V1247" i="34"/>
  <c r="Q1247" i="34"/>
  <c r="P1247" i="34"/>
  <c r="P1280" i="34"/>
  <c r="Q1280" i="34"/>
  <c r="R1280" i="34"/>
  <c r="V1280" i="34"/>
  <c r="AA1280" i="34"/>
  <c r="P1866" i="34"/>
  <c r="R1866" i="34"/>
  <c r="V1866" i="34"/>
  <c r="AA1866" i="34"/>
  <c r="Q1866" i="34"/>
  <c r="AA1237" i="34"/>
  <c r="P1237" i="34"/>
  <c r="Q1237" i="34"/>
  <c r="R1237" i="34"/>
  <c r="V1237" i="34"/>
  <c r="Q1242" i="34"/>
  <c r="R1242" i="34"/>
  <c r="V1242" i="34"/>
  <c r="AA1242" i="34"/>
  <c r="P1242" i="34"/>
  <c r="Q1246" i="34"/>
  <c r="P1246" i="34"/>
  <c r="R1246" i="34"/>
  <c r="V1246" i="34"/>
  <c r="AA1246" i="34"/>
  <c r="P1256" i="34"/>
  <c r="Q1256" i="34"/>
  <c r="R1256" i="34"/>
  <c r="V1256" i="34"/>
  <c r="AA1256" i="34"/>
  <c r="P1260" i="34"/>
  <c r="Q1260" i="34"/>
  <c r="R1260" i="34"/>
  <c r="V1260" i="34"/>
  <c r="AA1260" i="34"/>
  <c r="R1269" i="34"/>
  <c r="V1269" i="34"/>
  <c r="AA1269" i="34"/>
  <c r="P1269" i="34"/>
  <c r="Q1269" i="34"/>
  <c r="R1279" i="34"/>
  <c r="V1279" i="34"/>
  <c r="AA1279" i="34"/>
  <c r="P1279" i="34"/>
  <c r="Q1279" i="34"/>
  <c r="P1286" i="34"/>
  <c r="Q1286" i="34"/>
  <c r="R1286" i="34"/>
  <c r="V1286" i="34"/>
  <c r="AA1286" i="34"/>
  <c r="P1300" i="34"/>
  <c r="Q1300" i="34"/>
  <c r="R1300" i="34"/>
  <c r="V1300" i="34"/>
  <c r="AA1300" i="34"/>
  <c r="P1304" i="34"/>
  <c r="Q1304" i="34"/>
  <c r="R1304" i="34"/>
  <c r="V1304" i="34"/>
  <c r="AA1304" i="34"/>
  <c r="R1325" i="34"/>
  <c r="V1325" i="34"/>
  <c r="AA1325" i="34"/>
  <c r="P1325" i="34"/>
  <c r="Q1325" i="34"/>
  <c r="P1062" i="34"/>
  <c r="Q1062" i="34"/>
  <c r="R1062" i="34"/>
  <c r="V1062" i="34"/>
  <c r="AA1062" i="34"/>
  <c r="R1869" i="34"/>
  <c r="V1869" i="34"/>
  <c r="P1869" i="34"/>
  <c r="AA1869" i="34"/>
  <c r="Q1869" i="34"/>
  <c r="Q1178" i="34"/>
  <c r="R1178" i="34"/>
  <c r="V1178" i="34"/>
  <c r="AA1178" i="34"/>
  <c r="P1178" i="34"/>
  <c r="Q1180" i="34"/>
  <c r="R1180" i="34"/>
  <c r="V1180" i="34"/>
  <c r="AA1180" i="34"/>
  <c r="P1180" i="34"/>
  <c r="P1076" i="34"/>
  <c r="Q1076" i="34"/>
  <c r="R1076" i="34"/>
  <c r="V1076" i="34"/>
  <c r="AA1076" i="34"/>
  <c r="R1043" i="34"/>
  <c r="V1043" i="34"/>
  <c r="AA1043" i="34"/>
  <c r="P1043" i="34"/>
  <c r="Q1043" i="34"/>
  <c r="Q1116" i="34"/>
  <c r="R1116" i="34"/>
  <c r="V1116" i="34"/>
  <c r="AA1116" i="34"/>
  <c r="P1116" i="34"/>
  <c r="AA419" i="34"/>
  <c r="P419" i="34"/>
  <c r="Q419" i="34"/>
  <c r="R419" i="34"/>
  <c r="V419" i="34"/>
  <c r="P550" i="34"/>
  <c r="Q550" i="34"/>
  <c r="R550" i="34"/>
  <c r="V550" i="34"/>
  <c r="AA550" i="34"/>
  <c r="P554" i="34"/>
  <c r="Q554" i="34"/>
  <c r="R554" i="34"/>
  <c r="V554" i="34"/>
  <c r="AA554" i="34"/>
  <c r="P558" i="34"/>
  <c r="Q558" i="34"/>
  <c r="R558" i="34"/>
  <c r="V558" i="34"/>
  <c r="AA558" i="34"/>
  <c r="R563" i="34"/>
  <c r="V563" i="34"/>
  <c r="P563" i="34"/>
  <c r="Q563" i="34"/>
  <c r="AA563" i="34"/>
  <c r="R569" i="34"/>
  <c r="V569" i="34"/>
  <c r="P569" i="34"/>
  <c r="Q569" i="34"/>
  <c r="AA569" i="34"/>
  <c r="P574" i="34"/>
  <c r="R574" i="34"/>
  <c r="V574" i="34"/>
  <c r="AA574" i="34"/>
  <c r="Q574" i="34"/>
  <c r="P578" i="34"/>
  <c r="R578" i="34"/>
  <c r="V578" i="34"/>
  <c r="AA578" i="34"/>
  <c r="Q578" i="34"/>
  <c r="P582" i="34"/>
  <c r="R582" i="34"/>
  <c r="V582" i="34"/>
  <c r="AA582" i="34"/>
  <c r="Q582" i="34"/>
  <c r="R611" i="34"/>
  <c r="V611" i="34"/>
  <c r="AA611" i="34"/>
  <c r="P611" i="34"/>
  <c r="Q611" i="34"/>
  <c r="R1025" i="34"/>
  <c r="V1025" i="34"/>
  <c r="AA1025" i="34"/>
  <c r="P1025" i="34"/>
  <c r="Q1025" i="34"/>
  <c r="AA1149" i="34"/>
  <c r="P1149" i="34"/>
  <c r="Q1149" i="34"/>
  <c r="R1149" i="34"/>
  <c r="V1149" i="34"/>
  <c r="Q1176" i="34"/>
  <c r="R1176" i="34"/>
  <c r="V1176" i="34"/>
  <c r="AA1176" i="34"/>
  <c r="P1176" i="34"/>
  <c r="AA1189" i="34"/>
  <c r="P1189" i="34"/>
  <c r="Q1189" i="34"/>
  <c r="R1189" i="34"/>
  <c r="V1189" i="34"/>
  <c r="AA842" i="34"/>
  <c r="P842" i="34"/>
  <c r="Q842" i="34"/>
  <c r="R842" i="34"/>
  <c r="V842" i="34"/>
  <c r="Q406" i="34"/>
  <c r="R406" i="34"/>
  <c r="V406" i="34"/>
  <c r="AA406" i="34"/>
  <c r="P406" i="34"/>
  <c r="Q410" i="34"/>
  <c r="R410" i="34"/>
  <c r="V410" i="34"/>
  <c r="AA410" i="34"/>
  <c r="P410" i="34"/>
  <c r="Q414" i="34"/>
  <c r="R414" i="34"/>
  <c r="V414" i="34"/>
  <c r="AA414" i="34"/>
  <c r="P414" i="34"/>
  <c r="AA421" i="34"/>
  <c r="P421" i="34"/>
  <c r="Q421" i="34"/>
  <c r="R421" i="34"/>
  <c r="V421" i="34"/>
  <c r="AA425" i="34"/>
  <c r="P425" i="34"/>
  <c r="Q425" i="34"/>
  <c r="R425" i="34"/>
  <c r="V425" i="34"/>
  <c r="Q430" i="34"/>
  <c r="R430" i="34"/>
  <c r="V430" i="34"/>
  <c r="AA430" i="34"/>
  <c r="P430" i="34"/>
  <c r="Q434" i="34"/>
  <c r="R434" i="34"/>
  <c r="V434" i="34"/>
  <c r="AA434" i="34"/>
  <c r="P434" i="34"/>
  <c r="R543" i="34"/>
  <c r="V543" i="34"/>
  <c r="AA543" i="34"/>
  <c r="P543" i="34"/>
  <c r="Q543" i="34"/>
  <c r="Q1208" i="34"/>
  <c r="R1208" i="34"/>
  <c r="V1208" i="34"/>
  <c r="AA1208" i="34"/>
  <c r="P1208" i="34"/>
  <c r="Q1220" i="34"/>
  <c r="R1220" i="34"/>
  <c r="V1220" i="34"/>
  <c r="AA1220" i="34"/>
  <c r="P1220" i="34"/>
  <c r="Q240" i="34"/>
  <c r="R240" i="34"/>
  <c r="V240" i="34"/>
  <c r="AA240" i="34"/>
  <c r="P240" i="34"/>
  <c r="Q252" i="34"/>
  <c r="R252" i="34"/>
  <c r="V252" i="34"/>
  <c r="AA252" i="34"/>
  <c r="P252" i="34"/>
  <c r="P257" i="34"/>
  <c r="Q257" i="34"/>
  <c r="R257" i="34"/>
  <c r="V257" i="34"/>
  <c r="AA257" i="34"/>
  <c r="P266" i="34"/>
  <c r="Q266" i="34"/>
  <c r="R266" i="34"/>
  <c r="V266" i="34"/>
  <c r="AA266" i="34"/>
  <c r="AA272" i="34"/>
  <c r="P272" i="34"/>
  <c r="Q272" i="34"/>
  <c r="R272" i="34"/>
  <c r="V272" i="34"/>
  <c r="AA294" i="34"/>
  <c r="P294" i="34"/>
  <c r="Q294" i="34"/>
  <c r="R294" i="34"/>
  <c r="V294" i="34"/>
  <c r="Q396" i="34"/>
  <c r="R396" i="34"/>
  <c r="V396" i="34"/>
  <c r="AA396" i="34"/>
  <c r="P396" i="34"/>
  <c r="AA401" i="34"/>
  <c r="P401" i="34"/>
  <c r="Q401" i="34"/>
  <c r="R401" i="34"/>
  <c r="V401" i="34"/>
  <c r="P586" i="34"/>
  <c r="R586" i="34"/>
  <c r="V586" i="34"/>
  <c r="AA586" i="34"/>
  <c r="Q586" i="34"/>
  <c r="P590" i="34"/>
  <c r="R590" i="34"/>
  <c r="V590" i="34"/>
  <c r="AA590" i="34"/>
  <c r="Q590" i="34"/>
  <c r="R595" i="34"/>
  <c r="V595" i="34"/>
  <c r="AA595" i="34"/>
  <c r="P595" i="34"/>
  <c r="Q595" i="34"/>
  <c r="P628" i="34"/>
  <c r="Q628" i="34"/>
  <c r="R628" i="34"/>
  <c r="V628" i="34"/>
  <c r="AA628" i="34"/>
  <c r="R633" i="34"/>
  <c r="V633" i="34"/>
  <c r="AA633" i="34"/>
  <c r="P633" i="34"/>
  <c r="Q633" i="34"/>
  <c r="R663" i="34"/>
  <c r="V663" i="34"/>
  <c r="AA663" i="34"/>
  <c r="P663" i="34"/>
  <c r="Q663" i="34"/>
  <c r="P668" i="34"/>
  <c r="Q668" i="34"/>
  <c r="R668" i="34"/>
  <c r="V668" i="34"/>
  <c r="AA668" i="34"/>
  <c r="P702" i="34"/>
  <c r="Q702" i="34"/>
  <c r="R702" i="34"/>
  <c r="V702" i="34"/>
  <c r="AA702" i="34"/>
  <c r="P706" i="34"/>
  <c r="Q706" i="34"/>
  <c r="R706" i="34"/>
  <c r="V706" i="34"/>
  <c r="AA706" i="34"/>
  <c r="R731" i="34"/>
  <c r="V731" i="34"/>
  <c r="AA731" i="34"/>
  <c r="P731" i="34"/>
  <c r="Q731" i="34"/>
  <c r="R737" i="34"/>
  <c r="V737" i="34"/>
  <c r="AA737" i="34"/>
  <c r="P737" i="34"/>
  <c r="Q737" i="34"/>
  <c r="AA756" i="34"/>
  <c r="P756" i="34"/>
  <c r="Q756" i="34"/>
  <c r="R756" i="34"/>
  <c r="V756" i="34"/>
  <c r="AA760" i="34"/>
  <c r="P760" i="34"/>
  <c r="Q760" i="34"/>
  <c r="R760" i="34"/>
  <c r="V760" i="34"/>
  <c r="AA766" i="34"/>
  <c r="P766" i="34"/>
  <c r="Q766" i="34"/>
  <c r="R766" i="34"/>
  <c r="V766" i="34"/>
  <c r="Q771" i="34"/>
  <c r="R771" i="34"/>
  <c r="V771" i="34"/>
  <c r="AA771" i="34"/>
  <c r="P771" i="34"/>
  <c r="Q787" i="34"/>
  <c r="R787" i="34"/>
  <c r="V787" i="34"/>
  <c r="AA787" i="34"/>
  <c r="P787" i="34"/>
  <c r="AA792" i="34"/>
  <c r="P792" i="34"/>
  <c r="Q792" i="34"/>
  <c r="R792" i="34"/>
  <c r="V792" i="34"/>
  <c r="AA796" i="34"/>
  <c r="P796" i="34"/>
  <c r="Q796" i="34"/>
  <c r="R796" i="34"/>
  <c r="V796" i="34"/>
  <c r="P158" i="34"/>
  <c r="Q158" i="34"/>
  <c r="R158" i="34"/>
  <c r="V158" i="34"/>
  <c r="AA158" i="34"/>
  <c r="P164" i="34"/>
  <c r="Q164" i="34"/>
  <c r="R164" i="34"/>
  <c r="V164" i="34"/>
  <c r="AA164" i="34"/>
  <c r="P174" i="34"/>
  <c r="Q174" i="34"/>
  <c r="R174" i="34"/>
  <c r="V174" i="34"/>
  <c r="AA174" i="34"/>
  <c r="R179" i="34"/>
  <c r="V179" i="34"/>
  <c r="P179" i="34"/>
  <c r="Q179" i="34"/>
  <c r="AA179" i="34"/>
  <c r="AA203" i="34"/>
  <c r="P203" i="34"/>
  <c r="Q203" i="34"/>
  <c r="R203" i="34"/>
  <c r="V203" i="34"/>
  <c r="AA207" i="34"/>
  <c r="P207" i="34"/>
  <c r="Q207" i="34"/>
  <c r="R207" i="34"/>
  <c r="V207" i="34"/>
  <c r="Q216" i="34"/>
  <c r="R216" i="34"/>
  <c r="V216" i="34"/>
  <c r="AA216" i="34"/>
  <c r="P216" i="34"/>
  <c r="Q222" i="34"/>
  <c r="R222" i="34"/>
  <c r="V222" i="34"/>
  <c r="AA222" i="34"/>
  <c r="P222" i="34"/>
  <c r="AA233" i="34"/>
  <c r="P233" i="34"/>
  <c r="Q233" i="34"/>
  <c r="R233" i="34"/>
  <c r="V233" i="34"/>
  <c r="Q238" i="34"/>
  <c r="R238" i="34"/>
  <c r="V238" i="34"/>
  <c r="AA238" i="34"/>
  <c r="P238" i="34"/>
  <c r="Q1238" i="34"/>
  <c r="R1238" i="34"/>
  <c r="V1238" i="34"/>
  <c r="AA1238" i="34"/>
  <c r="P1238" i="34"/>
  <c r="R1265" i="34"/>
  <c r="V1265" i="34"/>
  <c r="AA1265" i="34"/>
  <c r="P1265" i="34"/>
  <c r="Q1265" i="34"/>
  <c r="R1301" i="34"/>
  <c r="V1301" i="34"/>
  <c r="AA1301" i="34"/>
  <c r="P1301" i="34"/>
  <c r="Q1301" i="34"/>
  <c r="R1305" i="34"/>
  <c r="V1305" i="34"/>
  <c r="AA1305" i="34"/>
  <c r="P1305" i="34"/>
  <c r="Q1305" i="34"/>
  <c r="R1271" i="34"/>
  <c r="V1271" i="34"/>
  <c r="AA1271" i="34"/>
  <c r="P1271" i="34"/>
  <c r="Q1271" i="34"/>
  <c r="R1063" i="34"/>
  <c r="V1063" i="34"/>
  <c r="AA1063" i="34"/>
  <c r="P1063" i="34"/>
  <c r="Q1063" i="34"/>
  <c r="P1864" i="34"/>
  <c r="R1864" i="34"/>
  <c r="V1864" i="34"/>
  <c r="AA1864" i="34"/>
  <c r="Q1864" i="34"/>
  <c r="AA1179" i="34"/>
  <c r="P1179" i="34"/>
  <c r="Q1179" i="34"/>
  <c r="R1179" i="34"/>
  <c r="V1179" i="34"/>
  <c r="AA1181" i="34"/>
  <c r="P1181" i="34"/>
  <c r="Q1181" i="34"/>
  <c r="R1181" i="34"/>
  <c r="V1181" i="34"/>
  <c r="Q1194" i="34"/>
  <c r="R1194" i="34"/>
  <c r="V1194" i="34"/>
  <c r="AA1194" i="34"/>
  <c r="P1194" i="34"/>
  <c r="P1044" i="34"/>
  <c r="Q1044" i="34"/>
  <c r="R1044" i="34"/>
  <c r="V1044" i="34"/>
  <c r="AA1044" i="34"/>
  <c r="Q827" i="34"/>
  <c r="R827" i="34"/>
  <c r="V827" i="34"/>
  <c r="AA827" i="34"/>
  <c r="P827" i="34"/>
  <c r="R545" i="34"/>
  <c r="V545" i="34"/>
  <c r="AA545" i="34"/>
  <c r="P545" i="34"/>
  <c r="Q545" i="34"/>
  <c r="R551" i="34"/>
  <c r="V551" i="34"/>
  <c r="AA551" i="34"/>
  <c r="P551" i="34"/>
  <c r="Q551" i="34"/>
  <c r="R555" i="34"/>
  <c r="V555" i="34"/>
  <c r="AA555" i="34"/>
  <c r="P555" i="34"/>
  <c r="Q555" i="34"/>
  <c r="R559" i="34"/>
  <c r="V559" i="34"/>
  <c r="P559" i="34"/>
  <c r="Q559" i="34"/>
  <c r="AA559" i="34"/>
  <c r="P564" i="34"/>
  <c r="R564" i="34"/>
  <c r="V564" i="34"/>
  <c r="AA564" i="34"/>
  <c r="Q564" i="34"/>
  <c r="P570" i="34"/>
  <c r="R570" i="34"/>
  <c r="V570" i="34"/>
  <c r="AA570" i="34"/>
  <c r="Q570" i="34"/>
  <c r="R575" i="34"/>
  <c r="V575" i="34"/>
  <c r="P575" i="34"/>
  <c r="Q575" i="34"/>
  <c r="AA575" i="34"/>
  <c r="R579" i="34"/>
  <c r="V579" i="34"/>
  <c r="P579" i="34"/>
  <c r="AA579" i="34"/>
  <c r="Q579" i="34"/>
  <c r="P584" i="34"/>
  <c r="R584" i="34"/>
  <c r="V584" i="34"/>
  <c r="AA584" i="34"/>
  <c r="Q584" i="34"/>
  <c r="P612" i="34"/>
  <c r="Q612" i="34"/>
  <c r="R612" i="34"/>
  <c r="V612" i="34"/>
  <c r="AA612" i="34"/>
  <c r="P1032" i="34"/>
  <c r="Q1032" i="34"/>
  <c r="R1032" i="34"/>
  <c r="V1032" i="34"/>
  <c r="AA1032" i="34"/>
  <c r="Q1150" i="34"/>
  <c r="R1150" i="34"/>
  <c r="V1150" i="34"/>
  <c r="AA1150" i="34"/>
  <c r="P1150" i="34"/>
  <c r="Q1182" i="34"/>
  <c r="R1182" i="34"/>
  <c r="V1182" i="34"/>
  <c r="AA1182" i="34"/>
  <c r="P1182" i="34"/>
  <c r="AA1191" i="34"/>
  <c r="P1191" i="34"/>
  <c r="Q1191" i="34"/>
  <c r="R1191" i="34"/>
  <c r="V1191" i="34"/>
  <c r="Q843" i="34"/>
  <c r="R843" i="34"/>
  <c r="V843" i="34"/>
  <c r="AA843" i="34"/>
  <c r="P843" i="34"/>
  <c r="AA407" i="34"/>
  <c r="P407" i="34"/>
  <c r="Q407" i="34"/>
  <c r="R407" i="34"/>
  <c r="V407" i="34"/>
  <c r="AA411" i="34"/>
  <c r="P411" i="34"/>
  <c r="Q411" i="34"/>
  <c r="R411" i="34"/>
  <c r="V411" i="34"/>
  <c r="AA415" i="34"/>
  <c r="P415" i="34"/>
  <c r="Q415" i="34"/>
  <c r="R415" i="34"/>
  <c r="V415" i="34"/>
  <c r="Q422" i="34"/>
  <c r="R422" i="34"/>
  <c r="V422" i="34"/>
  <c r="AA422" i="34"/>
  <c r="P422" i="34"/>
  <c r="AA427" i="34"/>
  <c r="P427" i="34"/>
  <c r="Q427" i="34"/>
  <c r="R427" i="34"/>
  <c r="V427" i="34"/>
  <c r="AA431" i="34"/>
  <c r="P431" i="34"/>
  <c r="Q431" i="34"/>
  <c r="R431" i="34"/>
  <c r="V431" i="34"/>
  <c r="P540" i="34"/>
  <c r="Q540" i="34"/>
  <c r="R540" i="34"/>
  <c r="V540" i="34"/>
  <c r="AA540" i="34"/>
  <c r="P544" i="34"/>
  <c r="Q544" i="34"/>
  <c r="R544" i="34"/>
  <c r="V544" i="34"/>
  <c r="AA544" i="34"/>
  <c r="AA1209" i="34"/>
  <c r="P1209" i="34"/>
  <c r="Q1209" i="34"/>
  <c r="R1209" i="34"/>
  <c r="V1209" i="34"/>
  <c r="AA1221" i="34"/>
  <c r="P1221" i="34"/>
  <c r="Q1221" i="34"/>
  <c r="R1221" i="34"/>
  <c r="V1221" i="34"/>
  <c r="AA241" i="34"/>
  <c r="P241" i="34"/>
  <c r="Q241" i="34"/>
  <c r="R241" i="34"/>
  <c r="V241" i="34"/>
  <c r="AA253" i="34"/>
  <c r="P253" i="34"/>
  <c r="Q253" i="34"/>
  <c r="R253" i="34"/>
  <c r="V253" i="34"/>
  <c r="R258" i="34"/>
  <c r="V258" i="34"/>
  <c r="P258" i="34"/>
  <c r="AA258" i="34"/>
  <c r="Q258" i="34"/>
  <c r="R267" i="34"/>
  <c r="V267" i="34"/>
  <c r="P267" i="34"/>
  <c r="Q267" i="34"/>
  <c r="AA267" i="34"/>
  <c r="Q273" i="34"/>
  <c r="R273" i="34"/>
  <c r="V273" i="34"/>
  <c r="AA273" i="34"/>
  <c r="P273" i="34"/>
  <c r="AA296" i="34"/>
  <c r="P296" i="34"/>
  <c r="Q296" i="34"/>
  <c r="R296" i="34"/>
  <c r="V296" i="34"/>
  <c r="Q398" i="34"/>
  <c r="R398" i="34"/>
  <c r="V398" i="34"/>
  <c r="AA398" i="34"/>
  <c r="P398" i="34"/>
  <c r="Q402" i="34"/>
  <c r="R402" i="34"/>
  <c r="V402" i="34"/>
  <c r="AA402" i="34"/>
  <c r="P402" i="34"/>
  <c r="R587" i="34"/>
  <c r="V587" i="34"/>
  <c r="Q587" i="34"/>
  <c r="AA587" i="34"/>
  <c r="P587" i="34"/>
  <c r="R591" i="34"/>
  <c r="Q591" i="34"/>
  <c r="V591" i="34"/>
  <c r="AA591" i="34"/>
  <c r="P591" i="34"/>
  <c r="P624" i="34"/>
  <c r="Q624" i="34"/>
  <c r="R624" i="34"/>
  <c r="V624" i="34"/>
  <c r="AA624" i="34"/>
  <c r="R629" i="34"/>
  <c r="V629" i="34"/>
  <c r="AA629" i="34"/>
  <c r="P629" i="34"/>
  <c r="Q629" i="34"/>
  <c r="P634" i="34"/>
  <c r="Q634" i="34"/>
  <c r="R634" i="34"/>
  <c r="V634" i="34"/>
  <c r="AA634" i="34"/>
  <c r="P664" i="34"/>
  <c r="Q664" i="34"/>
  <c r="R664" i="34"/>
  <c r="V664" i="34"/>
  <c r="AA664" i="34"/>
  <c r="R669" i="34"/>
  <c r="V669" i="34"/>
  <c r="AA669" i="34"/>
  <c r="P669" i="34"/>
  <c r="Q669" i="34"/>
  <c r="R703" i="34"/>
  <c r="V703" i="34"/>
  <c r="AA703" i="34"/>
  <c r="P703" i="34"/>
  <c r="Q703" i="34"/>
  <c r="P728" i="34"/>
  <c r="Q728" i="34"/>
  <c r="R728" i="34"/>
  <c r="V728" i="34"/>
  <c r="AA728" i="34"/>
  <c r="R733" i="34"/>
  <c r="V733" i="34"/>
  <c r="AA733" i="34"/>
  <c r="P733" i="34"/>
  <c r="Q733" i="34"/>
  <c r="P738" i="34"/>
  <c r="Q738" i="34"/>
  <c r="R738" i="34"/>
  <c r="V738" i="34"/>
  <c r="AA738" i="34"/>
  <c r="Q757" i="34"/>
  <c r="R757" i="34"/>
  <c r="V757" i="34"/>
  <c r="AA757" i="34"/>
  <c r="P757" i="34"/>
  <c r="Q761" i="34"/>
  <c r="R761" i="34"/>
  <c r="V761" i="34"/>
  <c r="AA761" i="34"/>
  <c r="P761" i="34"/>
  <c r="Q767" i="34"/>
  <c r="R767" i="34"/>
  <c r="V767" i="34"/>
  <c r="AA767" i="34"/>
  <c r="P767" i="34"/>
  <c r="AA772" i="34"/>
  <c r="P772" i="34"/>
  <c r="Q772" i="34"/>
  <c r="R772" i="34"/>
  <c r="V772" i="34"/>
  <c r="AA788" i="34"/>
  <c r="P788" i="34"/>
  <c r="Q788" i="34"/>
  <c r="R788" i="34"/>
  <c r="V788" i="34"/>
  <c r="Q793" i="34"/>
  <c r="R793" i="34"/>
  <c r="V793" i="34"/>
  <c r="AA793" i="34"/>
  <c r="P793" i="34"/>
  <c r="Q823" i="34"/>
  <c r="R823" i="34"/>
  <c r="V823" i="34"/>
  <c r="AA823" i="34"/>
  <c r="P823" i="34"/>
  <c r="R159" i="34"/>
  <c r="V159" i="34"/>
  <c r="AA159" i="34"/>
  <c r="P159" i="34"/>
  <c r="Q159" i="34"/>
  <c r="P166" i="34"/>
  <c r="Q166" i="34"/>
  <c r="R166" i="34"/>
  <c r="V166" i="34"/>
  <c r="AA166" i="34"/>
  <c r="R175" i="34"/>
  <c r="V175" i="34"/>
  <c r="P175" i="34"/>
  <c r="Q175" i="34"/>
  <c r="AA175" i="34"/>
  <c r="P180" i="34"/>
  <c r="R180" i="34"/>
  <c r="V180" i="34"/>
  <c r="AA180" i="34"/>
  <c r="Q180" i="34"/>
  <c r="Q204" i="34"/>
  <c r="R204" i="34"/>
  <c r="V204" i="34"/>
  <c r="AA204" i="34"/>
  <c r="P204" i="34"/>
  <c r="Q208" i="34"/>
  <c r="R208" i="34"/>
  <c r="V208" i="34"/>
  <c r="AA208" i="34"/>
  <c r="P208" i="34"/>
  <c r="Q218" i="34"/>
  <c r="R218" i="34"/>
  <c r="V218" i="34"/>
  <c r="AA218" i="34"/>
  <c r="P218" i="34"/>
  <c r="AA223" i="34"/>
  <c r="P223" i="34"/>
  <c r="Q223" i="34"/>
  <c r="R223" i="34"/>
  <c r="V223" i="34"/>
  <c r="Q234" i="34"/>
  <c r="R234" i="34"/>
  <c r="V234" i="34"/>
  <c r="AA234" i="34"/>
  <c r="P234" i="34"/>
  <c r="AA239" i="34"/>
  <c r="P239" i="34"/>
  <c r="Q239" i="34"/>
  <c r="R239" i="34"/>
  <c r="V239" i="34"/>
  <c r="R1865" i="34"/>
  <c r="V1865" i="34"/>
  <c r="P1865" i="34"/>
  <c r="AA1865" i="34"/>
  <c r="Q1865" i="34"/>
  <c r="R1257" i="34"/>
  <c r="V1257" i="34"/>
  <c r="AA1257" i="34"/>
  <c r="P1257" i="34"/>
  <c r="Q1257" i="34"/>
  <c r="R1273" i="34"/>
  <c r="V1273" i="34"/>
  <c r="AA1273" i="34"/>
  <c r="P1273" i="34"/>
  <c r="Q1273" i="34"/>
  <c r="P1870" i="34"/>
  <c r="R1870" i="34"/>
  <c r="V1870" i="34"/>
  <c r="AA1870" i="34"/>
  <c r="Q1870" i="34"/>
  <c r="Q1234" i="34"/>
  <c r="R1234" i="34"/>
  <c r="V1234" i="34"/>
  <c r="AA1234" i="34"/>
  <c r="P1234" i="34"/>
  <c r="AA1239" i="34"/>
  <c r="P1239" i="34"/>
  <c r="Q1239" i="34"/>
  <c r="R1239" i="34"/>
  <c r="V1239" i="34"/>
  <c r="Q1244" i="34"/>
  <c r="R1244" i="34"/>
  <c r="V1244" i="34"/>
  <c r="P1244" i="34"/>
  <c r="AA1244" i="34"/>
  <c r="Q1248" i="34"/>
  <c r="P1248" i="34"/>
  <c r="R1248" i="34"/>
  <c r="V1248" i="34"/>
  <c r="AA1248" i="34"/>
  <c r="P1258" i="34"/>
  <c r="Q1258" i="34"/>
  <c r="R1258" i="34"/>
  <c r="V1258" i="34"/>
  <c r="AA1258" i="34"/>
  <c r="P1266" i="34"/>
  <c r="Q1266" i="34"/>
  <c r="R1266" i="34"/>
  <c r="V1266" i="34"/>
  <c r="AA1266" i="34"/>
  <c r="P1274" i="34"/>
  <c r="Q1274" i="34"/>
  <c r="R1274" i="34"/>
  <c r="V1274" i="34"/>
  <c r="AA1274" i="34"/>
  <c r="R1281" i="34"/>
  <c r="V1281" i="34"/>
  <c r="AA1281" i="34"/>
  <c r="P1281" i="34"/>
  <c r="Q1281" i="34"/>
  <c r="P1288" i="34"/>
  <c r="Q1288" i="34"/>
  <c r="R1288" i="34"/>
  <c r="V1288" i="34"/>
  <c r="AA1288" i="34"/>
  <c r="P1302" i="34"/>
  <c r="Q1302" i="34"/>
  <c r="R1302" i="34"/>
  <c r="V1302" i="34"/>
  <c r="AA1302" i="34"/>
  <c r="P1306" i="34"/>
  <c r="Q1306" i="34"/>
  <c r="R1306" i="34"/>
  <c r="V1306" i="34"/>
  <c r="AA1306" i="34"/>
  <c r="P1272" i="34"/>
  <c r="Q1272" i="34"/>
  <c r="R1272" i="34"/>
  <c r="V1272" i="34"/>
  <c r="AA1272" i="34"/>
  <c r="P1064" i="34"/>
  <c r="Q1064" i="34"/>
  <c r="R1064" i="34"/>
  <c r="V1064" i="34"/>
  <c r="AA1064" i="34"/>
  <c r="AA1147" i="34"/>
  <c r="P1147" i="34"/>
  <c r="Q1147" i="34"/>
  <c r="R1147" i="34"/>
  <c r="V1147" i="34"/>
  <c r="Q1174" i="34"/>
  <c r="R1174" i="34"/>
  <c r="V1174" i="34"/>
  <c r="AA1174" i="34"/>
  <c r="P1174" i="34"/>
  <c r="Q1186" i="34"/>
  <c r="R1186" i="34"/>
  <c r="V1186" i="34"/>
  <c r="AA1186" i="34"/>
  <c r="P1186" i="34"/>
  <c r="AA1195" i="34"/>
  <c r="P1195" i="34"/>
  <c r="Q1195" i="34"/>
  <c r="R1195" i="34"/>
  <c r="V1195" i="34"/>
  <c r="AA1117" i="34"/>
  <c r="P1117" i="34"/>
  <c r="Q1117" i="34"/>
  <c r="R1117" i="34"/>
  <c r="V1117" i="34"/>
  <c r="AA838" i="34"/>
  <c r="P838" i="34"/>
  <c r="Q838" i="34"/>
  <c r="R838" i="34"/>
  <c r="V838" i="34"/>
  <c r="R547" i="34"/>
  <c r="V547" i="34"/>
  <c r="AA547" i="34"/>
  <c r="P547" i="34"/>
  <c r="Q547" i="34"/>
  <c r="P552" i="34"/>
  <c r="Q552" i="34"/>
  <c r="R552" i="34"/>
  <c r="V552" i="34"/>
  <c r="AA552" i="34"/>
  <c r="P556" i="34"/>
  <c r="Q556" i="34"/>
  <c r="R556" i="34"/>
  <c r="V556" i="34"/>
  <c r="AA556" i="34"/>
  <c r="R561" i="34"/>
  <c r="V561" i="34"/>
  <c r="P561" i="34"/>
  <c r="Q561" i="34"/>
  <c r="AA561" i="34"/>
  <c r="P566" i="34"/>
  <c r="R566" i="34"/>
  <c r="V566" i="34"/>
  <c r="AA566" i="34"/>
  <c r="Q566" i="34"/>
  <c r="P572" i="34"/>
  <c r="R572" i="34"/>
  <c r="V572" i="34"/>
  <c r="AA572" i="34"/>
  <c r="Q572" i="34"/>
  <c r="P576" i="34"/>
  <c r="R576" i="34"/>
  <c r="V576" i="34"/>
  <c r="AA576" i="34"/>
  <c r="Q576" i="34"/>
  <c r="P580" i="34"/>
  <c r="R580" i="34"/>
  <c r="V580" i="34"/>
  <c r="AA580" i="34"/>
  <c r="Q580" i="34"/>
  <c r="R585" i="34"/>
  <c r="V585" i="34"/>
  <c r="P585" i="34"/>
  <c r="AA585" i="34"/>
  <c r="Q585" i="34"/>
  <c r="R619" i="34"/>
  <c r="V619" i="34"/>
  <c r="AA619" i="34"/>
  <c r="P619" i="34"/>
  <c r="Q619" i="34"/>
  <c r="R1033" i="34"/>
  <c r="V1033" i="34"/>
  <c r="AA1033" i="34"/>
  <c r="P1033" i="34"/>
  <c r="Q1033" i="34"/>
  <c r="AA1165" i="34"/>
  <c r="P1165" i="34"/>
  <c r="Q1165" i="34"/>
  <c r="R1165" i="34"/>
  <c r="V1165" i="34"/>
  <c r="AA1183" i="34"/>
  <c r="P1183" i="34"/>
  <c r="Q1183" i="34"/>
  <c r="R1183" i="34"/>
  <c r="V1183" i="34"/>
  <c r="AA840" i="34"/>
  <c r="P840" i="34"/>
  <c r="Q840" i="34"/>
  <c r="R840" i="34"/>
  <c r="V840" i="34"/>
  <c r="AA844" i="34"/>
  <c r="P844" i="34"/>
  <c r="Q844" i="34"/>
  <c r="R844" i="34"/>
  <c r="V844" i="34"/>
  <c r="Q408" i="34"/>
  <c r="R408" i="34"/>
  <c r="V408" i="34"/>
  <c r="AA408" i="34"/>
  <c r="P408" i="34"/>
  <c r="Q412" i="34"/>
  <c r="R412" i="34"/>
  <c r="V412" i="34"/>
  <c r="AA412" i="34"/>
  <c r="P412" i="34"/>
  <c r="Q416" i="34"/>
  <c r="R416" i="34"/>
  <c r="V416" i="34"/>
  <c r="AA416" i="34"/>
  <c r="P416" i="34"/>
  <c r="AA423" i="34"/>
  <c r="P423" i="34"/>
  <c r="Q423" i="34"/>
  <c r="R423" i="34"/>
  <c r="V423" i="34"/>
  <c r="Q428" i="34"/>
  <c r="R428" i="34"/>
  <c r="V428" i="34"/>
  <c r="AA428" i="34"/>
  <c r="P428" i="34"/>
  <c r="Q432" i="34"/>
  <c r="R432" i="34"/>
  <c r="V432" i="34"/>
  <c r="AA432" i="34"/>
  <c r="P432" i="34"/>
  <c r="R541" i="34"/>
  <c r="V541" i="34"/>
  <c r="AA541" i="34"/>
  <c r="P541" i="34"/>
  <c r="Q541" i="34"/>
  <c r="Q1202" i="34"/>
  <c r="R1202" i="34"/>
  <c r="V1202" i="34"/>
  <c r="AA1202" i="34"/>
  <c r="P1202" i="34"/>
  <c r="Q1210" i="34"/>
  <c r="R1210" i="34"/>
  <c r="V1210" i="34"/>
  <c r="AA1210" i="34"/>
  <c r="P1210" i="34"/>
  <c r="Q1222" i="34"/>
  <c r="R1222" i="34"/>
  <c r="V1222" i="34"/>
  <c r="AA1222" i="34"/>
  <c r="P1222" i="34"/>
  <c r="Q242" i="34"/>
  <c r="R242" i="34"/>
  <c r="V242" i="34"/>
  <c r="AA242" i="34"/>
  <c r="P242" i="34"/>
  <c r="P255" i="34"/>
  <c r="Q255" i="34"/>
  <c r="R255" i="34"/>
  <c r="V255" i="34"/>
  <c r="AA255" i="34"/>
  <c r="R263" i="34"/>
  <c r="V263" i="34"/>
  <c r="P263" i="34"/>
  <c r="Q263" i="34"/>
  <c r="AA263" i="34"/>
  <c r="Q269" i="34"/>
  <c r="R269" i="34"/>
  <c r="V269" i="34"/>
  <c r="AA269" i="34"/>
  <c r="P269" i="34"/>
  <c r="AA274" i="34"/>
  <c r="P274" i="34"/>
  <c r="Q274" i="34"/>
  <c r="R274" i="34"/>
  <c r="V274" i="34"/>
  <c r="Q297" i="34"/>
  <c r="R297" i="34"/>
  <c r="V297" i="34"/>
  <c r="AA297" i="34"/>
  <c r="P297" i="34"/>
  <c r="AA399" i="34"/>
  <c r="P399" i="34"/>
  <c r="Q399" i="34"/>
  <c r="R399" i="34"/>
  <c r="V399" i="34"/>
  <c r="AA403" i="34"/>
  <c r="P403" i="34"/>
  <c r="Q403" i="34"/>
  <c r="R403" i="34"/>
  <c r="V403" i="34"/>
  <c r="P588" i="34"/>
  <c r="R588" i="34"/>
  <c r="V588" i="34"/>
  <c r="AA588" i="34"/>
  <c r="Q588" i="34"/>
  <c r="P592" i="34"/>
  <c r="Q592" i="34"/>
  <c r="R592" i="34"/>
  <c r="V592" i="34"/>
  <c r="AA592" i="34"/>
  <c r="R625" i="34"/>
  <c r="V625" i="34"/>
  <c r="AA625" i="34"/>
  <c r="P625" i="34"/>
  <c r="Q625" i="34"/>
  <c r="R631" i="34"/>
  <c r="V631" i="34"/>
  <c r="AA631" i="34"/>
  <c r="P631" i="34"/>
  <c r="Q631" i="34"/>
  <c r="R661" i="34"/>
  <c r="V661" i="34"/>
  <c r="AA661" i="34"/>
  <c r="P661" i="34"/>
  <c r="Q661" i="34"/>
  <c r="R665" i="34"/>
  <c r="V665" i="34"/>
  <c r="AA665" i="34"/>
  <c r="P665" i="34"/>
  <c r="Q665" i="34"/>
  <c r="P670" i="34"/>
  <c r="Q670" i="34"/>
  <c r="R670" i="34"/>
  <c r="V670" i="34"/>
  <c r="AA670" i="34"/>
  <c r="P704" i="34"/>
  <c r="Q704" i="34"/>
  <c r="R704" i="34"/>
  <c r="V704" i="34"/>
  <c r="AA704" i="34"/>
  <c r="R729" i="34"/>
  <c r="V729" i="34"/>
  <c r="AA729" i="34"/>
  <c r="P729" i="34"/>
  <c r="Q729" i="34"/>
  <c r="P734" i="34"/>
  <c r="Q734" i="34"/>
  <c r="R734" i="34"/>
  <c r="V734" i="34"/>
  <c r="AA734" i="34"/>
  <c r="AA754" i="34"/>
  <c r="P754" i="34"/>
  <c r="Q754" i="34"/>
  <c r="R754" i="34"/>
  <c r="V754" i="34"/>
  <c r="AA758" i="34"/>
  <c r="P758" i="34"/>
  <c r="Q758" i="34"/>
  <c r="R758" i="34"/>
  <c r="V758" i="34"/>
  <c r="AA762" i="34"/>
  <c r="P762" i="34"/>
  <c r="Q762" i="34"/>
  <c r="R762" i="34"/>
  <c r="V762" i="34"/>
  <c r="AA768" i="34"/>
  <c r="P768" i="34"/>
  <c r="Q768" i="34"/>
  <c r="R768" i="34"/>
  <c r="V768" i="34"/>
  <c r="AA774" i="34"/>
  <c r="P774" i="34"/>
  <c r="Q774" i="34"/>
  <c r="R774" i="34"/>
  <c r="V774" i="34"/>
  <c r="AA790" i="34"/>
  <c r="P790" i="34"/>
  <c r="Q790" i="34"/>
  <c r="R790" i="34"/>
  <c r="V790" i="34"/>
  <c r="AA794" i="34"/>
  <c r="P794" i="34"/>
  <c r="Q794" i="34"/>
  <c r="R794" i="34"/>
  <c r="V794" i="34"/>
  <c r="AA824" i="34"/>
  <c r="P824" i="34"/>
  <c r="Q824" i="34"/>
  <c r="R824" i="34"/>
  <c r="V824" i="34"/>
  <c r="P160" i="34"/>
  <c r="Q160" i="34"/>
  <c r="R160" i="34"/>
  <c r="V160" i="34"/>
  <c r="AA160" i="34"/>
  <c r="P168" i="34"/>
  <c r="Q168" i="34"/>
  <c r="R168" i="34"/>
  <c r="V168" i="34"/>
  <c r="AA168" i="34"/>
  <c r="P176" i="34"/>
  <c r="R176" i="34"/>
  <c r="V176" i="34"/>
  <c r="AA176" i="34"/>
  <c r="Q176" i="34"/>
  <c r="R181" i="34"/>
  <c r="V181" i="34"/>
  <c r="P181" i="34"/>
  <c r="Q181" i="34"/>
  <c r="AA181" i="34"/>
  <c r="AA205" i="34"/>
  <c r="P205" i="34"/>
  <c r="Q205" i="34"/>
  <c r="R205" i="34"/>
  <c r="V205" i="34"/>
  <c r="Q210" i="34"/>
  <c r="R210" i="34"/>
  <c r="V210" i="34"/>
  <c r="AA210" i="34"/>
  <c r="P210" i="34"/>
  <c r="AA219" i="34"/>
  <c r="P219" i="34"/>
  <c r="Q219" i="34"/>
  <c r="R219" i="34"/>
  <c r="V219" i="34"/>
  <c r="Q224" i="34"/>
  <c r="R224" i="34"/>
  <c r="V224" i="34"/>
  <c r="AA224" i="34"/>
  <c r="P224" i="34"/>
  <c r="Q236" i="34"/>
  <c r="R236" i="34"/>
  <c r="V236" i="34"/>
  <c r="AA236" i="34"/>
  <c r="P236" i="34"/>
  <c r="A1238" i="34"/>
  <c r="A1257" i="34"/>
  <c r="A1287" i="34"/>
  <c r="A1234" i="34"/>
  <c r="A1239" i="34"/>
  <c r="A1248" i="34"/>
  <c r="A1266" i="34"/>
  <c r="A1281" i="34"/>
  <c r="A1301" i="34"/>
  <c r="A1463" i="34"/>
  <c r="A1179" i="34"/>
  <c r="A1194" i="34"/>
  <c r="A1235" i="34"/>
  <c r="A1240" i="34"/>
  <c r="A1245" i="34"/>
  <c r="A1249" i="34"/>
  <c r="A1259" i="34"/>
  <c r="A1268" i="34"/>
  <c r="A1278" i="34"/>
  <c r="A1285" i="34"/>
  <c r="A1302" i="34"/>
  <c r="A1306" i="34"/>
  <c r="A1062" i="34"/>
  <c r="A1464" i="34"/>
  <c r="A1147" i="34"/>
  <c r="A1174" i="34"/>
  <c r="A1186" i="34"/>
  <c r="A1195" i="34"/>
  <c r="A1117" i="34"/>
  <c r="A1461" i="34"/>
  <c r="A1468" i="34"/>
  <c r="A1481" i="34"/>
  <c r="A1499" i="34"/>
  <c r="A838" i="34"/>
  <c r="A547" i="34"/>
  <c r="A552" i="34"/>
  <c r="A556" i="34"/>
  <c r="A561" i="34"/>
  <c r="A566" i="34"/>
  <c r="A572" i="34"/>
  <c r="A579" i="34"/>
  <c r="A584" i="34"/>
  <c r="A612" i="34"/>
  <c r="A1034" i="34"/>
  <c r="A1167" i="34"/>
  <c r="A1188" i="34"/>
  <c r="A841" i="34"/>
  <c r="A405" i="34"/>
  <c r="A409" i="34"/>
  <c r="A413" i="34"/>
  <c r="A417" i="34"/>
  <c r="A424" i="34"/>
  <c r="A427" i="34"/>
  <c r="A431" i="34"/>
  <c r="A543" i="34"/>
  <c r="A1208" i="34"/>
  <c r="A1220" i="34"/>
  <c r="A240" i="34"/>
  <c r="A255" i="34"/>
  <c r="A263" i="34"/>
  <c r="A269" i="34"/>
  <c r="A274" i="34"/>
  <c r="A297" i="34"/>
  <c r="A399" i="34"/>
  <c r="A403" i="34"/>
  <c r="A588" i="34"/>
  <c r="A592" i="34"/>
  <c r="A625" i="34"/>
  <c r="A631" i="34"/>
  <c r="A661" i="34"/>
  <c r="A665" i="34"/>
  <c r="A670" i="34"/>
  <c r="A704" i="34"/>
  <c r="A705" i="34"/>
  <c r="A730" i="34"/>
  <c r="A736" i="34"/>
  <c r="A755" i="34"/>
  <c r="A759" i="34"/>
  <c r="A765" i="34"/>
  <c r="A769" i="34"/>
  <c r="A775" i="34"/>
  <c r="A791" i="34"/>
  <c r="A795" i="34"/>
  <c r="A825" i="34"/>
  <c r="A163" i="34"/>
  <c r="A173" i="34"/>
  <c r="A178" i="34"/>
  <c r="A202" i="34"/>
  <c r="A206" i="34"/>
  <c r="A211" i="34"/>
  <c r="A221" i="34"/>
  <c r="A225" i="34"/>
  <c r="A237" i="34"/>
  <c r="A1490" i="34"/>
  <c r="A1237" i="34"/>
  <c r="A1242" i="34"/>
  <c r="A1246" i="34"/>
  <c r="A1256" i="34"/>
  <c r="A1260" i="34"/>
  <c r="A1269" i="34"/>
  <c r="A1279" i="34"/>
  <c r="A1286" i="34"/>
  <c r="A1299" i="34"/>
  <c r="A1303" i="34"/>
  <c r="A1324" i="34"/>
  <c r="A1271" i="34"/>
  <c r="A1063" i="34"/>
  <c r="A1459" i="34"/>
  <c r="A1148" i="34"/>
  <c r="A1175" i="34"/>
  <c r="A1075" i="34"/>
  <c r="A1314" i="34"/>
  <c r="A1118" i="34"/>
  <c r="A1462" i="34"/>
  <c r="A1469" i="34"/>
  <c r="A1495" i="34"/>
  <c r="A1518" i="34"/>
  <c r="A418" i="34"/>
  <c r="A549" i="34"/>
  <c r="A553" i="34"/>
  <c r="A557" i="34"/>
  <c r="A562" i="34"/>
  <c r="A567" i="34"/>
  <c r="A573" i="34"/>
  <c r="A576" i="34"/>
  <c r="A580" i="34"/>
  <c r="A585" i="34"/>
  <c r="A619" i="34"/>
  <c r="A1149" i="34"/>
  <c r="A1176" i="34"/>
  <c r="A1189" i="34"/>
  <c r="A842" i="34"/>
  <c r="A406" i="34"/>
  <c r="A410" i="34"/>
  <c r="A414" i="34"/>
  <c r="A421" i="34"/>
  <c r="A425" i="34"/>
  <c r="A428" i="34"/>
  <c r="A432" i="34"/>
  <c r="A540" i="34"/>
  <c r="A544" i="34"/>
  <c r="A1209" i="34"/>
  <c r="A1221" i="34"/>
  <c r="A241" i="34"/>
  <c r="A256" i="34"/>
  <c r="A264" i="34"/>
  <c r="A270" i="34"/>
  <c r="A293" i="34"/>
  <c r="A298" i="34"/>
  <c r="A400" i="34"/>
  <c r="A404" i="34"/>
  <c r="A589" i="34"/>
  <c r="A593" i="34"/>
  <c r="A627" i="34"/>
  <c r="A632" i="34"/>
  <c r="A662" i="34"/>
  <c r="A667" i="34"/>
  <c r="A701" i="34"/>
  <c r="A706" i="34"/>
  <c r="A731" i="34"/>
  <c r="A737" i="34"/>
  <c r="A756" i="34"/>
  <c r="A760" i="34"/>
  <c r="A766" i="34"/>
  <c r="A771" i="34"/>
  <c r="A787" i="34"/>
  <c r="A792" i="34"/>
  <c r="A796" i="34"/>
  <c r="A158" i="34"/>
  <c r="A164" i="34"/>
  <c r="A174" i="34"/>
  <c r="A179" i="34"/>
  <c r="A203" i="34"/>
  <c r="A207" i="34"/>
  <c r="A216" i="34"/>
  <c r="A222" i="34"/>
  <c r="A233" i="34"/>
  <c r="A238" i="34"/>
  <c r="A1243" i="34"/>
  <c r="A1265" i="34"/>
  <c r="A1280" i="34"/>
  <c r="A1300" i="34"/>
  <c r="A1304" i="34"/>
  <c r="A1325" i="34"/>
  <c r="A1272" i="34"/>
  <c r="A1064" i="34"/>
  <c r="A1178" i="34"/>
  <c r="A1180" i="34"/>
  <c r="A1076" i="34"/>
  <c r="A1043" i="34"/>
  <c r="A1116" i="34"/>
  <c r="A1466" i="34"/>
  <c r="A1470" i="34"/>
  <c r="A1496" i="34"/>
  <c r="A1516" i="34"/>
  <c r="A419" i="34"/>
  <c r="A550" i="34"/>
  <c r="A554" i="34"/>
  <c r="A558" i="34"/>
  <c r="A563" i="34"/>
  <c r="A569" i="34"/>
  <c r="A574" i="34"/>
  <c r="A577" i="34"/>
  <c r="A581" i="34"/>
  <c r="A610" i="34"/>
  <c r="A620" i="34"/>
  <c r="A1032" i="34"/>
  <c r="A1150" i="34"/>
  <c r="A1182" i="34"/>
  <c r="A1191" i="34"/>
  <c r="A843" i="34"/>
  <c r="A407" i="34"/>
  <c r="A411" i="34"/>
  <c r="A415" i="34"/>
  <c r="A422" i="34"/>
  <c r="A429" i="34"/>
  <c r="A433" i="34"/>
  <c r="A541" i="34"/>
  <c r="A1202" i="34"/>
  <c r="A1210" i="34"/>
  <c r="A1222" i="34"/>
  <c r="A242" i="34"/>
  <c r="A252" i="34"/>
  <c r="A257" i="34"/>
  <c r="A266" i="34"/>
  <c r="A272" i="34"/>
  <c r="A294" i="34"/>
  <c r="A396" i="34"/>
  <c r="A401" i="34"/>
  <c r="A586" i="34"/>
  <c r="A590" i="34"/>
  <c r="A595" i="34"/>
  <c r="A628" i="34"/>
  <c r="A633" i="34"/>
  <c r="A663" i="34"/>
  <c r="A668" i="34"/>
  <c r="A702" i="34"/>
  <c r="A728" i="34"/>
  <c r="A733" i="34"/>
  <c r="A738" i="34"/>
  <c r="A757" i="34"/>
  <c r="A761" i="34"/>
  <c r="A767" i="34"/>
  <c r="A772" i="34"/>
  <c r="A788" i="34"/>
  <c r="A793" i="34"/>
  <c r="A823" i="34"/>
  <c r="A159" i="34"/>
  <c r="A166" i="34"/>
  <c r="A175" i="34"/>
  <c r="A180" i="34"/>
  <c r="A204" i="34"/>
  <c r="A208" i="34"/>
  <c r="A218" i="34"/>
  <c r="A223" i="34"/>
  <c r="A234" i="34"/>
  <c r="A239" i="34"/>
  <c r="A1519" i="34"/>
  <c r="A1247" i="34"/>
  <c r="A1273" i="34"/>
  <c r="A1244" i="34"/>
  <c r="A1258" i="34"/>
  <c r="A1274" i="34"/>
  <c r="A1288" i="34"/>
  <c r="A1305" i="34"/>
  <c r="A1294" i="34"/>
  <c r="A1181" i="34"/>
  <c r="A1044" i="34"/>
  <c r="A1467" i="34"/>
  <c r="A1480" i="34"/>
  <c r="A1497" i="34"/>
  <c r="A1517" i="34"/>
  <c r="A827" i="34"/>
  <c r="A545" i="34"/>
  <c r="A551" i="34"/>
  <c r="A555" i="34"/>
  <c r="A559" i="34"/>
  <c r="A564" i="34"/>
  <c r="A570" i="34"/>
  <c r="A575" i="34"/>
  <c r="A578" i="34"/>
  <c r="A582" i="34"/>
  <c r="A611" i="34"/>
  <c r="A1025" i="34"/>
  <c r="A1033" i="34"/>
  <c r="A1165" i="34"/>
  <c r="A1183" i="34"/>
  <c r="A840" i="34"/>
  <c r="A844" i="34"/>
  <c r="A408" i="34"/>
  <c r="A412" i="34"/>
  <c r="A416" i="34"/>
  <c r="A423" i="34"/>
  <c r="A430" i="34"/>
  <c r="A434" i="34"/>
  <c r="A542" i="34"/>
  <c r="A1203" i="34"/>
  <c r="A1211" i="34"/>
  <c r="A1223" i="34"/>
  <c r="A250" i="34"/>
  <c r="A253" i="34"/>
  <c r="A258" i="34"/>
  <c r="A267" i="34"/>
  <c r="A273" i="34"/>
  <c r="A296" i="34"/>
  <c r="A398" i="34"/>
  <c r="A402" i="34"/>
  <c r="A587" i="34"/>
  <c r="A591" i="34"/>
  <c r="A624" i="34"/>
  <c r="A629" i="34"/>
  <c r="A634" i="34"/>
  <c r="A664" i="34"/>
  <c r="A669" i="34"/>
  <c r="A703" i="34"/>
  <c r="A729" i="34"/>
  <c r="A734" i="34"/>
  <c r="A754" i="34"/>
  <c r="A758" i="34"/>
  <c r="A762" i="34"/>
  <c r="A768" i="34"/>
  <c r="A774" i="34"/>
  <c r="A790" i="34"/>
  <c r="A794" i="34"/>
  <c r="A824" i="34"/>
  <c r="A160" i="34"/>
  <c r="A168" i="34"/>
  <c r="A176" i="34"/>
  <c r="A181" i="34"/>
  <c r="A205" i="34"/>
  <c r="A210" i="34"/>
  <c r="A219" i="34"/>
  <c r="A224" i="34"/>
  <c r="A236" i="34"/>
  <c r="A1717" i="34"/>
  <c r="A1714" i="34"/>
  <c r="A1866" i="34"/>
  <c r="A1715" i="34"/>
  <c r="A1729" i="34"/>
  <c r="A1865" i="34"/>
  <c r="A1867" i="34"/>
  <c r="A1640" i="34"/>
  <c r="A1572" i="34"/>
  <c r="A1666" i="34"/>
  <c r="A1675" i="34"/>
  <c r="A1871" i="34"/>
  <c r="A1728" i="34"/>
  <c r="A1716" i="34"/>
  <c r="A1726" i="34"/>
  <c r="A1870" i="34"/>
  <c r="A1868" i="34"/>
  <c r="A1573" i="34"/>
  <c r="A1652" i="34"/>
  <c r="A1672" i="34"/>
  <c r="A1677" i="34"/>
  <c r="A1641" i="34"/>
  <c r="A1869" i="34"/>
  <c r="A1574" i="34"/>
  <c r="A1664" i="34"/>
  <c r="A1673" i="34"/>
  <c r="A1679" i="34"/>
  <c r="A1727" i="34"/>
  <c r="A1742" i="34"/>
  <c r="A1642" i="34"/>
  <c r="A1864" i="34"/>
  <c r="A1575" i="34"/>
  <c r="A1665" i="34"/>
  <c r="A1674" i="34"/>
  <c r="B104" i="34"/>
  <c r="B105" i="34"/>
  <c r="B139" i="34"/>
  <c r="B1152" i="34"/>
  <c r="B598" i="34"/>
  <c r="Q105" i="34" l="1"/>
  <c r="R105" i="34"/>
  <c r="V105" i="34"/>
  <c r="AA105" i="34"/>
  <c r="P105" i="34"/>
  <c r="P598" i="34"/>
  <c r="Q598" i="34"/>
  <c r="R598" i="34"/>
  <c r="V598" i="34"/>
  <c r="AA598" i="34"/>
  <c r="AA104" i="34"/>
  <c r="P104" i="34"/>
  <c r="Q104" i="34"/>
  <c r="R104" i="34"/>
  <c r="V104" i="34"/>
  <c r="Q1152" i="34"/>
  <c r="R1152" i="34"/>
  <c r="V1152" i="34"/>
  <c r="AA1152" i="34"/>
  <c r="P1152" i="34"/>
  <c r="Q139" i="34"/>
  <c r="R139" i="34"/>
  <c r="V139" i="34"/>
  <c r="AA139" i="34"/>
  <c r="P139" i="34"/>
  <c r="A104" i="34"/>
  <c r="A598" i="34"/>
  <c r="A1152" i="34"/>
  <c r="A139" i="34"/>
  <c r="A105" i="34"/>
  <c r="B1160" i="34"/>
  <c r="B1827" i="34"/>
  <c r="Q1160" i="34" l="1"/>
  <c r="R1160" i="34"/>
  <c r="V1160" i="34"/>
  <c r="AA1160" i="34"/>
  <c r="P1160" i="34"/>
  <c r="R1827" i="34"/>
  <c r="V1827" i="34"/>
  <c r="AA1827" i="34"/>
  <c r="P1827" i="34"/>
  <c r="Q1827" i="34"/>
  <c r="A1160" i="34"/>
  <c r="A1667" i="34"/>
  <c r="A1730" i="34"/>
  <c r="A1827" i="34"/>
  <c r="A1743" i="34"/>
  <c r="I18" i="54" l="1"/>
  <c r="B65" i="34"/>
  <c r="AA65" i="34" l="1"/>
  <c r="P65" i="34"/>
  <c r="Q65" i="34"/>
  <c r="R65" i="34"/>
  <c r="V65" i="34"/>
  <c r="A65" i="34"/>
  <c r="N11" i="34"/>
  <c r="N12" i="34"/>
  <c r="N10" i="34"/>
  <c r="N5" i="77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O5" i="77"/>
  <c r="L5" i="75"/>
  <c r="M5" i="75"/>
  <c r="P5" i="74"/>
  <c r="O5" i="74"/>
  <c r="B1295" i="34" l="1"/>
  <c r="B1077" i="34"/>
  <c r="B596" i="34"/>
  <c r="B597" i="34"/>
  <c r="R597" i="34" l="1"/>
  <c r="V597" i="34"/>
  <c r="AA597" i="34"/>
  <c r="P597" i="34"/>
  <c r="Q597" i="34"/>
  <c r="P596" i="34"/>
  <c r="Q596" i="34"/>
  <c r="R596" i="34"/>
  <c r="V596" i="34"/>
  <c r="AA596" i="34"/>
  <c r="R1077" i="34"/>
  <c r="V1077" i="34"/>
  <c r="AA1077" i="34"/>
  <c r="P1077" i="34"/>
  <c r="Q1077" i="34"/>
  <c r="R1295" i="34"/>
  <c r="V1295" i="34"/>
  <c r="AA1295" i="34"/>
  <c r="P1295" i="34"/>
  <c r="Q1295" i="34"/>
  <c r="A596" i="34"/>
  <c r="A1077" i="34"/>
  <c r="A1295" i="34"/>
  <c r="A597" i="34"/>
  <c r="B151" i="34"/>
  <c r="B150" i="34"/>
  <c r="P150" i="34" l="1"/>
  <c r="Q150" i="34"/>
  <c r="R150" i="34"/>
  <c r="V150" i="34"/>
  <c r="AA150" i="34"/>
  <c r="R151" i="34"/>
  <c r="V151" i="34"/>
  <c r="AA151" i="34"/>
  <c r="P151" i="34"/>
  <c r="Q151" i="34"/>
  <c r="A151" i="34"/>
  <c r="A150" i="34"/>
  <c r="B246" i="34"/>
  <c r="B152" i="34"/>
  <c r="B14" i="55"/>
  <c r="A14" i="55" s="1"/>
  <c r="P152" i="34" l="1"/>
  <c r="Q152" i="34"/>
  <c r="R152" i="34"/>
  <c r="V152" i="34"/>
  <c r="AA152" i="34"/>
  <c r="Q246" i="34"/>
  <c r="R246" i="34"/>
  <c r="V246" i="34"/>
  <c r="AA246" i="34"/>
  <c r="P246" i="34"/>
  <c r="A152" i="34"/>
  <c r="A24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97" i="34" l="1"/>
  <c r="B96" i="34"/>
  <c r="P96" i="34" l="1"/>
  <c r="R96" i="34"/>
  <c r="V96" i="34"/>
  <c r="AA96" i="34"/>
  <c r="Q96" i="34"/>
  <c r="R97" i="34"/>
  <c r="V97" i="34"/>
  <c r="Q97" i="34"/>
  <c r="AA97" i="34"/>
  <c r="P97" i="34"/>
  <c r="A96" i="34"/>
  <c r="A97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51" i="34" l="1"/>
  <c r="B650" i="34"/>
  <c r="B636" i="34"/>
  <c r="B647" i="34"/>
  <c r="B646" i="34"/>
  <c r="B645" i="34"/>
  <c r="B644" i="34"/>
  <c r="B643" i="34"/>
  <c r="B641" i="34"/>
  <c r="B1317" i="34"/>
  <c r="B694" i="34"/>
  <c r="B692" i="34"/>
  <c r="B681" i="34"/>
  <c r="B680" i="34"/>
  <c r="B621" i="34"/>
  <c r="B727" i="34"/>
  <c r="B726" i="34"/>
  <c r="B286" i="34"/>
  <c r="B285" i="34"/>
  <c r="B284" i="34"/>
  <c r="B281" i="34"/>
  <c r="B248" i="34"/>
  <c r="B232" i="34"/>
  <c r="B249" i="34"/>
  <c r="B277" i="34"/>
  <c r="B278" i="34"/>
  <c r="B280" i="34"/>
  <c r="B282" i="34"/>
  <c r="B283" i="34"/>
  <c r="B288" i="34"/>
  <c r="B289" i="34"/>
  <c r="B290" i="34"/>
  <c r="B292" i="34"/>
  <c r="B305" i="34"/>
  <c r="B306" i="34"/>
  <c r="B1318" i="34"/>
  <c r="B1030" i="34"/>
  <c r="B638" i="34"/>
  <c r="B652" i="34"/>
  <c r="B653" i="34"/>
  <c r="B654" i="34"/>
  <c r="B655" i="34"/>
  <c r="B658" i="34"/>
  <c r="B659" i="34"/>
  <c r="B660" i="34"/>
  <c r="B671" i="34"/>
  <c r="B672" i="34"/>
  <c r="B674" i="34"/>
  <c r="B676" i="34"/>
  <c r="B677" i="34"/>
  <c r="B678" i="34"/>
  <c r="B679" i="34"/>
  <c r="B683" i="34"/>
  <c r="B684" i="34"/>
  <c r="B685" i="34"/>
  <c r="B687" i="34"/>
  <c r="B688" i="34"/>
  <c r="B689" i="34"/>
  <c r="B691" i="34"/>
  <c r="B708" i="34"/>
  <c r="B709" i="34"/>
  <c r="B721" i="34"/>
  <c r="B722" i="34"/>
  <c r="B711" i="34"/>
  <c r="B724" i="34"/>
  <c r="B725" i="34"/>
  <c r="B746" i="34"/>
  <c r="B747" i="34"/>
  <c r="B748" i="34"/>
  <c r="B749" i="34"/>
  <c r="B750" i="34"/>
  <c r="B752" i="34"/>
  <c r="B753" i="34"/>
  <c r="B798" i="34"/>
  <c r="B799" i="34"/>
  <c r="B801" i="34"/>
  <c r="B802" i="34"/>
  <c r="B695" i="34"/>
  <c r="B697" i="34"/>
  <c r="B698" i="34"/>
  <c r="B699" i="34"/>
  <c r="B700" i="34"/>
  <c r="B715" i="34"/>
  <c r="B716" i="34"/>
  <c r="B718" i="34"/>
  <c r="B719" i="34"/>
  <c r="B777" i="34"/>
  <c r="B778" i="34"/>
  <c r="B779" i="34"/>
  <c r="B780" i="34"/>
  <c r="B781" i="34"/>
  <c r="B782" i="34"/>
  <c r="B783" i="34"/>
  <c r="B784" i="34"/>
  <c r="B785" i="34"/>
  <c r="B811" i="34"/>
  <c r="B812" i="34"/>
  <c r="B813" i="34"/>
  <c r="B814" i="34"/>
  <c r="B815" i="34"/>
  <c r="B816" i="34"/>
  <c r="B818" i="34"/>
  <c r="B819" i="34"/>
  <c r="B821" i="34"/>
  <c r="B822" i="34"/>
  <c r="B828" i="34"/>
  <c r="B829" i="34"/>
  <c r="B830" i="34"/>
  <c r="B831" i="34"/>
  <c r="B832" i="34"/>
  <c r="B833" i="34"/>
  <c r="B834" i="34"/>
  <c r="B835" i="34"/>
  <c r="B836" i="34"/>
  <c r="B837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03" i="34"/>
  <c r="B804" i="34"/>
  <c r="B805" i="34"/>
  <c r="B807" i="34"/>
  <c r="B808" i="34"/>
  <c r="B809" i="34"/>
  <c r="B859" i="34"/>
  <c r="B860" i="34"/>
  <c r="B861" i="34"/>
  <c r="I13" i="71"/>
  <c r="O11" i="42"/>
  <c r="N11" i="42"/>
  <c r="Q857" i="34" l="1"/>
  <c r="R857" i="34"/>
  <c r="V857" i="34"/>
  <c r="AA857" i="34"/>
  <c r="P857" i="34"/>
  <c r="Q849" i="34"/>
  <c r="R849" i="34"/>
  <c r="V849" i="34"/>
  <c r="AA849" i="34"/>
  <c r="P849" i="34"/>
  <c r="AA830" i="34"/>
  <c r="P830" i="34"/>
  <c r="Q830" i="34"/>
  <c r="R830" i="34"/>
  <c r="V830" i="34"/>
  <c r="Q811" i="34"/>
  <c r="R811" i="34"/>
  <c r="V811" i="34"/>
  <c r="AA811" i="34"/>
  <c r="P811" i="34"/>
  <c r="AA778" i="34"/>
  <c r="P778" i="34"/>
  <c r="Q778" i="34"/>
  <c r="R778" i="34"/>
  <c r="V778" i="34"/>
  <c r="P698" i="34"/>
  <c r="Q698" i="34"/>
  <c r="R698" i="34"/>
  <c r="V698" i="34"/>
  <c r="AA698" i="34"/>
  <c r="Q801" i="34"/>
  <c r="R801" i="34"/>
  <c r="V801" i="34"/>
  <c r="AA801" i="34"/>
  <c r="P801" i="34"/>
  <c r="R752" i="34"/>
  <c r="V752" i="34"/>
  <c r="P752" i="34"/>
  <c r="Q752" i="34"/>
  <c r="AA752" i="34"/>
  <c r="R747" i="34"/>
  <c r="V747" i="34"/>
  <c r="AA747" i="34"/>
  <c r="P747" i="34"/>
  <c r="Q747" i="34"/>
  <c r="R711" i="34"/>
  <c r="V711" i="34"/>
  <c r="AA711" i="34"/>
  <c r="P711" i="34"/>
  <c r="Q711" i="34"/>
  <c r="P708" i="34"/>
  <c r="Q708" i="34"/>
  <c r="R708" i="34"/>
  <c r="V708" i="34"/>
  <c r="AA708" i="34"/>
  <c r="R687" i="34"/>
  <c r="V687" i="34"/>
  <c r="AA687" i="34"/>
  <c r="P687" i="34"/>
  <c r="Q687" i="34"/>
  <c r="R679" i="34"/>
  <c r="V679" i="34"/>
  <c r="AA679" i="34"/>
  <c r="P679" i="34"/>
  <c r="Q679" i="34"/>
  <c r="P674" i="34"/>
  <c r="Q674" i="34"/>
  <c r="R674" i="34"/>
  <c r="V674" i="34"/>
  <c r="AA674" i="34"/>
  <c r="R659" i="34"/>
  <c r="V659" i="34"/>
  <c r="AA659" i="34"/>
  <c r="P659" i="34"/>
  <c r="Q659" i="34"/>
  <c r="R653" i="34"/>
  <c r="V653" i="34"/>
  <c r="AA653" i="34"/>
  <c r="P653" i="34"/>
  <c r="Q653" i="34"/>
  <c r="P1318" i="34"/>
  <c r="Q1318" i="34"/>
  <c r="R1318" i="34"/>
  <c r="V1318" i="34"/>
  <c r="AA1318" i="34"/>
  <c r="AA290" i="34"/>
  <c r="P290" i="34"/>
  <c r="Q290" i="34"/>
  <c r="R290" i="34"/>
  <c r="V290" i="34"/>
  <c r="AA282" i="34"/>
  <c r="P282" i="34"/>
  <c r="Q282" i="34"/>
  <c r="R282" i="34"/>
  <c r="V282" i="34"/>
  <c r="AA249" i="34"/>
  <c r="P249" i="34"/>
  <c r="Q249" i="34"/>
  <c r="R249" i="34"/>
  <c r="V249" i="34"/>
  <c r="AA284" i="34"/>
  <c r="P284" i="34"/>
  <c r="Q284" i="34"/>
  <c r="R284" i="34"/>
  <c r="V284" i="34"/>
  <c r="R727" i="34"/>
  <c r="V727" i="34"/>
  <c r="AA727" i="34"/>
  <c r="P727" i="34"/>
  <c r="Q727" i="34"/>
  <c r="P692" i="34"/>
  <c r="Q692" i="34"/>
  <c r="R692" i="34"/>
  <c r="V692" i="34"/>
  <c r="AA692" i="34"/>
  <c r="R643" i="34"/>
  <c r="V643" i="34"/>
  <c r="AA643" i="34"/>
  <c r="P643" i="34"/>
  <c r="Q643" i="34"/>
  <c r="R647" i="34"/>
  <c r="V647" i="34"/>
  <c r="AA647" i="34"/>
  <c r="P647" i="34"/>
  <c r="Q647" i="34"/>
  <c r="Q809" i="34"/>
  <c r="R809" i="34"/>
  <c r="V809" i="34"/>
  <c r="AA809" i="34"/>
  <c r="P809" i="34"/>
  <c r="AA804" i="34"/>
  <c r="P804" i="34"/>
  <c r="Q804" i="34"/>
  <c r="R804" i="34"/>
  <c r="V804" i="34"/>
  <c r="AA856" i="34"/>
  <c r="P856" i="34"/>
  <c r="Q856" i="34"/>
  <c r="R856" i="34"/>
  <c r="V856" i="34"/>
  <c r="AA852" i="34"/>
  <c r="P852" i="34"/>
  <c r="Q852" i="34"/>
  <c r="R852" i="34"/>
  <c r="V852" i="34"/>
  <c r="AA848" i="34"/>
  <c r="P848" i="34"/>
  <c r="Q848" i="34"/>
  <c r="R848" i="34"/>
  <c r="V848" i="34"/>
  <c r="Q837" i="34"/>
  <c r="R837" i="34"/>
  <c r="V837" i="34"/>
  <c r="AA837" i="34"/>
  <c r="P837" i="34"/>
  <c r="Q833" i="34"/>
  <c r="R833" i="34"/>
  <c r="V833" i="34"/>
  <c r="AA833" i="34"/>
  <c r="P833" i="34"/>
  <c r="Q829" i="34"/>
  <c r="R829" i="34"/>
  <c r="V829" i="34"/>
  <c r="AA829" i="34"/>
  <c r="P829" i="34"/>
  <c r="Q819" i="34"/>
  <c r="R819" i="34"/>
  <c r="V819" i="34"/>
  <c r="AA819" i="34"/>
  <c r="P819" i="34"/>
  <c r="AA814" i="34"/>
  <c r="P814" i="34"/>
  <c r="Q814" i="34"/>
  <c r="R814" i="34"/>
  <c r="V814" i="34"/>
  <c r="Q785" i="34"/>
  <c r="R785" i="34"/>
  <c r="V785" i="34"/>
  <c r="AA785" i="34"/>
  <c r="P785" i="34"/>
  <c r="Q781" i="34"/>
  <c r="R781" i="34"/>
  <c r="V781" i="34"/>
  <c r="AA781" i="34"/>
  <c r="P781" i="34"/>
  <c r="Q777" i="34"/>
  <c r="R777" i="34"/>
  <c r="V777" i="34"/>
  <c r="AA777" i="34"/>
  <c r="P777" i="34"/>
  <c r="R715" i="34"/>
  <c r="V715" i="34"/>
  <c r="AA715" i="34"/>
  <c r="P715" i="34"/>
  <c r="Q715" i="34"/>
  <c r="R697" i="34"/>
  <c r="V697" i="34"/>
  <c r="AA697" i="34"/>
  <c r="P697" i="34"/>
  <c r="Q697" i="34"/>
  <c r="Q799" i="34"/>
  <c r="R799" i="34"/>
  <c r="V799" i="34"/>
  <c r="AA799" i="34"/>
  <c r="P799" i="34"/>
  <c r="P750" i="34"/>
  <c r="Q750" i="34"/>
  <c r="R750" i="34"/>
  <c r="V750" i="34"/>
  <c r="AA750" i="34"/>
  <c r="P746" i="34"/>
  <c r="Q746" i="34"/>
  <c r="R746" i="34"/>
  <c r="V746" i="34"/>
  <c r="AA746" i="34"/>
  <c r="P722" i="34"/>
  <c r="Q722" i="34"/>
  <c r="R722" i="34"/>
  <c r="V722" i="34"/>
  <c r="AA722" i="34"/>
  <c r="R691" i="34"/>
  <c r="V691" i="34"/>
  <c r="AA691" i="34"/>
  <c r="P691" i="34"/>
  <c r="Q691" i="34"/>
  <c r="R685" i="34"/>
  <c r="V685" i="34"/>
  <c r="AA685" i="34"/>
  <c r="P685" i="34"/>
  <c r="Q685" i="34"/>
  <c r="P678" i="34"/>
  <c r="Q678" i="34"/>
  <c r="R678" i="34"/>
  <c r="V678" i="34"/>
  <c r="AA678" i="34"/>
  <c r="P672" i="34"/>
  <c r="Q672" i="34"/>
  <c r="R672" i="34"/>
  <c r="V672" i="34"/>
  <c r="AA672" i="34"/>
  <c r="P658" i="34"/>
  <c r="Q658" i="34"/>
  <c r="R658" i="34"/>
  <c r="V658" i="34"/>
  <c r="AA658" i="34"/>
  <c r="P652" i="34"/>
  <c r="Q652" i="34"/>
  <c r="R652" i="34"/>
  <c r="V652" i="34"/>
  <c r="AA652" i="34"/>
  <c r="AA306" i="34"/>
  <c r="P306" i="34"/>
  <c r="Q306" i="34"/>
  <c r="R306" i="34"/>
  <c r="V306" i="34"/>
  <c r="Q289" i="34"/>
  <c r="R289" i="34"/>
  <c r="V289" i="34"/>
  <c r="AA289" i="34"/>
  <c r="P289" i="34"/>
  <c r="AA280" i="34"/>
  <c r="P280" i="34"/>
  <c r="Q280" i="34"/>
  <c r="R280" i="34"/>
  <c r="V280" i="34"/>
  <c r="Q232" i="34"/>
  <c r="R232" i="34"/>
  <c r="V232" i="34"/>
  <c r="AA232" i="34"/>
  <c r="P232" i="34"/>
  <c r="Q285" i="34"/>
  <c r="R285" i="34"/>
  <c r="V285" i="34"/>
  <c r="AA285" i="34"/>
  <c r="P285" i="34"/>
  <c r="R621" i="34"/>
  <c r="V621" i="34"/>
  <c r="AA621" i="34"/>
  <c r="P621" i="34"/>
  <c r="Q621" i="34"/>
  <c r="P694" i="34"/>
  <c r="Q694" i="34"/>
  <c r="R694" i="34"/>
  <c r="V694" i="34"/>
  <c r="AA694" i="34"/>
  <c r="P644" i="34"/>
  <c r="Q644" i="34"/>
  <c r="R644" i="34"/>
  <c r="V644" i="34"/>
  <c r="AA644" i="34"/>
  <c r="P636" i="34"/>
  <c r="Q636" i="34"/>
  <c r="R636" i="34"/>
  <c r="V636" i="34"/>
  <c r="AA636" i="34"/>
  <c r="Q859" i="34"/>
  <c r="R859" i="34"/>
  <c r="V859" i="34"/>
  <c r="AA859" i="34"/>
  <c r="P859" i="34"/>
  <c r="Q853" i="34"/>
  <c r="R853" i="34"/>
  <c r="V853" i="34"/>
  <c r="AA853" i="34"/>
  <c r="P853" i="34"/>
  <c r="AA834" i="34"/>
  <c r="P834" i="34"/>
  <c r="Q834" i="34"/>
  <c r="R834" i="34"/>
  <c r="V834" i="34"/>
  <c r="Q815" i="34"/>
  <c r="R815" i="34"/>
  <c r="V815" i="34"/>
  <c r="AA815" i="34"/>
  <c r="P815" i="34"/>
  <c r="AA782" i="34"/>
  <c r="P782" i="34"/>
  <c r="Q782" i="34"/>
  <c r="R782" i="34"/>
  <c r="V782" i="34"/>
  <c r="Q861" i="34"/>
  <c r="R861" i="34"/>
  <c r="V861" i="34"/>
  <c r="AA861" i="34"/>
  <c r="P861" i="34"/>
  <c r="AA808" i="34"/>
  <c r="P808" i="34"/>
  <c r="Q808" i="34"/>
  <c r="R808" i="34"/>
  <c r="V808" i="34"/>
  <c r="Q803" i="34"/>
  <c r="R803" i="34"/>
  <c r="V803" i="34"/>
  <c r="AA803" i="34"/>
  <c r="P803" i="34"/>
  <c r="Q855" i="34"/>
  <c r="R855" i="34"/>
  <c r="V855" i="34"/>
  <c r="AA855" i="34"/>
  <c r="P855" i="34"/>
  <c r="Q851" i="34"/>
  <c r="R851" i="34"/>
  <c r="V851" i="34"/>
  <c r="AA851" i="34"/>
  <c r="P851" i="34"/>
  <c r="Q847" i="34"/>
  <c r="R847" i="34"/>
  <c r="V847" i="34"/>
  <c r="AA847" i="34"/>
  <c r="P847" i="34"/>
  <c r="AA836" i="34"/>
  <c r="P836" i="34"/>
  <c r="Q836" i="34"/>
  <c r="R836" i="34"/>
  <c r="V836" i="34"/>
  <c r="AA832" i="34"/>
  <c r="P832" i="34"/>
  <c r="Q832" i="34"/>
  <c r="R832" i="34"/>
  <c r="V832" i="34"/>
  <c r="AA828" i="34"/>
  <c r="P828" i="34"/>
  <c r="Q828" i="34"/>
  <c r="R828" i="34"/>
  <c r="V828" i="34"/>
  <c r="AA818" i="34"/>
  <c r="P818" i="34"/>
  <c r="Q818" i="34"/>
  <c r="R818" i="34"/>
  <c r="V818" i="34"/>
  <c r="Q813" i="34"/>
  <c r="R813" i="34"/>
  <c r="V813" i="34"/>
  <c r="AA813" i="34"/>
  <c r="P813" i="34"/>
  <c r="AA784" i="34"/>
  <c r="P784" i="34"/>
  <c r="Q784" i="34"/>
  <c r="R784" i="34"/>
  <c r="V784" i="34"/>
  <c r="AA780" i="34"/>
  <c r="P780" i="34"/>
  <c r="Q780" i="34"/>
  <c r="R780" i="34"/>
  <c r="V780" i="34"/>
  <c r="R719" i="34"/>
  <c r="V719" i="34"/>
  <c r="AA719" i="34"/>
  <c r="P719" i="34"/>
  <c r="Q719" i="34"/>
  <c r="P700" i="34"/>
  <c r="Q700" i="34"/>
  <c r="R700" i="34"/>
  <c r="V700" i="34"/>
  <c r="AA700" i="34"/>
  <c r="R695" i="34"/>
  <c r="V695" i="34"/>
  <c r="AA695" i="34"/>
  <c r="P695" i="34"/>
  <c r="Q695" i="34"/>
  <c r="AA798" i="34"/>
  <c r="P798" i="34"/>
  <c r="Q798" i="34"/>
  <c r="R798" i="34"/>
  <c r="V798" i="34"/>
  <c r="R749" i="34"/>
  <c r="V749" i="34"/>
  <c r="AA749" i="34"/>
  <c r="P749" i="34"/>
  <c r="Q749" i="34"/>
  <c r="R725" i="34"/>
  <c r="V725" i="34"/>
  <c r="AA725" i="34"/>
  <c r="P725" i="34"/>
  <c r="Q725" i="34"/>
  <c r="R721" i="34"/>
  <c r="V721" i="34"/>
  <c r="AA721" i="34"/>
  <c r="P721" i="34"/>
  <c r="Q721" i="34"/>
  <c r="R689" i="34"/>
  <c r="V689" i="34"/>
  <c r="AA689" i="34"/>
  <c r="P689" i="34"/>
  <c r="Q689" i="34"/>
  <c r="P684" i="34"/>
  <c r="Q684" i="34"/>
  <c r="R684" i="34"/>
  <c r="V684" i="34"/>
  <c r="AA684" i="34"/>
  <c r="R677" i="34"/>
  <c r="V677" i="34"/>
  <c r="AA677" i="34"/>
  <c r="P677" i="34"/>
  <c r="Q677" i="34"/>
  <c r="R671" i="34"/>
  <c r="V671" i="34"/>
  <c r="AA671" i="34"/>
  <c r="P671" i="34"/>
  <c r="Q671" i="34"/>
  <c r="R655" i="34"/>
  <c r="V655" i="34"/>
  <c r="AA655" i="34"/>
  <c r="P655" i="34"/>
  <c r="Q655" i="34"/>
  <c r="P638" i="34"/>
  <c r="Q638" i="34"/>
  <c r="R638" i="34"/>
  <c r="V638" i="34"/>
  <c r="AA638" i="34"/>
  <c r="Q305" i="34"/>
  <c r="R305" i="34"/>
  <c r="V305" i="34"/>
  <c r="AA305" i="34"/>
  <c r="P305" i="34"/>
  <c r="AA288" i="34"/>
  <c r="P288" i="34"/>
  <c r="Q288" i="34"/>
  <c r="R288" i="34"/>
  <c r="V288" i="34"/>
  <c r="AA278" i="34"/>
  <c r="P278" i="34"/>
  <c r="Q278" i="34"/>
  <c r="R278" i="34"/>
  <c r="V278" i="34"/>
  <c r="Q248" i="34"/>
  <c r="R248" i="34"/>
  <c r="V248" i="34"/>
  <c r="AA248" i="34"/>
  <c r="P248" i="34"/>
  <c r="AA286" i="34"/>
  <c r="P286" i="34"/>
  <c r="Q286" i="34"/>
  <c r="R286" i="34"/>
  <c r="V286" i="34"/>
  <c r="P680" i="34"/>
  <c r="Q680" i="34"/>
  <c r="R680" i="34"/>
  <c r="V680" i="34"/>
  <c r="AA680" i="34"/>
  <c r="R1317" i="34"/>
  <c r="V1317" i="34"/>
  <c r="AA1317" i="34"/>
  <c r="P1317" i="34"/>
  <c r="Q1317" i="34"/>
  <c r="R645" i="34"/>
  <c r="V645" i="34"/>
  <c r="AA645" i="34"/>
  <c r="P645" i="34"/>
  <c r="Q645" i="34"/>
  <c r="P650" i="34"/>
  <c r="Q650" i="34"/>
  <c r="R650" i="34"/>
  <c r="V650" i="34"/>
  <c r="AA650" i="34"/>
  <c r="Q805" i="34"/>
  <c r="R805" i="34"/>
  <c r="V805" i="34"/>
  <c r="AA805" i="34"/>
  <c r="P805" i="34"/>
  <c r="Q845" i="34"/>
  <c r="R845" i="34"/>
  <c r="V845" i="34"/>
  <c r="AA845" i="34"/>
  <c r="P845" i="34"/>
  <c r="Q821" i="34"/>
  <c r="R821" i="34"/>
  <c r="V821" i="34"/>
  <c r="AA821" i="34"/>
  <c r="P821" i="34"/>
  <c r="P716" i="34"/>
  <c r="Q716" i="34"/>
  <c r="R716" i="34"/>
  <c r="V716" i="34"/>
  <c r="AA716" i="34"/>
  <c r="AA860" i="34"/>
  <c r="P860" i="34"/>
  <c r="Q860" i="34"/>
  <c r="R860" i="34"/>
  <c r="V860" i="34"/>
  <c r="Q807" i="34"/>
  <c r="R807" i="34"/>
  <c r="V807" i="34"/>
  <c r="AA807" i="34"/>
  <c r="P807" i="34"/>
  <c r="AA858" i="34"/>
  <c r="P858" i="34"/>
  <c r="Q858" i="34"/>
  <c r="R858" i="34"/>
  <c r="V858" i="34"/>
  <c r="AA854" i="34"/>
  <c r="P854" i="34"/>
  <c r="Q854" i="34"/>
  <c r="R854" i="34"/>
  <c r="V854" i="34"/>
  <c r="AA850" i="34"/>
  <c r="P850" i="34"/>
  <c r="Q850" i="34"/>
  <c r="R850" i="34"/>
  <c r="V850" i="34"/>
  <c r="AA846" i="34"/>
  <c r="P846" i="34"/>
  <c r="Q846" i="34"/>
  <c r="R846" i="34"/>
  <c r="V846" i="34"/>
  <c r="Q835" i="34"/>
  <c r="R835" i="34"/>
  <c r="V835" i="34"/>
  <c r="AA835" i="34"/>
  <c r="P835" i="34"/>
  <c r="Q831" i="34"/>
  <c r="R831" i="34"/>
  <c r="V831" i="34"/>
  <c r="AA831" i="34"/>
  <c r="P831" i="34"/>
  <c r="AA822" i="34"/>
  <c r="P822" i="34"/>
  <c r="Q822" i="34"/>
  <c r="R822" i="34"/>
  <c r="V822" i="34"/>
  <c r="AA816" i="34"/>
  <c r="P816" i="34"/>
  <c r="Q816" i="34"/>
  <c r="R816" i="34"/>
  <c r="V816" i="34"/>
  <c r="AA812" i="34"/>
  <c r="P812" i="34"/>
  <c r="Q812" i="34"/>
  <c r="R812" i="34"/>
  <c r="V812" i="34"/>
  <c r="Q783" i="34"/>
  <c r="R783" i="34"/>
  <c r="V783" i="34"/>
  <c r="AA783" i="34"/>
  <c r="P783" i="34"/>
  <c r="Q779" i="34"/>
  <c r="R779" i="34"/>
  <c r="V779" i="34"/>
  <c r="AA779" i="34"/>
  <c r="P779" i="34"/>
  <c r="P718" i="34"/>
  <c r="Q718" i="34"/>
  <c r="R718" i="34"/>
  <c r="V718" i="34"/>
  <c r="AA718" i="34"/>
  <c r="R699" i="34"/>
  <c r="V699" i="34"/>
  <c r="AA699" i="34"/>
  <c r="P699" i="34"/>
  <c r="Q699" i="34"/>
  <c r="AA802" i="34"/>
  <c r="P802" i="34"/>
  <c r="Q802" i="34"/>
  <c r="R802" i="34"/>
  <c r="V802" i="34"/>
  <c r="P753" i="34"/>
  <c r="Q753" i="34"/>
  <c r="R753" i="34"/>
  <c r="V753" i="34"/>
  <c r="AA753" i="34"/>
  <c r="P748" i="34"/>
  <c r="Q748" i="34"/>
  <c r="R748" i="34"/>
  <c r="V748" i="34"/>
  <c r="AA748" i="34"/>
  <c r="P724" i="34"/>
  <c r="Q724" i="34"/>
  <c r="R724" i="34"/>
  <c r="V724" i="34"/>
  <c r="AA724" i="34"/>
  <c r="R709" i="34"/>
  <c r="V709" i="34"/>
  <c r="AA709" i="34"/>
  <c r="P709" i="34"/>
  <c r="Q709" i="34"/>
  <c r="P688" i="34"/>
  <c r="Q688" i="34"/>
  <c r="R688" i="34"/>
  <c r="V688" i="34"/>
  <c r="AA688" i="34"/>
  <c r="R683" i="34"/>
  <c r="V683" i="34"/>
  <c r="AA683" i="34"/>
  <c r="P683" i="34"/>
  <c r="Q683" i="34"/>
  <c r="P676" i="34"/>
  <c r="Q676" i="34"/>
  <c r="R676" i="34"/>
  <c r="V676" i="34"/>
  <c r="AA676" i="34"/>
  <c r="P660" i="34"/>
  <c r="Q660" i="34"/>
  <c r="R660" i="34"/>
  <c r="V660" i="34"/>
  <c r="AA660" i="34"/>
  <c r="P654" i="34"/>
  <c r="Q654" i="34"/>
  <c r="R654" i="34"/>
  <c r="V654" i="34"/>
  <c r="AA654" i="34"/>
  <c r="P1030" i="34"/>
  <c r="Q1030" i="34"/>
  <c r="R1030" i="34"/>
  <c r="V1030" i="34"/>
  <c r="AA1030" i="34"/>
  <c r="AA292" i="34"/>
  <c r="P292" i="34"/>
  <c r="Q292" i="34"/>
  <c r="R292" i="34"/>
  <c r="V292" i="34"/>
  <c r="Q283" i="34"/>
  <c r="R283" i="34"/>
  <c r="V283" i="34"/>
  <c r="AA283" i="34"/>
  <c r="P283" i="34"/>
  <c r="Q277" i="34"/>
  <c r="R277" i="34"/>
  <c r="V277" i="34"/>
  <c r="AA277" i="34"/>
  <c r="P277" i="34"/>
  <c r="Q281" i="34"/>
  <c r="R281" i="34"/>
  <c r="V281" i="34"/>
  <c r="AA281" i="34"/>
  <c r="P281" i="34"/>
  <c r="P726" i="34"/>
  <c r="Q726" i="34"/>
  <c r="R726" i="34"/>
  <c r="V726" i="34"/>
  <c r="AA726" i="34"/>
  <c r="R681" i="34"/>
  <c r="V681" i="34"/>
  <c r="AA681" i="34"/>
  <c r="P681" i="34"/>
  <c r="Q681" i="34"/>
  <c r="R641" i="34"/>
  <c r="V641" i="34"/>
  <c r="AA641" i="34"/>
  <c r="P641" i="34"/>
  <c r="Q641" i="34"/>
  <c r="P646" i="34"/>
  <c r="Q646" i="34"/>
  <c r="R646" i="34"/>
  <c r="V646" i="34"/>
  <c r="AA646" i="34"/>
  <c r="R651" i="34"/>
  <c r="V651" i="34"/>
  <c r="AA651" i="34"/>
  <c r="P651" i="34"/>
  <c r="Q651" i="34"/>
  <c r="A861" i="34"/>
  <c r="A808" i="34"/>
  <c r="A803" i="34"/>
  <c r="A855" i="34"/>
  <c r="A851" i="34"/>
  <c r="A847" i="34"/>
  <c r="A836" i="34"/>
  <c r="A832" i="34"/>
  <c r="A828" i="34"/>
  <c r="A818" i="34"/>
  <c r="A813" i="34"/>
  <c r="A784" i="34"/>
  <c r="A780" i="34"/>
  <c r="A719" i="34"/>
  <c r="A700" i="34"/>
  <c r="A695" i="34"/>
  <c r="A798" i="34"/>
  <c r="A749" i="34"/>
  <c r="A725" i="34"/>
  <c r="A721" i="34"/>
  <c r="A689" i="34"/>
  <c r="A684" i="34"/>
  <c r="A677" i="34"/>
  <c r="A671" i="34"/>
  <c r="A655" i="34"/>
  <c r="A652" i="34"/>
  <c r="A306" i="34"/>
  <c r="A289" i="34"/>
  <c r="A280" i="34"/>
  <c r="A232" i="34"/>
  <c r="A285" i="34"/>
  <c r="A621" i="34"/>
  <c r="A694" i="34"/>
  <c r="A644" i="34"/>
  <c r="A636" i="34"/>
  <c r="A860" i="34"/>
  <c r="A807" i="34"/>
  <c r="A858" i="34"/>
  <c r="A854" i="34"/>
  <c r="A850" i="34"/>
  <c r="A846" i="34"/>
  <c r="A835" i="34"/>
  <c r="A831" i="34"/>
  <c r="A822" i="34"/>
  <c r="A816" i="34"/>
  <c r="A812" i="34"/>
  <c r="A783" i="34"/>
  <c r="A779" i="34"/>
  <c r="A718" i="34"/>
  <c r="A699" i="34"/>
  <c r="A802" i="34"/>
  <c r="A753" i="34"/>
  <c r="A748" i="34"/>
  <c r="A724" i="34"/>
  <c r="A709" i="34"/>
  <c r="A688" i="34"/>
  <c r="A683" i="34"/>
  <c r="A676" i="34"/>
  <c r="A660" i="34"/>
  <c r="A654" i="34"/>
  <c r="A638" i="34"/>
  <c r="A305" i="34"/>
  <c r="A288" i="34"/>
  <c r="A278" i="34"/>
  <c r="A248" i="34"/>
  <c r="A286" i="34"/>
  <c r="A680" i="34"/>
  <c r="A1317" i="34"/>
  <c r="A645" i="34"/>
  <c r="A650" i="34"/>
  <c r="A859" i="34"/>
  <c r="A805" i="34"/>
  <c r="A857" i="34"/>
  <c r="A853" i="34"/>
  <c r="A849" i="34"/>
  <c r="A845" i="34"/>
  <c r="A834" i="34"/>
  <c r="A830" i="34"/>
  <c r="A821" i="34"/>
  <c r="A815" i="34"/>
  <c r="A811" i="34"/>
  <c r="A782" i="34"/>
  <c r="A778" i="34"/>
  <c r="A716" i="34"/>
  <c r="A698" i="34"/>
  <c r="A801" i="34"/>
  <c r="A752" i="34"/>
  <c r="A747" i="34"/>
  <c r="A711" i="34"/>
  <c r="A708" i="34"/>
  <c r="A687" i="34"/>
  <c r="A679" i="34"/>
  <c r="A674" i="34"/>
  <c r="A659" i="34"/>
  <c r="A653" i="34"/>
  <c r="A1030" i="34"/>
  <c r="A292" i="34"/>
  <c r="A283" i="34"/>
  <c r="A277" i="34"/>
  <c r="A281" i="34"/>
  <c r="A726" i="34"/>
  <c r="A681" i="34"/>
  <c r="A641" i="34"/>
  <c r="A646" i="34"/>
  <c r="A809" i="34"/>
  <c r="A804" i="34"/>
  <c r="A856" i="34"/>
  <c r="A852" i="34"/>
  <c r="A848" i="34"/>
  <c r="A837" i="34"/>
  <c r="A833" i="34"/>
  <c r="A829" i="34"/>
  <c r="A819" i="34"/>
  <c r="A814" i="34"/>
  <c r="A785" i="34"/>
  <c r="A781" i="34"/>
  <c r="A777" i="34"/>
  <c r="A715" i="34"/>
  <c r="A697" i="34"/>
  <c r="A799" i="34"/>
  <c r="A750" i="34"/>
  <c r="A746" i="34"/>
  <c r="A722" i="34"/>
  <c r="A691" i="34"/>
  <c r="A685" i="34"/>
  <c r="A678" i="34"/>
  <c r="A672" i="34"/>
  <c r="A658" i="34"/>
  <c r="A1318" i="34"/>
  <c r="A290" i="34"/>
  <c r="A282" i="34"/>
  <c r="A249" i="34"/>
  <c r="A284" i="34"/>
  <c r="A727" i="34"/>
  <c r="A692" i="34"/>
  <c r="A643" i="34"/>
  <c r="A647" i="34"/>
  <c r="A65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s="1"/>
  <c r="B193" i="34" l="1"/>
  <c r="B194" i="34"/>
  <c r="B195" i="34"/>
  <c r="B196" i="34"/>
  <c r="B197" i="34"/>
  <c r="B199" i="34"/>
  <c r="B183" i="34"/>
  <c r="B184" i="34"/>
  <c r="B231" i="34"/>
  <c r="Q196" i="34" l="1"/>
  <c r="R196" i="34"/>
  <c r="V196" i="34"/>
  <c r="AA196" i="34"/>
  <c r="P196" i="34"/>
  <c r="R183" i="34"/>
  <c r="V183" i="34"/>
  <c r="Q183" i="34"/>
  <c r="P183" i="34"/>
  <c r="AA183" i="34"/>
  <c r="AA195" i="34"/>
  <c r="P195" i="34"/>
  <c r="Q195" i="34"/>
  <c r="R195" i="34"/>
  <c r="V195" i="34"/>
  <c r="P184" i="34"/>
  <c r="AA184" i="34"/>
  <c r="R184" i="34"/>
  <c r="V184" i="34"/>
  <c r="Q184" i="34"/>
  <c r="AA199" i="34"/>
  <c r="P199" i="34"/>
  <c r="Q199" i="34"/>
  <c r="R199" i="34"/>
  <c r="V199" i="34"/>
  <c r="Q194" i="34"/>
  <c r="R194" i="34"/>
  <c r="V194" i="34"/>
  <c r="AA194" i="34"/>
  <c r="P194" i="34"/>
  <c r="AA231" i="34"/>
  <c r="P231" i="34"/>
  <c r="Q231" i="34"/>
  <c r="R231" i="34"/>
  <c r="V231" i="34"/>
  <c r="AA197" i="34"/>
  <c r="P197" i="34"/>
  <c r="Q197" i="34"/>
  <c r="R197" i="34"/>
  <c r="V197" i="34"/>
  <c r="AA193" i="34"/>
  <c r="P193" i="34"/>
  <c r="Q193" i="34"/>
  <c r="R193" i="34"/>
  <c r="V193" i="34"/>
  <c r="A231" i="34"/>
  <c r="A183" i="34"/>
  <c r="A195" i="34"/>
  <c r="A196" i="34"/>
  <c r="A199" i="34"/>
  <c r="A194" i="34"/>
  <c r="A184" i="34"/>
  <c r="A197" i="34"/>
  <c r="A193" i="34"/>
  <c r="B144" i="34"/>
  <c r="B145" i="34"/>
  <c r="B147" i="34"/>
  <c r="B148" i="34"/>
  <c r="B149" i="34"/>
  <c r="B187" i="34"/>
  <c r="B188" i="34"/>
  <c r="B190" i="34"/>
  <c r="B191" i="34"/>
  <c r="B133" i="34"/>
  <c r="B134" i="34"/>
  <c r="B135" i="34"/>
  <c r="B136" i="34"/>
  <c r="B138" i="34"/>
  <c r="B140" i="34"/>
  <c r="B141" i="34"/>
  <c r="B142" i="34"/>
  <c r="B143" i="34"/>
  <c r="B132" i="34"/>
  <c r="B85" i="34"/>
  <c r="B131" i="34"/>
  <c r="B154" i="34"/>
  <c r="B153" i="34"/>
  <c r="B304" i="34"/>
  <c r="B303" i="34"/>
  <c r="B302" i="34"/>
  <c r="B301" i="34"/>
  <c r="B300" i="34"/>
  <c r="B262" i="34"/>
  <c r="B245" i="34"/>
  <c r="B244" i="34"/>
  <c r="B215" i="34"/>
  <c r="B83" i="34"/>
  <c r="B76" i="34"/>
  <c r="B77" i="34"/>
  <c r="B66" i="34"/>
  <c r="B67" i="34"/>
  <c r="B68" i="34"/>
  <c r="B69" i="34"/>
  <c r="B71" i="34"/>
  <c r="B72" i="34"/>
  <c r="B73" i="34"/>
  <c r="B259" i="34"/>
  <c r="B260" i="34"/>
  <c r="B124" i="34"/>
  <c r="B125" i="34"/>
  <c r="B200" i="34"/>
  <c r="B201" i="34"/>
  <c r="B212" i="34"/>
  <c r="B213" i="34"/>
  <c r="B120" i="34"/>
  <c r="B112" i="34"/>
  <c r="B113" i="34"/>
  <c r="B107" i="34"/>
  <c r="B108" i="34"/>
  <c r="B100" i="34"/>
  <c r="B101" i="34"/>
  <c r="B102" i="34"/>
  <c r="B103" i="34"/>
  <c r="B98" i="34"/>
  <c r="B99" i="34"/>
  <c r="B89" i="34"/>
  <c r="B91" i="34"/>
  <c r="B92" i="34"/>
  <c r="B93" i="34"/>
  <c r="B95" i="34"/>
  <c r="B74" i="34"/>
  <c r="B75" i="34"/>
  <c r="B78" i="34"/>
  <c r="B79" i="34"/>
  <c r="B81" i="34"/>
  <c r="B82" i="34"/>
  <c r="B62" i="34"/>
  <c r="B63" i="34"/>
  <c r="B122" i="34"/>
  <c r="B123" i="34"/>
  <c r="B127" i="34"/>
  <c r="B128" i="34"/>
  <c r="B116" i="34"/>
  <c r="B117" i="34"/>
  <c r="B119" i="34"/>
  <c r="Q127" i="34" l="1"/>
  <c r="R127" i="34"/>
  <c r="V127" i="34"/>
  <c r="AA127" i="34"/>
  <c r="P127" i="34"/>
  <c r="Q62" i="34"/>
  <c r="R62" i="34"/>
  <c r="V62" i="34"/>
  <c r="AA62" i="34"/>
  <c r="P62" i="34"/>
  <c r="Q78" i="34"/>
  <c r="R78" i="34"/>
  <c r="V78" i="34"/>
  <c r="AA78" i="34"/>
  <c r="P78" i="34"/>
  <c r="R93" i="34"/>
  <c r="V93" i="34"/>
  <c r="Q93" i="34"/>
  <c r="AA93" i="34"/>
  <c r="P93" i="34"/>
  <c r="R99" i="34"/>
  <c r="V99" i="34"/>
  <c r="Q99" i="34"/>
  <c r="AA99" i="34"/>
  <c r="P99" i="34"/>
  <c r="Q101" i="34"/>
  <c r="R101" i="34"/>
  <c r="V101" i="34"/>
  <c r="AA101" i="34"/>
  <c r="P101" i="34"/>
  <c r="Q113" i="34"/>
  <c r="R113" i="34"/>
  <c r="V113" i="34"/>
  <c r="AA113" i="34"/>
  <c r="P113" i="34"/>
  <c r="Q212" i="34"/>
  <c r="R212" i="34"/>
  <c r="V212" i="34"/>
  <c r="AA212" i="34"/>
  <c r="P212" i="34"/>
  <c r="AA124" i="34"/>
  <c r="P124" i="34"/>
  <c r="Q124" i="34"/>
  <c r="R124" i="34"/>
  <c r="V124" i="34"/>
  <c r="Q72" i="34"/>
  <c r="R72" i="34"/>
  <c r="V72" i="34"/>
  <c r="AA72" i="34"/>
  <c r="P72" i="34"/>
  <c r="AA67" i="34"/>
  <c r="P67" i="34"/>
  <c r="Q67" i="34"/>
  <c r="R67" i="34"/>
  <c r="V67" i="34"/>
  <c r="AA83" i="34"/>
  <c r="P83" i="34"/>
  <c r="Q83" i="34"/>
  <c r="R83" i="34"/>
  <c r="V83" i="34"/>
  <c r="P262" i="34"/>
  <c r="Q262" i="34"/>
  <c r="R262" i="34"/>
  <c r="V262" i="34"/>
  <c r="AA262" i="34"/>
  <c r="Q303" i="34"/>
  <c r="R303" i="34"/>
  <c r="V303" i="34"/>
  <c r="AA303" i="34"/>
  <c r="P303" i="34"/>
  <c r="Q131" i="34"/>
  <c r="R131" i="34"/>
  <c r="V131" i="34"/>
  <c r="AA131" i="34"/>
  <c r="P131" i="34"/>
  <c r="Q142" i="34"/>
  <c r="P142" i="34"/>
  <c r="R142" i="34"/>
  <c r="V142" i="34"/>
  <c r="AA142" i="34"/>
  <c r="AA136" i="34"/>
  <c r="P136" i="34"/>
  <c r="Q136" i="34"/>
  <c r="R136" i="34"/>
  <c r="V136" i="34"/>
  <c r="AA191" i="34"/>
  <c r="P191" i="34"/>
  <c r="Q191" i="34"/>
  <c r="R191" i="34"/>
  <c r="V191" i="34"/>
  <c r="R149" i="34"/>
  <c r="V149" i="34"/>
  <c r="AA149" i="34"/>
  <c r="P149" i="34"/>
  <c r="Q149" i="34"/>
  <c r="P144" i="34"/>
  <c r="Q144" i="34"/>
  <c r="R144" i="34"/>
  <c r="V144" i="34"/>
  <c r="AA144" i="34"/>
  <c r="Q117" i="34"/>
  <c r="R117" i="34"/>
  <c r="V117" i="34"/>
  <c r="AA117" i="34"/>
  <c r="P117" i="34"/>
  <c r="Q123" i="34"/>
  <c r="R123" i="34"/>
  <c r="V123" i="34"/>
  <c r="AA123" i="34"/>
  <c r="P123" i="34"/>
  <c r="Q82" i="34"/>
  <c r="R82" i="34"/>
  <c r="V82" i="34"/>
  <c r="AA82" i="34"/>
  <c r="P82" i="34"/>
  <c r="AA75" i="34"/>
  <c r="P75" i="34"/>
  <c r="Q75" i="34"/>
  <c r="R75" i="34"/>
  <c r="V75" i="34"/>
  <c r="P92" i="34"/>
  <c r="R92" i="34"/>
  <c r="V92" i="34"/>
  <c r="AA92" i="34"/>
  <c r="Q92" i="34"/>
  <c r="P98" i="34"/>
  <c r="R98" i="34"/>
  <c r="V98" i="34"/>
  <c r="AA98" i="34"/>
  <c r="Q98" i="34"/>
  <c r="P100" i="34"/>
  <c r="R100" i="34"/>
  <c r="V100" i="34"/>
  <c r="AA100" i="34"/>
  <c r="Q100" i="34"/>
  <c r="AA112" i="34"/>
  <c r="P112" i="34"/>
  <c r="Q112" i="34"/>
  <c r="R112" i="34"/>
  <c r="V112" i="34"/>
  <c r="AA201" i="34"/>
  <c r="P201" i="34"/>
  <c r="Q201" i="34"/>
  <c r="R201" i="34"/>
  <c r="V201" i="34"/>
  <c r="P260" i="34"/>
  <c r="Q260" i="34"/>
  <c r="R260" i="34"/>
  <c r="V260" i="34"/>
  <c r="AA260" i="34"/>
  <c r="AA71" i="34"/>
  <c r="P71" i="34"/>
  <c r="Q71" i="34"/>
  <c r="R71" i="34"/>
  <c r="V71" i="34"/>
  <c r="Q66" i="34"/>
  <c r="R66" i="34"/>
  <c r="V66" i="34"/>
  <c r="AA66" i="34"/>
  <c r="P66" i="34"/>
  <c r="AA215" i="34"/>
  <c r="P215" i="34"/>
  <c r="Q215" i="34"/>
  <c r="R215" i="34"/>
  <c r="V215" i="34"/>
  <c r="AA300" i="34"/>
  <c r="P300" i="34"/>
  <c r="Q300" i="34"/>
  <c r="R300" i="34"/>
  <c r="V300" i="34"/>
  <c r="AA304" i="34"/>
  <c r="P304" i="34"/>
  <c r="Q304" i="34"/>
  <c r="R304" i="34"/>
  <c r="V304" i="34"/>
  <c r="AA85" i="34"/>
  <c r="P85" i="34"/>
  <c r="R85" i="34"/>
  <c r="V85" i="34"/>
  <c r="Q85" i="34"/>
  <c r="AA141" i="34"/>
  <c r="P141" i="34"/>
  <c r="Q141" i="34"/>
  <c r="R141" i="34"/>
  <c r="V141" i="34"/>
  <c r="Q135" i="34"/>
  <c r="R135" i="34"/>
  <c r="V135" i="34"/>
  <c r="AA135" i="34"/>
  <c r="P135" i="34"/>
  <c r="Q190" i="34"/>
  <c r="R190" i="34"/>
  <c r="V190" i="34"/>
  <c r="AA190" i="34"/>
  <c r="P190" i="34"/>
  <c r="P148" i="34"/>
  <c r="Q148" i="34"/>
  <c r="R148" i="34"/>
  <c r="V148" i="34"/>
  <c r="AA148" i="34"/>
  <c r="Q119" i="34"/>
  <c r="R119" i="34"/>
  <c r="V119" i="34"/>
  <c r="AA119" i="34"/>
  <c r="P119" i="34"/>
  <c r="AA122" i="34"/>
  <c r="P122" i="34"/>
  <c r="Q122" i="34"/>
  <c r="R122" i="34"/>
  <c r="V122" i="34"/>
  <c r="Q74" i="34"/>
  <c r="R74" i="34"/>
  <c r="V74" i="34"/>
  <c r="AA74" i="34"/>
  <c r="P74" i="34"/>
  <c r="Q103" i="34"/>
  <c r="R103" i="34"/>
  <c r="V103" i="34"/>
  <c r="AA103" i="34"/>
  <c r="P103" i="34"/>
  <c r="AA120" i="34"/>
  <c r="P120" i="34"/>
  <c r="Q120" i="34"/>
  <c r="R120" i="34"/>
  <c r="V120" i="34"/>
  <c r="Q200" i="34"/>
  <c r="R200" i="34"/>
  <c r="V200" i="34"/>
  <c r="AA200" i="34"/>
  <c r="P200" i="34"/>
  <c r="P259" i="34"/>
  <c r="R259" i="34"/>
  <c r="V259" i="34"/>
  <c r="Q259" i="34"/>
  <c r="AA259" i="34"/>
  <c r="AA69" i="34"/>
  <c r="P69" i="34"/>
  <c r="Q69" i="34"/>
  <c r="R69" i="34"/>
  <c r="V69" i="34"/>
  <c r="AA77" i="34"/>
  <c r="P77" i="34"/>
  <c r="Q77" i="34"/>
  <c r="R77" i="34"/>
  <c r="V77" i="34"/>
  <c r="Q244" i="34"/>
  <c r="R244" i="34"/>
  <c r="V244" i="34"/>
  <c r="AA244" i="34"/>
  <c r="P244" i="34"/>
  <c r="Q301" i="34"/>
  <c r="R301" i="34"/>
  <c r="V301" i="34"/>
  <c r="AA301" i="34"/>
  <c r="P301" i="34"/>
  <c r="R153" i="34"/>
  <c r="V153" i="34"/>
  <c r="AA153" i="34"/>
  <c r="P153" i="34"/>
  <c r="Q153" i="34"/>
  <c r="AA132" i="34"/>
  <c r="P132" i="34"/>
  <c r="Q132" i="34"/>
  <c r="R132" i="34"/>
  <c r="V132" i="34"/>
  <c r="Q140" i="34"/>
  <c r="R140" i="34"/>
  <c r="V140" i="34"/>
  <c r="AA140" i="34"/>
  <c r="P140" i="34"/>
  <c r="AA134" i="34"/>
  <c r="P134" i="34"/>
  <c r="Q134" i="34"/>
  <c r="R134" i="34"/>
  <c r="V134" i="34"/>
  <c r="Q188" i="34"/>
  <c r="R188" i="34"/>
  <c r="V188" i="34"/>
  <c r="AA188" i="34"/>
  <c r="P188" i="34"/>
  <c r="R147" i="34"/>
  <c r="V147" i="34"/>
  <c r="AA147" i="34"/>
  <c r="P147" i="34"/>
  <c r="Q147" i="34"/>
  <c r="AA116" i="34"/>
  <c r="P116" i="34"/>
  <c r="Q116" i="34"/>
  <c r="R116" i="34"/>
  <c r="V116" i="34"/>
  <c r="AA81" i="34"/>
  <c r="P81" i="34"/>
  <c r="Q81" i="34"/>
  <c r="R81" i="34"/>
  <c r="V81" i="34"/>
  <c r="R91" i="34"/>
  <c r="V91" i="34"/>
  <c r="Q91" i="34"/>
  <c r="AA91" i="34"/>
  <c r="P91" i="34"/>
  <c r="AA108" i="34"/>
  <c r="P108" i="34"/>
  <c r="Q108" i="34"/>
  <c r="R108" i="34"/>
  <c r="V108" i="34"/>
  <c r="AA128" i="34"/>
  <c r="P128" i="34"/>
  <c r="Q128" i="34"/>
  <c r="R128" i="34"/>
  <c r="V128" i="34"/>
  <c r="AA63" i="34"/>
  <c r="P63" i="34"/>
  <c r="Q63" i="34"/>
  <c r="R63" i="34"/>
  <c r="V63" i="34"/>
  <c r="AA79" i="34"/>
  <c r="P79" i="34"/>
  <c r="Q79" i="34"/>
  <c r="R79" i="34"/>
  <c r="V79" i="34"/>
  <c r="R95" i="34"/>
  <c r="V95" i="34"/>
  <c r="Q95" i="34"/>
  <c r="AA95" i="34"/>
  <c r="P95" i="34"/>
  <c r="AA89" i="34"/>
  <c r="R89" i="34"/>
  <c r="V89" i="34"/>
  <c r="P89" i="34"/>
  <c r="Q89" i="34"/>
  <c r="AA102" i="34"/>
  <c r="P102" i="34"/>
  <c r="Q102" i="34"/>
  <c r="R102" i="34"/>
  <c r="V102" i="34"/>
  <c r="Q107" i="34"/>
  <c r="R107" i="34"/>
  <c r="V107" i="34"/>
  <c r="AA107" i="34"/>
  <c r="P107" i="34"/>
  <c r="AA213" i="34"/>
  <c r="P213" i="34"/>
  <c r="Q213" i="34"/>
  <c r="R213" i="34"/>
  <c r="V213" i="34"/>
  <c r="Q125" i="34"/>
  <c r="R125" i="34"/>
  <c r="V125" i="34"/>
  <c r="AA125" i="34"/>
  <c r="P125" i="34"/>
  <c r="AA73" i="34"/>
  <c r="P73" i="34"/>
  <c r="Q73" i="34"/>
  <c r="R73" i="34"/>
  <c r="V73" i="34"/>
  <c r="Q68" i="34"/>
  <c r="R68" i="34"/>
  <c r="V68" i="34"/>
  <c r="AA68" i="34"/>
  <c r="P68" i="34"/>
  <c r="Q76" i="34"/>
  <c r="R76" i="34"/>
  <c r="V76" i="34"/>
  <c r="AA76" i="34"/>
  <c r="P76" i="34"/>
  <c r="AA245" i="34"/>
  <c r="P245" i="34"/>
  <c r="Q245" i="34"/>
  <c r="R245" i="34"/>
  <c r="V245" i="34"/>
  <c r="AA302" i="34"/>
  <c r="P302" i="34"/>
  <c r="Q302" i="34"/>
  <c r="R302" i="34"/>
  <c r="V302" i="34"/>
  <c r="P154" i="34"/>
  <c r="Q154" i="34"/>
  <c r="R154" i="34"/>
  <c r="V154" i="34"/>
  <c r="AA154" i="34"/>
  <c r="R143" i="34"/>
  <c r="V143" i="34"/>
  <c r="AA143" i="34"/>
  <c r="P143" i="34"/>
  <c r="Q143" i="34"/>
  <c r="AA138" i="34"/>
  <c r="P138" i="34"/>
  <c r="Q138" i="34"/>
  <c r="R138" i="34"/>
  <c r="V138" i="34"/>
  <c r="Q133" i="34"/>
  <c r="R133" i="34"/>
  <c r="V133" i="34"/>
  <c r="AA133" i="34"/>
  <c r="P133" i="34"/>
  <c r="AA187" i="34"/>
  <c r="P187" i="34"/>
  <c r="Q187" i="34"/>
  <c r="R187" i="34"/>
  <c r="V187" i="34"/>
  <c r="R145" i="34"/>
  <c r="V145" i="34"/>
  <c r="AA145" i="34"/>
  <c r="P145" i="34"/>
  <c r="Q145" i="34"/>
  <c r="A81" i="34"/>
  <c r="A259" i="34"/>
  <c r="A134" i="34"/>
  <c r="A74" i="34"/>
  <c r="A108" i="34"/>
  <c r="A69" i="34"/>
  <c r="A301" i="34"/>
  <c r="A140" i="34"/>
  <c r="A188" i="34"/>
  <c r="A128" i="34"/>
  <c r="A63" i="34"/>
  <c r="A79" i="34"/>
  <c r="A95" i="34"/>
  <c r="A89" i="34"/>
  <c r="A102" i="34"/>
  <c r="A107" i="34"/>
  <c r="A213" i="34"/>
  <c r="A125" i="34"/>
  <c r="A73" i="34"/>
  <c r="A68" i="34"/>
  <c r="A76" i="34"/>
  <c r="A245" i="34"/>
  <c r="A302" i="34"/>
  <c r="A154" i="34"/>
  <c r="A143" i="34"/>
  <c r="A138" i="34"/>
  <c r="A133" i="34"/>
  <c r="A187" i="34"/>
  <c r="A145" i="34"/>
  <c r="A122" i="34"/>
  <c r="A103" i="34"/>
  <c r="A200" i="34"/>
  <c r="A244" i="34"/>
  <c r="A132" i="34"/>
  <c r="A147" i="34"/>
  <c r="A119" i="34"/>
  <c r="A127" i="34"/>
  <c r="A62" i="34"/>
  <c r="A78" i="34"/>
  <c r="A93" i="34"/>
  <c r="A99" i="34"/>
  <c r="A101" i="34"/>
  <c r="A113" i="34"/>
  <c r="A212" i="34"/>
  <c r="A124" i="34"/>
  <c r="A72" i="34"/>
  <c r="A67" i="34"/>
  <c r="A83" i="34"/>
  <c r="A262" i="34"/>
  <c r="A303" i="34"/>
  <c r="A131" i="34"/>
  <c r="A142" i="34"/>
  <c r="A136" i="34"/>
  <c r="A191" i="34"/>
  <c r="A149" i="34"/>
  <c r="A144" i="34"/>
  <c r="A116" i="34"/>
  <c r="A91" i="34"/>
  <c r="A120" i="34"/>
  <c r="A77" i="34"/>
  <c r="A153" i="34"/>
  <c r="A117" i="34"/>
  <c r="A123" i="34"/>
  <c r="A82" i="34"/>
  <c r="A75" i="34"/>
  <c r="A92" i="34"/>
  <c r="A98" i="34"/>
  <c r="A100" i="34"/>
  <c r="A112" i="34"/>
  <c r="A201" i="34"/>
  <c r="A260" i="34"/>
  <c r="A71" i="34"/>
  <c r="A66" i="34"/>
  <c r="A215" i="34"/>
  <c r="A300" i="34"/>
  <c r="A304" i="34"/>
  <c r="A85" i="34"/>
  <c r="A141" i="34"/>
  <c r="A135" i="34"/>
  <c r="A190" i="34"/>
  <c r="A148" i="34"/>
  <c r="B776" i="34"/>
  <c r="B744" i="34"/>
  <c r="B743" i="34"/>
  <c r="B741" i="34"/>
  <c r="B713" i="34"/>
  <c r="B712" i="34"/>
  <c r="B640" i="34"/>
  <c r="B639" i="34"/>
  <c r="B309" i="34"/>
  <c r="B308" i="34"/>
  <c r="B307" i="34"/>
  <c r="B226" i="34"/>
  <c r="B186" i="34"/>
  <c r="B185" i="34"/>
  <c r="B169" i="34"/>
  <c r="B171" i="34"/>
  <c r="B109" i="34"/>
  <c r="Q109" i="34" l="1"/>
  <c r="R109" i="34"/>
  <c r="V109" i="34"/>
  <c r="AA109" i="34"/>
  <c r="P109" i="34"/>
  <c r="Q309" i="34"/>
  <c r="R309" i="34"/>
  <c r="V309" i="34"/>
  <c r="AA309" i="34"/>
  <c r="P309" i="34"/>
  <c r="R713" i="34"/>
  <c r="V713" i="34"/>
  <c r="AA713" i="34"/>
  <c r="P713" i="34"/>
  <c r="Q713" i="34"/>
  <c r="AA776" i="34"/>
  <c r="P776" i="34"/>
  <c r="Q776" i="34"/>
  <c r="R776" i="34"/>
  <c r="V776" i="34"/>
  <c r="Q307" i="34"/>
  <c r="R307" i="34"/>
  <c r="V307" i="34"/>
  <c r="AA307" i="34"/>
  <c r="P307" i="34"/>
  <c r="Q186" i="34"/>
  <c r="R186" i="34"/>
  <c r="V186" i="34"/>
  <c r="AA186" i="34"/>
  <c r="P186" i="34"/>
  <c r="R171" i="34"/>
  <c r="V171" i="34"/>
  <c r="AA171" i="34"/>
  <c r="P171" i="34"/>
  <c r="Q171" i="34"/>
  <c r="Q226" i="34"/>
  <c r="R226" i="34"/>
  <c r="V226" i="34"/>
  <c r="AA226" i="34"/>
  <c r="P226" i="34"/>
  <c r="R639" i="34"/>
  <c r="V639" i="34"/>
  <c r="AA639" i="34"/>
  <c r="P639" i="34"/>
  <c r="Q639" i="34"/>
  <c r="R741" i="34"/>
  <c r="V741" i="34"/>
  <c r="AA741" i="34"/>
  <c r="P741" i="34"/>
  <c r="Q741" i="34"/>
  <c r="P640" i="34"/>
  <c r="Q640" i="34"/>
  <c r="R640" i="34"/>
  <c r="V640" i="34"/>
  <c r="AA640" i="34"/>
  <c r="R743" i="34"/>
  <c r="V743" i="34"/>
  <c r="AA743" i="34"/>
  <c r="P743" i="34"/>
  <c r="Q743" i="34"/>
  <c r="R169" i="34"/>
  <c r="V169" i="34"/>
  <c r="AA169" i="34"/>
  <c r="P169" i="34"/>
  <c r="Q169" i="34"/>
  <c r="Q185" i="34"/>
  <c r="AA185" i="34"/>
  <c r="P185" i="34"/>
  <c r="R185" i="34"/>
  <c r="V185" i="34"/>
  <c r="AA308" i="34"/>
  <c r="P308" i="34"/>
  <c r="Q308" i="34"/>
  <c r="R308" i="34"/>
  <c r="V308" i="34"/>
  <c r="P712" i="34"/>
  <c r="Q712" i="34"/>
  <c r="R712" i="34"/>
  <c r="V712" i="34"/>
  <c r="AA712" i="34"/>
  <c r="P744" i="34"/>
  <c r="Q744" i="34"/>
  <c r="R744" i="34"/>
  <c r="V744" i="34"/>
  <c r="AA744" i="34"/>
  <c r="A309" i="34"/>
  <c r="A776" i="34"/>
  <c r="A109" i="34"/>
  <c r="A713" i="34"/>
  <c r="A226" i="34"/>
  <c r="A741" i="34"/>
  <c r="A307" i="34"/>
  <c r="A743" i="34"/>
  <c r="A186" i="34"/>
  <c r="A171" i="34"/>
  <c r="A639" i="34"/>
  <c r="A169" i="34"/>
  <c r="A640" i="34"/>
  <c r="A185" i="34"/>
  <c r="A308" i="34"/>
  <c r="A712" i="34"/>
  <c r="A744" i="34"/>
  <c r="A14" i="71"/>
  <c r="E58" i="71" s="1"/>
  <c r="B228" i="34"/>
  <c r="B764" i="34"/>
  <c r="U10" i="34"/>
  <c r="AA764" i="34" l="1"/>
  <c r="P764" i="34"/>
  <c r="Q764" i="34"/>
  <c r="R764" i="34"/>
  <c r="V764" i="34"/>
  <c r="Q228" i="34"/>
  <c r="R228" i="34"/>
  <c r="V228" i="34"/>
  <c r="AA228" i="34"/>
  <c r="P228" i="34"/>
  <c r="A228" i="34"/>
  <c r="A764" i="34"/>
  <c r="A57" i="71"/>
  <c r="H2" i="71"/>
  <c r="S10" i="34"/>
  <c r="E6" i="43" l="1"/>
  <c r="O8" i="43"/>
  <c r="N8" i="43"/>
  <c r="D13" i="15" l="1"/>
  <c r="C13" i="15"/>
  <c r="B126" i="34"/>
  <c r="B276" i="34"/>
  <c r="B299" i="34"/>
  <c r="B622" i="34"/>
  <c r="B635" i="34"/>
  <c r="B657" i="34"/>
  <c r="B710" i="34"/>
  <c r="B723" i="34"/>
  <c r="B740" i="34"/>
  <c r="B763" i="34"/>
  <c r="B810" i="34"/>
  <c r="B86" i="34"/>
  <c r="Q763" i="34" l="1"/>
  <c r="R763" i="34"/>
  <c r="V763" i="34"/>
  <c r="AA763" i="34"/>
  <c r="P763" i="34"/>
  <c r="AA276" i="34"/>
  <c r="P276" i="34"/>
  <c r="Q276" i="34"/>
  <c r="R276" i="34"/>
  <c r="V276" i="34"/>
  <c r="AA126" i="34"/>
  <c r="P126" i="34"/>
  <c r="Q126" i="34"/>
  <c r="R126" i="34"/>
  <c r="V126" i="34"/>
  <c r="R635" i="34"/>
  <c r="V635" i="34"/>
  <c r="AA635" i="34"/>
  <c r="P635" i="34"/>
  <c r="Q635" i="34"/>
  <c r="Q86" i="34"/>
  <c r="P86" i="34"/>
  <c r="R86" i="34"/>
  <c r="V86" i="34"/>
  <c r="AA86" i="34"/>
  <c r="R723" i="34"/>
  <c r="V723" i="34"/>
  <c r="AA723" i="34"/>
  <c r="P723" i="34"/>
  <c r="Q723" i="34"/>
  <c r="P622" i="34"/>
  <c r="Q622" i="34"/>
  <c r="R622" i="34"/>
  <c r="V622" i="34"/>
  <c r="AA622" i="34"/>
  <c r="R657" i="34"/>
  <c r="V657" i="34"/>
  <c r="AA657" i="34"/>
  <c r="P657" i="34"/>
  <c r="Q657" i="34"/>
  <c r="P740" i="34"/>
  <c r="Q740" i="34"/>
  <c r="R740" i="34"/>
  <c r="V740" i="34"/>
  <c r="AA740" i="34"/>
  <c r="AA810" i="34"/>
  <c r="P810" i="34"/>
  <c r="Q810" i="34"/>
  <c r="R810" i="34"/>
  <c r="V810" i="34"/>
  <c r="P710" i="34"/>
  <c r="Q710" i="34"/>
  <c r="R710" i="34"/>
  <c r="V710" i="34"/>
  <c r="AA710" i="34"/>
  <c r="Q299" i="34"/>
  <c r="R299" i="34"/>
  <c r="V299" i="34"/>
  <c r="AA299" i="34"/>
  <c r="P299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763" i="34"/>
  <c r="A657" i="34"/>
  <c r="A276" i="34"/>
  <c r="A740" i="34"/>
  <c r="A635" i="34"/>
  <c r="A126" i="34"/>
  <c r="A86" i="34"/>
  <c r="A723" i="34"/>
  <c r="A622" i="34"/>
  <c r="A810" i="34"/>
  <c r="A710" i="34"/>
  <c r="A299" i="34"/>
  <c r="B130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A130" i="34" l="1"/>
  <c r="P130" i="34"/>
  <c r="Q130" i="34"/>
  <c r="R130" i="34"/>
  <c r="V130" i="34"/>
  <c r="A130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B2469" i="34"/>
  <c r="R2469" i="34" l="1"/>
  <c r="V2469" i="34"/>
  <c r="P2469" i="34"/>
  <c r="Q2469" i="34"/>
  <c r="AA2469" i="34"/>
  <c r="P2468" i="34"/>
  <c r="Q2468" i="34"/>
  <c r="R2468" i="34"/>
  <c r="V2468" i="34"/>
  <c r="AA2468" i="34"/>
  <c r="H24" i="68"/>
  <c r="G25" i="68" s="1"/>
  <c r="A2468" i="34"/>
  <c r="A2469" i="34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R21" i="34" l="1"/>
  <c r="V21" i="34"/>
  <c r="AA21" i="34"/>
  <c r="P21" i="34"/>
  <c r="Q21" i="34"/>
  <c r="P17" i="34"/>
  <c r="Q17" i="34"/>
  <c r="R17" i="34"/>
  <c r="V17" i="34"/>
  <c r="AA17" i="34"/>
  <c r="P19" i="34"/>
  <c r="Q19" i="34"/>
  <c r="R19" i="34"/>
  <c r="V19" i="34"/>
  <c r="AA19" i="34"/>
  <c r="R20" i="34"/>
  <c r="V20" i="34"/>
  <c r="AA20" i="34"/>
  <c r="P20" i="34"/>
  <c r="Q20" i="34"/>
  <c r="R16" i="34"/>
  <c r="V16" i="34"/>
  <c r="AA16" i="34"/>
  <c r="P16" i="34"/>
  <c r="Q16" i="34"/>
  <c r="R18" i="34"/>
  <c r="V18" i="34"/>
  <c r="AA18" i="34"/>
  <c r="P18" i="34"/>
  <c r="Q18" i="34"/>
  <c r="P13" i="34"/>
  <c r="Q13" i="34"/>
  <c r="R13" i="34"/>
  <c r="V13" i="34"/>
  <c r="AA13" i="34"/>
  <c r="P15" i="34"/>
  <c r="Q15" i="34"/>
  <c r="R15" i="34"/>
  <c r="V15" i="34"/>
  <c r="AA15" i="34"/>
  <c r="A17" i="34"/>
  <c r="A20" i="34"/>
  <c r="A21" i="34"/>
  <c r="A19" i="34"/>
  <c r="A18" i="34"/>
  <c r="V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6" i="12"/>
  <c r="D27" i="12" s="1"/>
  <c r="C26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I17" i="74"/>
  <c r="H22" i="74"/>
  <c r="I16" i="82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F36" i="74" l="1"/>
  <c r="F37" i="74" s="1"/>
  <c r="G34" i="77"/>
  <c r="F33" i="77"/>
  <c r="F34" i="77" s="1"/>
  <c r="G28" i="78"/>
  <c r="G24" i="75"/>
  <c r="F23" i="75"/>
  <c r="F24" i="75" s="1"/>
  <c r="G37" i="74"/>
  <c r="D45" i="15"/>
  <c r="D60" i="15" s="1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817" i="34" s="1"/>
  <c r="X817" i="34" l="1"/>
  <c r="X789" i="34"/>
  <c r="X786" i="34"/>
  <c r="X717" i="34"/>
  <c r="X735" i="34"/>
  <c r="X770" i="34"/>
  <c r="X751" i="34"/>
  <c r="X84" i="34"/>
  <c r="X666" i="34"/>
  <c r="X64" i="34"/>
  <c r="X707" i="34"/>
  <c r="X773" i="34"/>
  <c r="X94" i="34"/>
  <c r="X696" i="34"/>
  <c r="X349" i="34"/>
  <c r="X345" i="34"/>
  <c r="X367" i="34"/>
  <c r="X568" i="34"/>
  <c r="X656" i="34"/>
  <c r="X370" i="34"/>
  <c r="X504" i="34"/>
  <c r="X583" i="34"/>
  <c r="X630" i="34"/>
  <c r="X463" i="34"/>
  <c r="X275" i="34"/>
  <c r="X516" i="34"/>
  <c r="X600" i="34"/>
  <c r="X295" i="34"/>
  <c r="X571" i="34"/>
  <c r="X261" i="34"/>
  <c r="X161" i="34"/>
  <c r="X170" i="34"/>
  <c r="X271" i="34"/>
  <c r="X220" i="34"/>
  <c r="X114" i="34"/>
  <c r="X156" i="34"/>
  <c r="X230" i="34"/>
  <c r="X192" i="34"/>
  <c r="X441" i="34"/>
  <c r="X637" i="34"/>
  <c r="X523" i="34"/>
  <c r="X806" i="34"/>
  <c r="X720" i="34"/>
  <c r="X642" i="34"/>
  <c r="X690" i="34"/>
  <c r="X693" i="34"/>
  <c r="X714" i="34"/>
  <c r="X686" i="34"/>
  <c r="X532" i="34"/>
  <c r="X209" i="34"/>
  <c r="X189" i="34"/>
  <c r="X456" i="34"/>
  <c r="X137" i="34"/>
  <c r="X475" i="34"/>
  <c r="X623" i="34"/>
  <c r="X332" i="34"/>
  <c r="X129" i="34"/>
  <c r="X146" i="34"/>
  <c r="X314" i="34"/>
  <c r="X453" i="34"/>
  <c r="X732" i="34"/>
  <c r="X526" i="34"/>
  <c r="X594" i="34"/>
  <c r="X426" i="34"/>
  <c r="X626" i="34"/>
  <c r="X326" i="34"/>
  <c r="X745" i="34"/>
  <c r="X742" i="34"/>
  <c r="X675" i="34"/>
  <c r="X121" i="34"/>
  <c r="X227" i="34"/>
  <c r="X447" i="34"/>
  <c r="X87" i="34"/>
  <c r="X739" i="34"/>
  <c r="X546" i="34"/>
  <c r="X80" i="34"/>
  <c r="X320" i="34"/>
  <c r="X247" i="34"/>
  <c r="X235" i="34"/>
  <c r="X243" i="34"/>
  <c r="X167" i="34"/>
  <c r="X520" i="34"/>
  <c r="X648" i="34"/>
  <c r="X357" i="34"/>
  <c r="X323" i="34"/>
  <c r="X111" i="34"/>
  <c r="X251" i="34"/>
  <c r="X479" i="34"/>
  <c r="X500" i="34"/>
  <c r="X397" i="34"/>
  <c r="X279" i="34"/>
  <c r="X177" i="34"/>
  <c r="X384" i="34"/>
  <c r="X438" i="34"/>
  <c r="X198" i="34"/>
  <c r="X800" i="34"/>
  <c r="X90" i="34"/>
  <c r="X118" i="34"/>
  <c r="X287" i="34"/>
  <c r="X254" i="34"/>
  <c r="X70" i="34"/>
  <c r="X214" i="34"/>
  <c r="X291" i="34"/>
  <c r="X391" i="34"/>
  <c r="X820" i="34"/>
  <c r="X217" i="34"/>
  <c r="X268" i="34"/>
  <c r="X265" i="34"/>
  <c r="X1435" i="34"/>
  <c r="X1437" i="34"/>
  <c r="X1439" i="34"/>
  <c r="X1434" i="34"/>
  <c r="X1438" i="34"/>
  <c r="X1441" i="34"/>
  <c r="X1433" i="34"/>
  <c r="X1436" i="34"/>
  <c r="X1440" i="34"/>
  <c r="X1457" i="34"/>
  <c r="X1456" i="34"/>
  <c r="X1455" i="34"/>
  <c r="X1460" i="34"/>
  <c r="X33" i="34"/>
  <c r="X39" i="34"/>
  <c r="X45" i="34"/>
  <c r="X51" i="34"/>
  <c r="X1753" i="34"/>
  <c r="X1737" i="34"/>
  <c r="X1721" i="34"/>
  <c r="X1705" i="34"/>
  <c r="X1689" i="34"/>
  <c r="X1673" i="34"/>
  <c r="X1657" i="34"/>
  <c r="X1641" i="34"/>
  <c r="X1625" i="34"/>
  <c r="X1609" i="34"/>
  <c r="X1593" i="34"/>
  <c r="X1581" i="34"/>
  <c r="X1577" i="34"/>
  <c r="X1573" i="34"/>
  <c r="X1569" i="34"/>
  <c r="X1489" i="34"/>
  <c r="X1485" i="34"/>
  <c r="X1481" i="34"/>
  <c r="X1477" i="34"/>
  <c r="X1473" i="34"/>
  <c r="X1469" i="34"/>
  <c r="X1465" i="34"/>
  <c r="X1461" i="34"/>
  <c r="X1453" i="34"/>
  <c r="X1449" i="34"/>
  <c r="X1445" i="34"/>
  <c r="X25" i="34"/>
  <c r="X34" i="34"/>
  <c r="X40" i="34"/>
  <c r="X46" i="34"/>
  <c r="X52" i="34"/>
  <c r="X55" i="34"/>
  <c r="X58" i="34"/>
  <c r="X22" i="34"/>
  <c r="X1580" i="34"/>
  <c r="X1576" i="34"/>
  <c r="X1572" i="34"/>
  <c r="X1568" i="34"/>
  <c r="X1564" i="34"/>
  <c r="X1560" i="34"/>
  <c r="X1556" i="34"/>
  <c r="X1552" i="34"/>
  <c r="X1548" i="34"/>
  <c r="X1544" i="34"/>
  <c r="X1540" i="34"/>
  <c r="X1536" i="34"/>
  <c r="X1532" i="34"/>
  <c r="X1528" i="34"/>
  <c r="X1524" i="34"/>
  <c r="X1520" i="34"/>
  <c r="X1516" i="34"/>
  <c r="X1512" i="34"/>
  <c r="X1508" i="34"/>
  <c r="X1504" i="34"/>
  <c r="X1500" i="34"/>
  <c r="X1496" i="34"/>
  <c r="X1492" i="34"/>
  <c r="X1488" i="34"/>
  <c r="X1484" i="34"/>
  <c r="X1480" i="34"/>
  <c r="X1476" i="34"/>
  <c r="X1472" i="34"/>
  <c r="X1468" i="34"/>
  <c r="X1464" i="34"/>
  <c r="X1452" i="34"/>
  <c r="X1448" i="34"/>
  <c r="X28" i="34"/>
  <c r="X1563" i="34"/>
  <c r="X1559" i="34"/>
  <c r="X1555" i="34"/>
  <c r="X1551" i="34"/>
  <c r="X1547" i="34"/>
  <c r="X1543" i="34"/>
  <c r="X1539" i="34"/>
  <c r="X1535" i="34"/>
  <c r="X1531" i="34"/>
  <c r="X1527" i="34"/>
  <c r="X1523" i="34"/>
  <c r="X1519" i="34"/>
  <c r="X1515" i="34"/>
  <c r="X1511" i="34"/>
  <c r="X1507" i="34"/>
  <c r="X1503" i="34"/>
  <c r="X1499" i="34"/>
  <c r="X1495" i="34"/>
  <c r="X1754" i="34"/>
  <c r="X1750" i="34"/>
  <c r="X1746" i="34"/>
  <c r="X1742" i="34"/>
  <c r="X1738" i="34"/>
  <c r="X1734" i="34"/>
  <c r="X1730" i="34"/>
  <c r="X1726" i="34"/>
  <c r="X1722" i="34"/>
  <c r="X1718" i="34"/>
  <c r="X1714" i="34"/>
  <c r="X1710" i="34"/>
  <c r="X1706" i="34"/>
  <c r="X1702" i="34"/>
  <c r="X1698" i="34"/>
  <c r="X1694" i="34"/>
  <c r="X1690" i="34"/>
  <c r="X1686" i="34"/>
  <c r="X1682" i="34"/>
  <c r="X1678" i="34"/>
  <c r="X1674" i="34"/>
  <c r="X1670" i="34"/>
  <c r="X1666" i="34"/>
  <c r="X1662" i="34"/>
  <c r="X1658" i="34"/>
  <c r="X1654" i="34"/>
  <c r="X1650" i="34"/>
  <c r="X1646" i="34"/>
  <c r="X1642" i="34"/>
  <c r="X1638" i="34"/>
  <c r="X1634" i="34"/>
  <c r="X1630" i="34"/>
  <c r="X1626" i="34"/>
  <c r="X1622" i="34"/>
  <c r="X1618" i="34"/>
  <c r="X1614" i="34"/>
  <c r="X1610" i="34"/>
  <c r="X1606" i="34"/>
  <c r="X1602" i="34"/>
  <c r="X1598" i="34"/>
  <c r="X1594" i="34"/>
  <c r="X1590" i="34"/>
  <c r="X1586" i="34"/>
  <c r="X31" i="34"/>
  <c r="X37" i="34"/>
  <c r="X43" i="34"/>
  <c r="X49" i="34"/>
  <c r="X1743" i="34"/>
  <c r="X1727" i="34"/>
  <c r="X1711" i="34"/>
  <c r="X1695" i="34"/>
  <c r="X1679" i="34"/>
  <c r="X1663" i="34"/>
  <c r="X1647" i="34"/>
  <c r="X1631" i="34"/>
  <c r="X1615" i="34"/>
  <c r="X1599" i="34"/>
  <c r="X1583" i="34"/>
  <c r="X1757" i="34"/>
  <c r="X1741" i="34"/>
  <c r="X1725" i="34"/>
  <c r="X1709" i="34"/>
  <c r="X1693" i="34"/>
  <c r="X1677" i="34"/>
  <c r="X1661" i="34"/>
  <c r="X1645" i="34"/>
  <c r="X1745" i="34"/>
  <c r="X1729" i="34"/>
  <c r="X1713" i="34"/>
  <c r="X1697" i="34"/>
  <c r="X1681" i="34"/>
  <c r="X1665" i="34"/>
  <c r="X1649" i="34"/>
  <c r="X1633" i="34"/>
  <c r="X1617" i="34"/>
  <c r="X1601" i="34"/>
  <c r="X1585" i="34"/>
  <c r="X1579" i="34"/>
  <c r="X1575" i="34"/>
  <c r="X1571" i="34"/>
  <c r="X1567" i="34"/>
  <c r="X1491" i="34"/>
  <c r="X1487" i="34"/>
  <c r="X1483" i="34"/>
  <c r="X1479" i="34"/>
  <c r="X1475" i="34"/>
  <c r="X1471" i="34"/>
  <c r="X1467" i="34"/>
  <c r="X1463" i="34"/>
  <c r="X1451" i="34"/>
  <c r="X1447" i="34"/>
  <c r="X26" i="34"/>
  <c r="X1582" i="34"/>
  <c r="X1578" i="34"/>
  <c r="X1574" i="34"/>
  <c r="X1570" i="34"/>
  <c r="X1566" i="34"/>
  <c r="X1562" i="34"/>
  <c r="X1558" i="34"/>
  <c r="X1554" i="34"/>
  <c r="X1550" i="34"/>
  <c r="X1546" i="34"/>
  <c r="X1542" i="34"/>
  <c r="X1538" i="34"/>
  <c r="X1534" i="34"/>
  <c r="X1530" i="34"/>
  <c r="X1526" i="34"/>
  <c r="X1522" i="34"/>
  <c r="X1518" i="34"/>
  <c r="X1514" i="34"/>
  <c r="X1510" i="34"/>
  <c r="X1506" i="34"/>
  <c r="X1502" i="34"/>
  <c r="X1498" i="34"/>
  <c r="X1494" i="34"/>
  <c r="X1490" i="34"/>
  <c r="X1486" i="34"/>
  <c r="X1482" i="34"/>
  <c r="X1478" i="34"/>
  <c r="X1474" i="34"/>
  <c r="X1470" i="34"/>
  <c r="X1466" i="34"/>
  <c r="X1462" i="34"/>
  <c r="X1454" i="34"/>
  <c r="X1450" i="34"/>
  <c r="X1446" i="34"/>
  <c r="X32" i="34"/>
  <c r="X38" i="34"/>
  <c r="X44" i="34"/>
  <c r="X50" i="34"/>
  <c r="X53" i="34"/>
  <c r="X56" i="34"/>
  <c r="X59" i="34"/>
  <c r="X24" i="34"/>
  <c r="X30" i="34"/>
  <c r="X36" i="34"/>
  <c r="X42" i="34"/>
  <c r="X48" i="34"/>
  <c r="X54" i="34"/>
  <c r="X57" i="34"/>
  <c r="X60" i="34"/>
  <c r="X1565" i="34"/>
  <c r="X1561" i="34"/>
  <c r="X1557" i="34"/>
  <c r="X1553" i="34"/>
  <c r="X1549" i="34"/>
  <c r="X1545" i="34"/>
  <c r="X1541" i="34"/>
  <c r="X1537" i="34"/>
  <c r="X1533" i="34"/>
  <c r="X1529" i="34"/>
  <c r="X1525" i="34"/>
  <c r="X1521" i="34"/>
  <c r="X1517" i="34"/>
  <c r="X1513" i="34"/>
  <c r="X1509" i="34"/>
  <c r="X1505" i="34"/>
  <c r="X1501" i="34"/>
  <c r="X1497" i="34"/>
  <c r="X1493" i="34"/>
  <c r="X1458" i="34"/>
  <c r="X1756" i="34"/>
  <c r="X1752" i="34"/>
  <c r="X1748" i="34"/>
  <c r="X1744" i="34"/>
  <c r="X1740" i="34"/>
  <c r="X1736" i="34"/>
  <c r="X1732" i="34"/>
  <c r="X1728" i="34"/>
  <c r="X1724" i="34"/>
  <c r="X1720" i="34"/>
  <c r="X1716" i="34"/>
  <c r="X1712" i="34"/>
  <c r="X1708" i="34"/>
  <c r="X1704" i="34"/>
  <c r="X1700" i="34"/>
  <c r="X1696" i="34"/>
  <c r="X1692" i="34"/>
  <c r="X1688" i="34"/>
  <c r="X1684" i="34"/>
  <c r="X1680" i="34"/>
  <c r="X1676" i="34"/>
  <c r="X1672" i="34"/>
  <c r="X1668" i="34"/>
  <c r="X1664" i="34"/>
  <c r="X1660" i="34"/>
  <c r="X1656" i="34"/>
  <c r="X1652" i="34"/>
  <c r="X1648" i="34"/>
  <c r="X1644" i="34"/>
  <c r="X1640" i="34"/>
  <c r="X1636" i="34"/>
  <c r="X1632" i="34"/>
  <c r="X1628" i="34"/>
  <c r="X1624" i="34"/>
  <c r="X1620" i="34"/>
  <c r="X1616" i="34"/>
  <c r="X1612" i="34"/>
  <c r="X1608" i="34"/>
  <c r="X1604" i="34"/>
  <c r="X1600" i="34"/>
  <c r="X1596" i="34"/>
  <c r="X1592" i="34"/>
  <c r="X1588" i="34"/>
  <c r="X1584" i="34"/>
  <c r="X61" i="34"/>
  <c r="X1751" i="34"/>
  <c r="X1735" i="34"/>
  <c r="X1719" i="34"/>
  <c r="X1703" i="34"/>
  <c r="X1687" i="34"/>
  <c r="X1671" i="34"/>
  <c r="X1655" i="34"/>
  <c r="X1639" i="34"/>
  <c r="X1623" i="34"/>
  <c r="X1607" i="34"/>
  <c r="X1591" i="34"/>
  <c r="X1733" i="34"/>
  <c r="X1669" i="34"/>
  <c r="X1629" i="34"/>
  <c r="X1613" i="34"/>
  <c r="X1597" i="34"/>
  <c r="X23" i="34"/>
  <c r="X29" i="34"/>
  <c r="X1749" i="34"/>
  <c r="X1685" i="34"/>
  <c r="X1459" i="34"/>
  <c r="X47" i="34"/>
  <c r="X1747" i="34"/>
  <c r="X1731" i="34"/>
  <c r="X1715" i="34"/>
  <c r="X1699" i="34"/>
  <c r="X1683" i="34"/>
  <c r="X1667" i="34"/>
  <c r="X1651" i="34"/>
  <c r="X1635" i="34"/>
  <c r="X1619" i="34"/>
  <c r="X1603" i="34"/>
  <c r="X1587" i="34"/>
  <c r="X1701" i="34"/>
  <c r="X1637" i="34"/>
  <c r="X1621" i="34"/>
  <c r="X1605" i="34"/>
  <c r="X1589" i="34"/>
  <c r="X27" i="34"/>
  <c r="X41" i="34"/>
  <c r="X1717" i="34"/>
  <c r="X1653" i="34"/>
  <c r="X35" i="34"/>
  <c r="X1755" i="34"/>
  <c r="X1739" i="34"/>
  <c r="X1723" i="34"/>
  <c r="X1707" i="34"/>
  <c r="X1691" i="34"/>
  <c r="X1675" i="34"/>
  <c r="X1659" i="34"/>
  <c r="X1643" i="34"/>
  <c r="X1627" i="34"/>
  <c r="X1611" i="34"/>
  <c r="X1595" i="34"/>
  <c r="X1058" i="34"/>
  <c r="X1348" i="34"/>
  <c r="X1198" i="34"/>
  <c r="X1267" i="34"/>
  <c r="X1241" i="34"/>
  <c r="X1204" i="34"/>
  <c r="X1224" i="34"/>
  <c r="X1297" i="34"/>
  <c r="X1201" i="34"/>
  <c r="X1289" i="34"/>
  <c r="X1088" i="34"/>
  <c r="X1292" i="34"/>
  <c r="X1190" i="34"/>
  <c r="X1166" i="34"/>
  <c r="X1290" i="34"/>
  <c r="X1011" i="34"/>
  <c r="X1013" i="34"/>
  <c r="X1339" i="34"/>
  <c r="X1049" i="34"/>
  <c r="X1091" i="34"/>
  <c r="X1283" i="34"/>
  <c r="X1228" i="34"/>
  <c r="X1312" i="34"/>
  <c r="X1334" i="34"/>
  <c r="X1336" i="34"/>
  <c r="X1321" i="34"/>
  <c r="X1055" i="34"/>
  <c r="X1255" i="34"/>
  <c r="X1097" i="34"/>
  <c r="X1019" i="34"/>
  <c r="X1253" i="34"/>
  <c r="X1342" i="34"/>
  <c r="X1066" i="34"/>
  <c r="X1276" i="34"/>
  <c r="X1262" i="34"/>
  <c r="X1328" i="34"/>
  <c r="X1264" i="34"/>
  <c r="X1212" i="34"/>
  <c r="X1316" i="34"/>
  <c r="X1384" i="34"/>
  <c r="X1383" i="34"/>
  <c r="X1347" i="34"/>
  <c r="X1405" i="34"/>
  <c r="X1369" i="34"/>
  <c r="X1371" i="34"/>
  <c r="X1026" i="34"/>
  <c r="X1027" i="34"/>
  <c r="X1060" i="34"/>
  <c r="X1053" i="34"/>
  <c r="X1065" i="34"/>
  <c r="X1151" i="34"/>
  <c r="X1236" i="34"/>
  <c r="X1270" i="34"/>
  <c r="X1981" i="34"/>
  <c r="X1031" i="34"/>
  <c r="X1983" i="34"/>
  <c r="X1872" i="34"/>
  <c r="X1833" i="34"/>
  <c r="X1361" i="34"/>
  <c r="X1079" i="34"/>
  <c r="X1781" i="34"/>
  <c r="X1835" i="34"/>
  <c r="X1392" i="34"/>
  <c r="X1326" i="34"/>
  <c r="X1122" i="34"/>
  <c r="X1130" i="34"/>
  <c r="X1421" i="34"/>
  <c r="X1214" i="34"/>
  <c r="X1836" i="34"/>
  <c r="X1828" i="34"/>
  <c r="X1397" i="34"/>
  <c r="X1213" i="34"/>
  <c r="X1123" i="34"/>
  <c r="X1131" i="34"/>
  <c r="X601" i="34"/>
  <c r="X1128" i="34"/>
  <c r="X1830" i="34"/>
  <c r="X1362" i="34"/>
  <c r="X1422" i="34"/>
  <c r="X1442" i="34"/>
  <c r="X1206" i="34"/>
  <c r="X1080" i="34"/>
  <c r="X1322" i="34"/>
  <c r="X1778" i="34"/>
  <c r="X1363" i="34"/>
  <c r="X1081" i="34"/>
  <c r="X1829" i="34"/>
  <c r="X1135" i="34"/>
  <c r="X1082" i="34"/>
  <c r="X1136" i="34"/>
  <c r="X1323" i="34"/>
  <c r="X1125" i="34"/>
  <c r="X1808" i="34"/>
  <c r="X1398" i="34"/>
  <c r="X1196" i="34"/>
  <c r="X1132" i="34"/>
  <c r="X1839" i="34"/>
  <c r="X1774" i="34"/>
  <c r="X1802" i="34"/>
  <c r="X1810" i="34"/>
  <c r="X1396" i="34"/>
  <c r="X1423" i="34"/>
  <c r="X1207" i="34"/>
  <c r="X1319" i="34"/>
  <c r="X1059" i="34"/>
  <c r="X2111" i="34"/>
  <c r="X1779" i="34"/>
  <c r="X1807" i="34"/>
  <c r="X1360" i="34"/>
  <c r="X1420" i="34"/>
  <c r="X1424" i="34"/>
  <c r="X1200" i="34"/>
  <c r="X1320" i="34"/>
  <c r="X1078" i="34"/>
  <c r="X1841" i="34"/>
  <c r="X1804" i="34"/>
  <c r="X1425" i="34"/>
  <c r="X1205" i="34"/>
  <c r="X1329" i="34"/>
  <c r="X1773" i="34"/>
  <c r="X1809" i="34"/>
  <c r="X1366" i="34"/>
  <c r="X1315" i="34"/>
  <c r="X1121" i="34"/>
  <c r="X1129" i="34"/>
  <c r="X1776" i="34"/>
  <c r="X1834" i="34"/>
  <c r="X1134" i="34"/>
  <c r="X1443" i="34"/>
  <c r="X1837" i="34"/>
  <c r="X1777" i="34"/>
  <c r="X1803" i="34"/>
  <c r="X1444" i="34"/>
  <c r="X1083" i="34"/>
  <c r="X1197" i="34"/>
  <c r="X1133" i="34"/>
  <c r="X1831" i="34"/>
  <c r="X1359" i="34"/>
  <c r="X1400" i="34"/>
  <c r="X1126" i="34"/>
  <c r="X1780" i="34"/>
  <c r="X1838" i="34"/>
  <c r="X1832" i="34"/>
  <c r="X1840" i="34"/>
  <c r="X1364" i="34"/>
  <c r="X1327" i="34"/>
  <c r="X1119" i="34"/>
  <c r="X1127" i="34"/>
  <c r="X1394" i="34"/>
  <c r="X1120" i="34"/>
  <c r="X1395" i="34"/>
  <c r="X1330" i="34"/>
  <c r="X1084" i="34"/>
  <c r="X1124" i="34"/>
  <c r="X1806" i="34"/>
  <c r="X1199" i="34"/>
  <c r="X1089" i="34"/>
  <c r="X1365" i="34"/>
  <c r="X1775" i="34"/>
  <c r="X1393" i="34"/>
  <c r="X1805" i="34"/>
  <c r="X1358" i="34"/>
  <c r="X1399" i="34"/>
  <c r="X864" i="34"/>
  <c r="X445" i="34"/>
  <c r="X465" i="34"/>
  <c r="X483" i="34"/>
  <c r="X340" i="34"/>
  <c r="X896" i="34"/>
  <c r="X872" i="34"/>
  <c r="X888" i="34"/>
  <c r="X469" i="34"/>
  <c r="X344" i="34"/>
  <c r="X943" i="34"/>
  <c r="X951" i="34"/>
  <c r="X917" i="34"/>
  <c r="X925" i="34"/>
  <c r="X933" i="34"/>
  <c r="X488" i="34"/>
  <c r="X605" i="34"/>
  <c r="X457" i="34"/>
  <c r="X615" i="34"/>
  <c r="X312" i="34"/>
  <c r="X322" i="34"/>
  <c r="X868" i="34"/>
  <c r="X898" i="34"/>
  <c r="X906" i="34"/>
  <c r="X914" i="34"/>
  <c r="X866" i="34"/>
  <c r="X874" i="34"/>
  <c r="X882" i="34"/>
  <c r="X890" i="34"/>
  <c r="X437" i="34"/>
  <c r="X467" i="34"/>
  <c r="X485" i="34"/>
  <c r="X324" i="34"/>
  <c r="X334" i="34"/>
  <c r="X342" i="34"/>
  <c r="X347" i="34"/>
  <c r="X892" i="34"/>
  <c r="X941" i="34"/>
  <c r="X949" i="34"/>
  <c r="X1193" i="34"/>
  <c r="X923" i="34"/>
  <c r="X931" i="34"/>
  <c r="X939" i="34"/>
  <c r="X603" i="34"/>
  <c r="X310" i="34"/>
  <c r="X330" i="34"/>
  <c r="X348" i="34"/>
  <c r="X884" i="34"/>
  <c r="X473" i="34"/>
  <c r="X880" i="34"/>
  <c r="X947" i="34"/>
  <c r="X913" i="34"/>
  <c r="X492" i="34"/>
  <c r="X328" i="34"/>
  <c r="X435" i="34"/>
  <c r="X910" i="34"/>
  <c r="X894" i="34"/>
  <c r="X481" i="34"/>
  <c r="X338" i="34"/>
  <c r="X945" i="34"/>
  <c r="X490" i="34"/>
  <c r="X439" i="34"/>
  <c r="X936" i="34"/>
  <c r="X311" i="34"/>
  <c r="X331" i="34"/>
  <c r="X350" i="34"/>
  <c r="X942" i="34"/>
  <c r="X491" i="34"/>
  <c r="X440" i="34"/>
  <c r="X460" i="34"/>
  <c r="X478" i="34"/>
  <c r="X901" i="34"/>
  <c r="X909" i="34"/>
  <c r="X869" i="34"/>
  <c r="X877" i="34"/>
  <c r="X885" i="34"/>
  <c r="X893" i="34"/>
  <c r="X442" i="34"/>
  <c r="X470" i="34"/>
  <c r="X480" i="34"/>
  <c r="X317" i="34"/>
  <c r="X337" i="34"/>
  <c r="X351" i="34"/>
  <c r="X355" i="34"/>
  <c r="X487" i="34"/>
  <c r="X944" i="34"/>
  <c r="X1154" i="34"/>
  <c r="X918" i="34"/>
  <c r="X926" i="34"/>
  <c r="X934" i="34"/>
  <c r="X489" i="34"/>
  <c r="X606" i="34"/>
  <c r="X452" i="34"/>
  <c r="X462" i="34"/>
  <c r="X616" i="34"/>
  <c r="X329" i="34"/>
  <c r="X356" i="34"/>
  <c r="X932" i="34"/>
  <c r="X899" i="34"/>
  <c r="X907" i="34"/>
  <c r="X915" i="34"/>
  <c r="X867" i="34"/>
  <c r="X875" i="34"/>
  <c r="X883" i="34"/>
  <c r="X891" i="34"/>
  <c r="X468" i="34"/>
  <c r="X486" i="34"/>
  <c r="X315" i="34"/>
  <c r="X325" i="34"/>
  <c r="X335" i="34"/>
  <c r="X343" i="34"/>
  <c r="X353" i="34"/>
  <c r="X900" i="34"/>
  <c r="X336" i="34"/>
  <c r="X921" i="34"/>
  <c r="X451" i="34"/>
  <c r="X908" i="34"/>
  <c r="X902" i="34"/>
  <c r="X886" i="34"/>
  <c r="X443" i="34"/>
  <c r="X318" i="34"/>
  <c r="X876" i="34"/>
  <c r="X919" i="34"/>
  <c r="X935" i="34"/>
  <c r="X459" i="34"/>
  <c r="X916" i="34"/>
  <c r="X321" i="34"/>
  <c r="X354" i="34"/>
  <c r="X928" i="34"/>
  <c r="X450" i="34"/>
  <c r="X614" i="34"/>
  <c r="X327" i="34"/>
  <c r="X897" i="34"/>
  <c r="X905" i="34"/>
  <c r="X865" i="34"/>
  <c r="X873" i="34"/>
  <c r="X881" i="34"/>
  <c r="X889" i="34"/>
  <c r="X436" i="34"/>
  <c r="X446" i="34"/>
  <c r="X466" i="34"/>
  <c r="X474" i="34"/>
  <c r="X484" i="34"/>
  <c r="X333" i="34"/>
  <c r="X341" i="34"/>
  <c r="X946" i="34"/>
  <c r="X924" i="34"/>
  <c r="X940" i="34"/>
  <c r="X948" i="34"/>
  <c r="X922" i="34"/>
  <c r="X930" i="34"/>
  <c r="X938" i="34"/>
  <c r="X602" i="34"/>
  <c r="X448" i="34"/>
  <c r="X458" i="34"/>
  <c r="X476" i="34"/>
  <c r="X313" i="34"/>
  <c r="X352" i="34"/>
  <c r="X950" i="34"/>
  <c r="X920" i="34"/>
  <c r="X604" i="34"/>
  <c r="X903" i="34"/>
  <c r="X863" i="34"/>
  <c r="X871" i="34"/>
  <c r="X879" i="34"/>
  <c r="X887" i="34"/>
  <c r="X895" i="34"/>
  <c r="X444" i="34"/>
  <c r="X454" i="34"/>
  <c r="X464" i="34"/>
  <c r="X472" i="34"/>
  <c r="X482" i="34"/>
  <c r="X319" i="34"/>
  <c r="X339" i="34"/>
  <c r="X358" i="34"/>
  <c r="X455" i="34"/>
  <c r="X912" i="34"/>
  <c r="X316" i="34"/>
  <c r="X929" i="34"/>
  <c r="X937" i="34"/>
  <c r="X461" i="34"/>
  <c r="X346" i="34"/>
  <c r="X870" i="34"/>
  <c r="X878" i="34"/>
  <c r="X471" i="34"/>
  <c r="X904" i="34"/>
  <c r="X911" i="34"/>
  <c r="X927" i="34"/>
  <c r="X449" i="34"/>
  <c r="X477" i="34"/>
  <c r="X157" i="34"/>
  <c r="X155" i="34"/>
  <c r="X88" i="34"/>
  <c r="X2467" i="34"/>
  <c r="X2377" i="34"/>
  <c r="X2369" i="34"/>
  <c r="X2361" i="34"/>
  <c r="X2353" i="34"/>
  <c r="X2187" i="34"/>
  <c r="X2179" i="34"/>
  <c r="X2345" i="34"/>
  <c r="X2375" i="34"/>
  <c r="X2241" i="34"/>
  <c r="X2253" i="34"/>
  <c r="X2245" i="34"/>
  <c r="X2459" i="34"/>
  <c r="X2435" i="34"/>
  <c r="X2339" i="34"/>
  <c r="X2331" i="34"/>
  <c r="X2237" i="34"/>
  <c r="X2229" i="34"/>
  <c r="X2221" i="34"/>
  <c r="X2169" i="34"/>
  <c r="X2355" i="34"/>
  <c r="X2189" i="34"/>
  <c r="X2181" i="34"/>
  <c r="X2347" i="34"/>
  <c r="X2461" i="34"/>
  <c r="X2161" i="34"/>
  <c r="X2251" i="34"/>
  <c r="X2243" i="34"/>
  <c r="X2457" i="34"/>
  <c r="X2449" i="34"/>
  <c r="X2433" i="34"/>
  <c r="X2337" i="34"/>
  <c r="X2329" i="34"/>
  <c r="X2235" i="34"/>
  <c r="X2227" i="34"/>
  <c r="X2175" i="34"/>
  <c r="X2167" i="34"/>
  <c r="X2359" i="34"/>
  <c r="X2357" i="34"/>
  <c r="X2191" i="34"/>
  <c r="X2341" i="34"/>
  <c r="X2439" i="34"/>
  <c r="X2327" i="34"/>
  <c r="X2173" i="34"/>
  <c r="X2239" i="34"/>
  <c r="X2351" i="34"/>
  <c r="X2453" i="34"/>
  <c r="X2445" i="34"/>
  <c r="X2223" i="34"/>
  <c r="X2463" i="34"/>
  <c r="X2250" i="34"/>
  <c r="X2242" i="34"/>
  <c r="X2456" i="34"/>
  <c r="X2448" i="34"/>
  <c r="X2440" i="34"/>
  <c r="X2432" i="34"/>
  <c r="X2336" i="34"/>
  <c r="X2328" i="34"/>
  <c r="X2234" i="34"/>
  <c r="X2226" i="34"/>
  <c r="X2174" i="34"/>
  <c r="X2166" i="34"/>
  <c r="X2462" i="34"/>
  <c r="X2372" i="34"/>
  <c r="X2364" i="34"/>
  <c r="X2356" i="34"/>
  <c r="X2190" i="34"/>
  <c r="X2182" i="34"/>
  <c r="X2455" i="34"/>
  <c r="X2348" i="34"/>
  <c r="X2340" i="34"/>
  <c r="X2252" i="34"/>
  <c r="X2244" i="34"/>
  <c r="X2458" i="34"/>
  <c r="X2450" i="34"/>
  <c r="X2442" i="34"/>
  <c r="X2434" i="34"/>
  <c r="X2338" i="34"/>
  <c r="X2330" i="34"/>
  <c r="X2236" i="34"/>
  <c r="X2228" i="34"/>
  <c r="X2176" i="34"/>
  <c r="X2168" i="34"/>
  <c r="X2378" i="34"/>
  <c r="X2370" i="34"/>
  <c r="X2362" i="34"/>
  <c r="X2354" i="34"/>
  <c r="X2188" i="34"/>
  <c r="X2180" i="34"/>
  <c r="X2346" i="34"/>
  <c r="X2365" i="34"/>
  <c r="X2183" i="34"/>
  <c r="X2249" i="34"/>
  <c r="X2431" i="34"/>
  <c r="X2233" i="34"/>
  <c r="X2165" i="34"/>
  <c r="X2177" i="34"/>
  <c r="X2343" i="34"/>
  <c r="X2247" i="34"/>
  <c r="X2437" i="34"/>
  <c r="X2231" i="34"/>
  <c r="X2171" i="34"/>
  <c r="X2465" i="34"/>
  <c r="X2254" i="34"/>
  <c r="X2246" i="34"/>
  <c r="X2460" i="34"/>
  <c r="X2452" i="34"/>
  <c r="X2444" i="34"/>
  <c r="X2436" i="34"/>
  <c r="X2332" i="34"/>
  <c r="X2238" i="34"/>
  <c r="X2230" i="34"/>
  <c r="X2222" i="34"/>
  <c r="X2170" i="34"/>
  <c r="X2162" i="34"/>
  <c r="X2466" i="34"/>
  <c r="X2376" i="34"/>
  <c r="X2368" i="34"/>
  <c r="X2360" i="34"/>
  <c r="X2352" i="34"/>
  <c r="X2240" i="34"/>
  <c r="X2186" i="34"/>
  <c r="X2178" i="34"/>
  <c r="X2451" i="34"/>
  <c r="X2443" i="34"/>
  <c r="X2344" i="34"/>
  <c r="X2256" i="34"/>
  <c r="X2248" i="34"/>
  <c r="X2454" i="34"/>
  <c r="X2446" i="34"/>
  <c r="X2438" i="34"/>
  <c r="X2334" i="34"/>
  <c r="X2326" i="34"/>
  <c r="X2232" i="34"/>
  <c r="X2224" i="34"/>
  <c r="X2172" i="34"/>
  <c r="X2164" i="34"/>
  <c r="X2464" i="34"/>
  <c r="X2374" i="34"/>
  <c r="X2366" i="34"/>
  <c r="X2358" i="34"/>
  <c r="X2192" i="34"/>
  <c r="X2184" i="34"/>
  <c r="X2120" i="34"/>
  <c r="X2441" i="34"/>
  <c r="X2350" i="34"/>
  <c r="X2342" i="34"/>
  <c r="X2373" i="34"/>
  <c r="X2349" i="34"/>
  <c r="X2367" i="34"/>
  <c r="X2447" i="34"/>
  <c r="X2335" i="34"/>
  <c r="X2225" i="34"/>
  <c r="X2371" i="34"/>
  <c r="X2185" i="34"/>
  <c r="X2363" i="34"/>
  <c r="X2255" i="34"/>
  <c r="X2333" i="34"/>
  <c r="X2325" i="34"/>
  <c r="X2163" i="34"/>
  <c r="X2003" i="34"/>
  <c r="X2065" i="34"/>
  <c r="X2001" i="34"/>
  <c r="X2039" i="34"/>
  <c r="X2069" i="34"/>
  <c r="X2102" i="34"/>
  <c r="X2000" i="34"/>
  <c r="X2068" i="34"/>
  <c r="X2002" i="34"/>
  <c r="X2034" i="34"/>
  <c r="X2066" i="34"/>
  <c r="X2040" i="34"/>
  <c r="X2036" i="34"/>
  <c r="X2044" i="34"/>
  <c r="X2038" i="34"/>
  <c r="X2041" i="34"/>
  <c r="X2037" i="34"/>
  <c r="X2067" i="34"/>
  <c r="X2042" i="34"/>
  <c r="X2070" i="34"/>
  <c r="X2219" i="34"/>
  <c r="X2267" i="34"/>
  <c r="X2077" i="34"/>
  <c r="X2103" i="34"/>
  <c r="X1941" i="34"/>
  <c r="X2289" i="34"/>
  <c r="X2297" i="34"/>
  <c r="X2305" i="34"/>
  <c r="X2313" i="34"/>
  <c r="X2405" i="34"/>
  <c r="X2413" i="34"/>
  <c r="X2421" i="34"/>
  <c r="X2429" i="34"/>
  <c r="X2117" i="34"/>
  <c r="X2129" i="34"/>
  <c r="X2137" i="34"/>
  <c r="X2049" i="34"/>
  <c r="X2059" i="34"/>
  <c r="X2287" i="34"/>
  <c r="X2151" i="34"/>
  <c r="X2159" i="34"/>
  <c r="X2101" i="34"/>
  <c r="X1985" i="34"/>
  <c r="X1989" i="34"/>
  <c r="X1997" i="34"/>
  <c r="X1899" i="34"/>
  <c r="X1907" i="34"/>
  <c r="X1949" i="34"/>
  <c r="X1921" i="34"/>
  <c r="X1961" i="34"/>
  <c r="X2009" i="34"/>
  <c r="X1311" i="34"/>
  <c r="X1041" i="34"/>
  <c r="X1356" i="34"/>
  <c r="X1418" i="34"/>
  <c r="X1764" i="34"/>
  <c r="X1772" i="34"/>
  <c r="X1826" i="34"/>
  <c r="X1860" i="34"/>
  <c r="X2298" i="34"/>
  <c r="X2426" i="34"/>
  <c r="X2046" i="34"/>
  <c r="X2122" i="34"/>
  <c r="X2156" i="34"/>
  <c r="X1980" i="34"/>
  <c r="X1998" i="34"/>
  <c r="X1883" i="34"/>
  <c r="X1908" i="34"/>
  <c r="X2014" i="34"/>
  <c r="X1798" i="34"/>
  <c r="X1853" i="34"/>
  <c r="X1861" i="34"/>
  <c r="X2290" i="34"/>
  <c r="X2410" i="34"/>
  <c r="X2430" i="34"/>
  <c r="X1946" i="34"/>
  <c r="X1954" i="34"/>
  <c r="X1038" i="34"/>
  <c r="X1419" i="34"/>
  <c r="X1794" i="34"/>
  <c r="X2220" i="34"/>
  <c r="X2194" i="34"/>
  <c r="X2260" i="34"/>
  <c r="X2268" i="34"/>
  <c r="X2276" i="34"/>
  <c r="X2284" i="34"/>
  <c r="X2074" i="34"/>
  <c r="X1970" i="34"/>
  <c r="X2020" i="34"/>
  <c r="X2028" i="34"/>
  <c r="X2082" i="34"/>
  <c r="X2258" i="34"/>
  <c r="X2206" i="34"/>
  <c r="X1879" i="34"/>
  <c r="X1982" i="34"/>
  <c r="X1934" i="34"/>
  <c r="X1942" i="34"/>
  <c r="X2072" i="34"/>
  <c r="X1893" i="34"/>
  <c r="X1916" i="34"/>
  <c r="X1924" i="34"/>
  <c r="X1112" i="34"/>
  <c r="X1344" i="34"/>
  <c r="X1354" i="34"/>
  <c r="X1416" i="34"/>
  <c r="X2310" i="34"/>
  <c r="X2418" i="34"/>
  <c r="X2130" i="34"/>
  <c r="X2060" i="34"/>
  <c r="X2148" i="34"/>
  <c r="X1900" i="34"/>
  <c r="X2214" i="34"/>
  <c r="X2196" i="34"/>
  <c r="X2262" i="34"/>
  <c r="X2270" i="34"/>
  <c r="X2278" i="34"/>
  <c r="X2286" i="34"/>
  <c r="X2076" i="34"/>
  <c r="X1972" i="34"/>
  <c r="X2022" i="34"/>
  <c r="X2030" i="34"/>
  <c r="X2084" i="34"/>
  <c r="X2108" i="34"/>
  <c r="X2208" i="34"/>
  <c r="X1881" i="34"/>
  <c r="X1889" i="34"/>
  <c r="X2104" i="34"/>
  <c r="X1936" i="34"/>
  <c r="X2090" i="34"/>
  <c r="X1882" i="34"/>
  <c r="X1918" i="34"/>
  <c r="X1926" i="34"/>
  <c r="X1114" i="34"/>
  <c r="X1386" i="34"/>
  <c r="X1797" i="34"/>
  <c r="X2215" i="34"/>
  <c r="X2275" i="34"/>
  <c r="X2081" i="34"/>
  <c r="X2257" i="34"/>
  <c r="X2213" i="34"/>
  <c r="X1933" i="34"/>
  <c r="X1919" i="34"/>
  <c r="X1353" i="34"/>
  <c r="X1769" i="34"/>
  <c r="X1819" i="34"/>
  <c r="X2271" i="34"/>
  <c r="X2027" i="34"/>
  <c r="X1923" i="34"/>
  <c r="X2291" i="34"/>
  <c r="X2299" i="34"/>
  <c r="X2307" i="34"/>
  <c r="X2315" i="34"/>
  <c r="X2407" i="34"/>
  <c r="X2415" i="34"/>
  <c r="X2423" i="34"/>
  <c r="X2109" i="34"/>
  <c r="X2119" i="34"/>
  <c r="X2131" i="34"/>
  <c r="X2139" i="34"/>
  <c r="X2051" i="34"/>
  <c r="X2061" i="34"/>
  <c r="X2123" i="34"/>
  <c r="X2145" i="34"/>
  <c r="X2153" i="34"/>
  <c r="X1987" i="34"/>
  <c r="X1991" i="34"/>
  <c r="X1999" i="34"/>
  <c r="X1911" i="34"/>
  <c r="X1901" i="34"/>
  <c r="X1909" i="34"/>
  <c r="X1951" i="34"/>
  <c r="X1955" i="34"/>
  <c r="X1963" i="34"/>
  <c r="X2011" i="34"/>
  <c r="X1307" i="34"/>
  <c r="X1382" i="34"/>
  <c r="X2193" i="34"/>
  <c r="X2017" i="34"/>
  <c r="X1973" i="34"/>
  <c r="X2091" i="34"/>
  <c r="X2293" i="34"/>
  <c r="X2301" i="34"/>
  <c r="X2309" i="34"/>
  <c r="X2401" i="34"/>
  <c r="X2409" i="34"/>
  <c r="X2417" i="34"/>
  <c r="X2425" i="34"/>
  <c r="X2113" i="34"/>
  <c r="X2125" i="34"/>
  <c r="X2133" i="34"/>
  <c r="X2141" i="34"/>
  <c r="X2045" i="34"/>
  <c r="X2053" i="34"/>
  <c r="X2055" i="34"/>
  <c r="X2063" i="34"/>
  <c r="X2143" i="34"/>
  <c r="X2147" i="34"/>
  <c r="X2155" i="34"/>
  <c r="X1979" i="34"/>
  <c r="X2097" i="34"/>
  <c r="X1993" i="34"/>
  <c r="X2043" i="34"/>
  <c r="X1895" i="34"/>
  <c r="X1903" i="34"/>
  <c r="X1945" i="34"/>
  <c r="X1953" i="34"/>
  <c r="X1957" i="34"/>
  <c r="X1965" i="34"/>
  <c r="X2013" i="34"/>
  <c r="X1346" i="34"/>
  <c r="X1390" i="34"/>
  <c r="X1768" i="34"/>
  <c r="X1822" i="34"/>
  <c r="X1856" i="34"/>
  <c r="X2314" i="34"/>
  <c r="X2126" i="34"/>
  <c r="X2056" i="34"/>
  <c r="X1962" i="34"/>
  <c r="X1391" i="34"/>
  <c r="X1857" i="34"/>
  <c r="X2306" i="34"/>
  <c r="X2414" i="34"/>
  <c r="X2134" i="34"/>
  <c r="X2054" i="34"/>
  <c r="X2144" i="34"/>
  <c r="X1890" i="34"/>
  <c r="X1990" i="34"/>
  <c r="X1904" i="34"/>
  <c r="X2010" i="34"/>
  <c r="X2216" i="34"/>
  <c r="X2198" i="34"/>
  <c r="X2264" i="34"/>
  <c r="X2272" i="34"/>
  <c r="X2280" i="34"/>
  <c r="X2018" i="34"/>
  <c r="X2078" i="34"/>
  <c r="X1966" i="34"/>
  <c r="X1974" i="34"/>
  <c r="X2024" i="34"/>
  <c r="X2032" i="34"/>
  <c r="X2086" i="34"/>
  <c r="X2202" i="34"/>
  <c r="X2210" i="34"/>
  <c r="X1873" i="34"/>
  <c r="X1887" i="34"/>
  <c r="X1910" i="34"/>
  <c r="X2106" i="34"/>
  <c r="X1938" i="34"/>
  <c r="X2092" i="34"/>
  <c r="X1920" i="34"/>
  <c r="X1928" i="34"/>
  <c r="X1108" i="34"/>
  <c r="X1028" i="34"/>
  <c r="X1388" i="34"/>
  <c r="X2114" i="34"/>
  <c r="X2160" i="34"/>
  <c r="X1958" i="34"/>
  <c r="X2200" i="34"/>
  <c r="X2080" i="34"/>
  <c r="X1885" i="34"/>
  <c r="X1968" i="34"/>
  <c r="X1878" i="34"/>
  <c r="X1352" i="34"/>
  <c r="X1801" i="34"/>
  <c r="X1969" i="34"/>
  <c r="X2283" i="34"/>
  <c r="X2105" i="34"/>
  <c r="X2295" i="34"/>
  <c r="X2411" i="34"/>
  <c r="X2127" i="34"/>
  <c r="X2047" i="34"/>
  <c r="X2149" i="34"/>
  <c r="X1897" i="34"/>
  <c r="X1947" i="34"/>
  <c r="X1959" i="34"/>
  <c r="X1766" i="34"/>
  <c r="X1820" i="34"/>
  <c r="X1854" i="34"/>
  <c r="X1862" i="34"/>
  <c r="X2402" i="34"/>
  <c r="X2118" i="34"/>
  <c r="X2050" i="34"/>
  <c r="X2098" i="34"/>
  <c r="X1994" i="34"/>
  <c r="X1896" i="34"/>
  <c r="X1950" i="34"/>
  <c r="X2006" i="34"/>
  <c r="X1042" i="34"/>
  <c r="X1387" i="34"/>
  <c r="X1765" i="34"/>
  <c r="X2195" i="34"/>
  <c r="X2261" i="34"/>
  <c r="X2269" i="34"/>
  <c r="X2277" i="34"/>
  <c r="X2285" i="34"/>
  <c r="X2075" i="34"/>
  <c r="X1971" i="34"/>
  <c r="X2021" i="34"/>
  <c r="X2029" i="34"/>
  <c r="X2083" i="34"/>
  <c r="X2259" i="34"/>
  <c r="X2207" i="34"/>
  <c r="X1935" i="34"/>
  <c r="X1943" i="34"/>
  <c r="X2073" i="34"/>
  <c r="X1917" i="34"/>
  <c r="X1925" i="34"/>
  <c r="X1109" i="34"/>
  <c r="X1355" i="34"/>
  <c r="X1417" i="34"/>
  <c r="X1432" i="34"/>
  <c r="X1800" i="34"/>
  <c r="X1855" i="34"/>
  <c r="X1863" i="34"/>
  <c r="X2201" i="34"/>
  <c r="X2303" i="34"/>
  <c r="X2157" i="34"/>
  <c r="X2263" i="34"/>
  <c r="X2209" i="34"/>
  <c r="X2300" i="34"/>
  <c r="X2400" i="34"/>
  <c r="X2110" i="34"/>
  <c r="X2140" i="34"/>
  <c r="X2062" i="34"/>
  <c r="X2154" i="34"/>
  <c r="X1992" i="34"/>
  <c r="X1944" i="34"/>
  <c r="X1956" i="34"/>
  <c r="X1308" i="34"/>
  <c r="X1771" i="34"/>
  <c r="X2406" i="34"/>
  <c r="X2064" i="34"/>
  <c r="X2282" i="34"/>
  <c r="X2088" i="34"/>
  <c r="X2212" i="34"/>
  <c r="X1940" i="34"/>
  <c r="X1036" i="34"/>
  <c r="X1414" i="34"/>
  <c r="X1927" i="34"/>
  <c r="X2197" i="34"/>
  <c r="X2205" i="34"/>
  <c r="X1111" i="34"/>
  <c r="X1037" i="34"/>
  <c r="X1357" i="34"/>
  <c r="X2403" i="34"/>
  <c r="X2115" i="34"/>
  <c r="X2093" i="34"/>
  <c r="X1995" i="34"/>
  <c r="X2005" i="34"/>
  <c r="X1039" i="34"/>
  <c r="X1350" i="34"/>
  <c r="X1431" i="34"/>
  <c r="X1799" i="34"/>
  <c r="X2279" i="34"/>
  <c r="X2031" i="34"/>
  <c r="X1937" i="34"/>
  <c r="X1915" i="34"/>
  <c r="X1313" i="34"/>
  <c r="X1415" i="34"/>
  <c r="X2288" i="34"/>
  <c r="X2296" i="34"/>
  <c r="X2304" i="34"/>
  <c r="X2312" i="34"/>
  <c r="X2404" i="34"/>
  <c r="X2412" i="34"/>
  <c r="X2420" i="34"/>
  <c r="X2428" i="34"/>
  <c r="X2116" i="34"/>
  <c r="X2128" i="34"/>
  <c r="X2136" i="34"/>
  <c r="X2048" i="34"/>
  <c r="X2094" i="34"/>
  <c r="X2058" i="34"/>
  <c r="X2096" i="34"/>
  <c r="X2150" i="34"/>
  <c r="X2158" i="34"/>
  <c r="X1874" i="34"/>
  <c r="X1888" i="34"/>
  <c r="X1984" i="34"/>
  <c r="X2100" i="34"/>
  <c r="X1996" i="34"/>
  <c r="X1877" i="34"/>
  <c r="X1894" i="34"/>
  <c r="X1898" i="34"/>
  <c r="X1906" i="34"/>
  <c r="X1948" i="34"/>
  <c r="X1884" i="34"/>
  <c r="X1960" i="34"/>
  <c r="X2008" i="34"/>
  <c r="X2016" i="34"/>
  <c r="X1040" i="34"/>
  <c r="X1385" i="34"/>
  <c r="X1767" i="34"/>
  <c r="X1821" i="34"/>
  <c r="X1986" i="34"/>
  <c r="X1142" i="34"/>
  <c r="X1115" i="34"/>
  <c r="X2071" i="34"/>
  <c r="X2135" i="34"/>
  <c r="X2095" i="34"/>
  <c r="X1905" i="34"/>
  <c r="X1795" i="34"/>
  <c r="X1977" i="34"/>
  <c r="X2292" i="34"/>
  <c r="X2408" i="34"/>
  <c r="X2424" i="34"/>
  <c r="X2132" i="34"/>
  <c r="X2142" i="34"/>
  <c r="X1880" i="34"/>
  <c r="X1978" i="34"/>
  <c r="X1912" i="34"/>
  <c r="X1952" i="34"/>
  <c r="X1964" i="34"/>
  <c r="X1413" i="34"/>
  <c r="X1825" i="34"/>
  <c r="X2302" i="34"/>
  <c r="X2274" i="34"/>
  <c r="X2026" i="34"/>
  <c r="X2204" i="34"/>
  <c r="X1932" i="34"/>
  <c r="X1930" i="34"/>
  <c r="X1110" i="34"/>
  <c r="X1823" i="34"/>
  <c r="X2089" i="34"/>
  <c r="X2311" i="34"/>
  <c r="X2427" i="34"/>
  <c r="X2057" i="34"/>
  <c r="X2099" i="34"/>
  <c r="X2015" i="34"/>
  <c r="X1412" i="34"/>
  <c r="X1770" i="34"/>
  <c r="X1824" i="34"/>
  <c r="X1858" i="34"/>
  <c r="X2294" i="34"/>
  <c r="X2422" i="34"/>
  <c r="X2138" i="34"/>
  <c r="X1922" i="34"/>
  <c r="X2152" i="34"/>
  <c r="X1886" i="34"/>
  <c r="X1892" i="34"/>
  <c r="X2004" i="34"/>
  <c r="X2217" i="34"/>
  <c r="X2199" i="34"/>
  <c r="X2265" i="34"/>
  <c r="X2273" i="34"/>
  <c r="X2281" i="34"/>
  <c r="X2019" i="34"/>
  <c r="X2079" i="34"/>
  <c r="X1967" i="34"/>
  <c r="X1975" i="34"/>
  <c r="X2025" i="34"/>
  <c r="X2033" i="34"/>
  <c r="X2087" i="34"/>
  <c r="X2203" i="34"/>
  <c r="X2211" i="34"/>
  <c r="X1931" i="34"/>
  <c r="X1939" i="34"/>
  <c r="X2035" i="34"/>
  <c r="X1913" i="34"/>
  <c r="X1929" i="34"/>
  <c r="X1113" i="34"/>
  <c r="X1029" i="34"/>
  <c r="X1345" i="34"/>
  <c r="X1389" i="34"/>
  <c r="X1796" i="34"/>
  <c r="X1859" i="34"/>
  <c r="X2218" i="34"/>
  <c r="X2266" i="34"/>
  <c r="X1976" i="34"/>
  <c r="X1914" i="34"/>
  <c r="X2023" i="34"/>
  <c r="X2419" i="34"/>
  <c r="X2007" i="34"/>
  <c r="X2085" i="34"/>
  <c r="X1349" i="34"/>
  <c r="X2308" i="34"/>
  <c r="X2416" i="34"/>
  <c r="X2124" i="34"/>
  <c r="X2052" i="34"/>
  <c r="X2146" i="34"/>
  <c r="X1988" i="34"/>
  <c r="X1902" i="34"/>
  <c r="X2012" i="34"/>
  <c r="X1351" i="34"/>
  <c r="X2121" i="34"/>
  <c r="X2387" i="34"/>
  <c r="X2395" i="34"/>
  <c r="X2317" i="34"/>
  <c r="X2379" i="34"/>
  <c r="X1787" i="34"/>
  <c r="X1407" i="34"/>
  <c r="X1105" i="34"/>
  <c r="X1275" i="34"/>
  <c r="X1783" i="34"/>
  <c r="X1402" i="34"/>
  <c r="X1093" i="34"/>
  <c r="X1337" i="34"/>
  <c r="X1217" i="34"/>
  <c r="X1073" i="34"/>
  <c r="X385" i="34"/>
  <c r="X509" i="34"/>
  <c r="X513" i="34"/>
  <c r="X609" i="34"/>
  <c r="X957" i="34"/>
  <c r="X965" i="34"/>
  <c r="X973" i="34"/>
  <c r="X981" i="34"/>
  <c r="X989" i="34"/>
  <c r="X997" i="34"/>
  <c r="X1005" i="34"/>
  <c r="X1015" i="34"/>
  <c r="X2381" i="34"/>
  <c r="X1291" i="34"/>
  <c r="X1813" i="34"/>
  <c r="X1408" i="34"/>
  <c r="X1106" i="34"/>
  <c r="X1092" i="34"/>
  <c r="X1046" i="34"/>
  <c r="X1216" i="34"/>
  <c r="X1068" i="34"/>
  <c r="X359" i="34"/>
  <c r="X368" i="34"/>
  <c r="X386" i="34"/>
  <c r="X501" i="34"/>
  <c r="X510" i="34"/>
  <c r="X530" i="34"/>
  <c r="X954" i="34"/>
  <c r="X962" i="34"/>
  <c r="X970" i="34"/>
  <c r="X978" i="34"/>
  <c r="X986" i="34"/>
  <c r="X994" i="34"/>
  <c r="X1002" i="34"/>
  <c r="X1010" i="34"/>
  <c r="X1846" i="34"/>
  <c r="X1310" i="34"/>
  <c r="X1818" i="34"/>
  <c r="X1845" i="34"/>
  <c r="X1409" i="34"/>
  <c r="X1428" i="34"/>
  <c r="X1146" i="34"/>
  <c r="X1090" i="34"/>
  <c r="X1230" i="34"/>
  <c r="X1170" i="34"/>
  <c r="X360" i="34"/>
  <c r="X378" i="34"/>
  <c r="X493" i="34"/>
  <c r="X1012" i="34"/>
  <c r="X1024" i="34"/>
  <c r="X1876" i="34"/>
  <c r="X2386" i="34"/>
  <c r="X2394" i="34"/>
  <c r="X1851" i="34"/>
  <c r="X1184" i="34"/>
  <c r="X2316" i="34"/>
  <c r="X2324" i="34"/>
  <c r="X1786" i="34"/>
  <c r="X1842" i="34"/>
  <c r="X1410" i="34"/>
  <c r="X1100" i="34"/>
  <c r="X1138" i="34"/>
  <c r="X1784" i="34"/>
  <c r="X1372" i="34"/>
  <c r="X1338" i="34"/>
  <c r="X1074" i="34"/>
  <c r="X361" i="34"/>
  <c r="X1891" i="34"/>
  <c r="X1875" i="34"/>
  <c r="X1848" i="34"/>
  <c r="X1812" i="34"/>
  <c r="X1411" i="34"/>
  <c r="X1430" i="34"/>
  <c r="X1052" i="34"/>
  <c r="X1370" i="34"/>
  <c r="X1098" i="34"/>
  <c r="X1056" i="34"/>
  <c r="X1226" i="34"/>
  <c r="X1172" i="34"/>
  <c r="X1168" i="34"/>
  <c r="X362" i="34"/>
  <c r="X372" i="34"/>
  <c r="X380" i="34"/>
  <c r="X495" i="34"/>
  <c r="X524" i="34"/>
  <c r="X534" i="34"/>
  <c r="X2380" i="34"/>
  <c r="X2388" i="34"/>
  <c r="X2396" i="34"/>
  <c r="X2318" i="34"/>
  <c r="X1758" i="34"/>
  <c r="X1788" i="34"/>
  <c r="X1844" i="34"/>
  <c r="X1343" i="34"/>
  <c r="X1145" i="34"/>
  <c r="X1233" i="34"/>
  <c r="X1277" i="34"/>
  <c r="X1401" i="34"/>
  <c r="X1335" i="34"/>
  <c r="X1231" i="34"/>
  <c r="X1171" i="34"/>
  <c r="X377" i="34"/>
  <c r="X395" i="34"/>
  <c r="X496" i="34"/>
  <c r="X525" i="34"/>
  <c r="X535" i="34"/>
  <c r="X617" i="34"/>
  <c r="X2385" i="34"/>
  <c r="X2397" i="34"/>
  <c r="X1137" i="34"/>
  <c r="X1293" i="34"/>
  <c r="X2319" i="34"/>
  <c r="X1759" i="34"/>
  <c r="X1789" i="34"/>
  <c r="X1374" i="34"/>
  <c r="X1107" i="34"/>
  <c r="X1250" i="34"/>
  <c r="X1161" i="34"/>
  <c r="X1373" i="34"/>
  <c r="X1333" i="34"/>
  <c r="X1215" i="34"/>
  <c r="X1071" i="34"/>
  <c r="X1187" i="34"/>
  <c r="X369" i="34"/>
  <c r="X387" i="34"/>
  <c r="X515" i="34"/>
  <c r="X527" i="34"/>
  <c r="X959" i="34"/>
  <c r="X967" i="34"/>
  <c r="X975" i="34"/>
  <c r="X983" i="34"/>
  <c r="X991" i="34"/>
  <c r="X999" i="34"/>
  <c r="X1007" i="34"/>
  <c r="X1017" i="34"/>
  <c r="X2389" i="34"/>
  <c r="X1815" i="34"/>
  <c r="X1375" i="34"/>
  <c r="X1785" i="34"/>
  <c r="X1099" i="34"/>
  <c r="X1229" i="34"/>
  <c r="X1173" i="34"/>
  <c r="X1169" i="34"/>
  <c r="X371" i="34"/>
  <c r="X2383" i="34"/>
  <c r="X2391" i="34"/>
  <c r="X2399" i="34"/>
  <c r="X1185" i="34"/>
  <c r="X2321" i="34"/>
  <c r="X1761" i="34"/>
  <c r="X1791" i="34"/>
  <c r="X1376" i="34"/>
  <c r="X1101" i="34"/>
  <c r="X1139" i="34"/>
  <c r="X1047" i="34"/>
  <c r="X1331" i="34"/>
  <c r="X1069" i="34"/>
  <c r="X389" i="34"/>
  <c r="X505" i="34"/>
  <c r="X529" i="34"/>
  <c r="X953" i="34"/>
  <c r="X961" i="34"/>
  <c r="X969" i="34"/>
  <c r="X977" i="34"/>
  <c r="X985" i="34"/>
  <c r="X993" i="34"/>
  <c r="X1001" i="34"/>
  <c r="X1009" i="34"/>
  <c r="X2107" i="34"/>
  <c r="X1067" i="34"/>
  <c r="X1309" i="34"/>
  <c r="X1817" i="34"/>
  <c r="X1021" i="34"/>
  <c r="X1377" i="34"/>
  <c r="X1102" i="34"/>
  <c r="X1140" i="34"/>
  <c r="X1782" i="34"/>
  <c r="X1368" i="34"/>
  <c r="X1096" i="34"/>
  <c r="X1054" i="34"/>
  <c r="X1072" i="34"/>
  <c r="X1164" i="34"/>
  <c r="X363" i="34"/>
  <c r="X390" i="34"/>
  <c r="X506" i="34"/>
  <c r="X514" i="34"/>
  <c r="X958" i="34"/>
  <c r="X966" i="34"/>
  <c r="X974" i="34"/>
  <c r="X982" i="34"/>
  <c r="X990" i="34"/>
  <c r="X998" i="34"/>
  <c r="X1006" i="34"/>
  <c r="X1016" i="34"/>
  <c r="X1850" i="34"/>
  <c r="X1814" i="34"/>
  <c r="X1378" i="34"/>
  <c r="X1086" i="34"/>
  <c r="X1282" i="34"/>
  <c r="X1426" i="34"/>
  <c r="X1367" i="34"/>
  <c r="X1050" i="34"/>
  <c r="X1156" i="34"/>
  <c r="X364" i="34"/>
  <c r="X374" i="34"/>
  <c r="X382" i="34"/>
  <c r="X392" i="34"/>
  <c r="X497" i="34"/>
  <c r="X502" i="34"/>
  <c r="X536" i="34"/>
  <c r="X618" i="34"/>
  <c r="X2382" i="34"/>
  <c r="X2390" i="34"/>
  <c r="X2398" i="34"/>
  <c r="X1847" i="34"/>
  <c r="X1296" i="34"/>
  <c r="X2320" i="34"/>
  <c r="X1760" i="34"/>
  <c r="X1790" i="34"/>
  <c r="X1379" i="34"/>
  <c r="X1252" i="34"/>
  <c r="X1104" i="34"/>
  <c r="X1284" i="34"/>
  <c r="X1094" i="34"/>
  <c r="X1048" i="34"/>
  <c r="X1332" i="34"/>
  <c r="X1218" i="34"/>
  <c r="X1070" i="34"/>
  <c r="X365" i="34"/>
  <c r="X376" i="34"/>
  <c r="X499" i="34"/>
  <c r="X2112" i="34"/>
  <c r="X1849" i="34"/>
  <c r="X2322" i="34"/>
  <c r="X1427" i="34"/>
  <c r="X1225" i="34"/>
  <c r="X373" i="34"/>
  <c r="X539" i="34"/>
  <c r="X1404" i="34"/>
  <c r="X521" i="34"/>
  <c r="X963" i="34"/>
  <c r="X995" i="34"/>
  <c r="X1087" i="34"/>
  <c r="X1251" i="34"/>
  <c r="X388" i="34"/>
  <c r="X503" i="34"/>
  <c r="X512" i="34"/>
  <c r="X522" i="34"/>
  <c r="X608" i="34"/>
  <c r="X956" i="34"/>
  <c r="X964" i="34"/>
  <c r="X972" i="34"/>
  <c r="X980" i="34"/>
  <c r="X988" i="34"/>
  <c r="X996" i="34"/>
  <c r="X1004" i="34"/>
  <c r="X1014" i="34"/>
  <c r="X1158" i="34"/>
  <c r="X1261" i="34"/>
  <c r="X1157" i="34"/>
  <c r="X2323" i="34"/>
  <c r="X1045" i="34"/>
  <c r="X375" i="34"/>
  <c r="X393" i="34"/>
  <c r="X1061" i="34"/>
  <c r="X1298" i="34"/>
  <c r="X1380" i="34"/>
  <c r="X1340" i="34"/>
  <c r="X366" i="34"/>
  <c r="X394" i="34"/>
  <c r="X518" i="34"/>
  <c r="X1022" i="34"/>
  <c r="X2392" i="34"/>
  <c r="X1381" i="34"/>
  <c r="X1341" i="34"/>
  <c r="X1793" i="34"/>
  <c r="X1141" i="34"/>
  <c r="X1095" i="34"/>
  <c r="X1219" i="34"/>
  <c r="X507" i="34"/>
  <c r="X511" i="34"/>
  <c r="X955" i="34"/>
  <c r="X987" i="34"/>
  <c r="X1429" i="34"/>
  <c r="X1143" i="34"/>
  <c r="X1051" i="34"/>
  <c r="X379" i="34"/>
  <c r="X498" i="34"/>
  <c r="X517" i="34"/>
  <c r="X537" i="34"/>
  <c r="X1144" i="34"/>
  <c r="X1762" i="34"/>
  <c r="X519" i="34"/>
  <c r="X971" i="34"/>
  <c r="X1057" i="34"/>
  <c r="X383" i="34"/>
  <c r="X1852" i="34"/>
  <c r="X1816" i="34"/>
  <c r="X1843" i="34"/>
  <c r="X1020" i="34"/>
  <c r="X1254" i="34"/>
  <c r="X1232" i="34"/>
  <c r="X1162" i="34"/>
  <c r="X538" i="34"/>
  <c r="X2384" i="34"/>
  <c r="X1792" i="34"/>
  <c r="X2393" i="34"/>
  <c r="X1763" i="34"/>
  <c r="X1227" i="34"/>
  <c r="X1263" i="34"/>
  <c r="X1103" i="34"/>
  <c r="X1163" i="34"/>
  <c r="X607" i="34"/>
  <c r="X979" i="34"/>
  <c r="X1811" i="34"/>
  <c r="X1406" i="34"/>
  <c r="X1403" i="34"/>
  <c r="X1155" i="34"/>
  <c r="X508" i="34"/>
  <c r="X528" i="34"/>
  <c r="X952" i="34"/>
  <c r="X960" i="34"/>
  <c r="X968" i="34"/>
  <c r="X976" i="34"/>
  <c r="X984" i="34"/>
  <c r="X992" i="34"/>
  <c r="X1000" i="34"/>
  <c r="X1008" i="34"/>
  <c r="X1018" i="34"/>
  <c r="X1085" i="34"/>
  <c r="X381" i="34"/>
  <c r="X1023" i="34"/>
  <c r="X531" i="34"/>
  <c r="X1003" i="34"/>
  <c r="X1159" i="34"/>
  <c r="X494" i="34"/>
  <c r="X533" i="34"/>
  <c r="X599" i="34"/>
  <c r="X1153" i="34"/>
  <c r="X862" i="34"/>
  <c r="X613" i="34"/>
  <c r="X1035" i="34"/>
  <c r="X1177" i="34"/>
  <c r="X1192" i="34"/>
  <c r="X560" i="34"/>
  <c r="X548" i="34"/>
  <c r="X565" i="34"/>
  <c r="X420" i="34"/>
  <c r="X839" i="34"/>
  <c r="X826" i="34"/>
  <c r="X649" i="34"/>
  <c r="X673" i="34"/>
  <c r="X182" i="34"/>
  <c r="X797" i="34"/>
  <c r="X115" i="34"/>
  <c r="X229" i="34"/>
  <c r="X106" i="34"/>
  <c r="X110" i="34"/>
  <c r="X682" i="34"/>
  <c r="X165" i="34"/>
  <c r="X162" i="34"/>
  <c r="X172" i="34"/>
  <c r="X1235" i="34"/>
  <c r="X1245" i="34"/>
  <c r="X1285" i="34"/>
  <c r="X1303" i="34"/>
  <c r="X1175" i="34"/>
  <c r="X1075" i="34"/>
  <c r="X549" i="34"/>
  <c r="X557" i="34"/>
  <c r="X1167" i="34"/>
  <c r="X409" i="34"/>
  <c r="X417" i="34"/>
  <c r="X429" i="34"/>
  <c r="X1211" i="34"/>
  <c r="X256" i="34"/>
  <c r="X593" i="34"/>
  <c r="X667" i="34"/>
  <c r="X705" i="34"/>
  <c r="X173" i="34"/>
  <c r="X221" i="34"/>
  <c r="X237" i="34"/>
  <c r="X1279" i="34"/>
  <c r="X1325" i="34"/>
  <c r="X1043" i="34"/>
  <c r="X1025" i="34"/>
  <c r="X1149" i="34"/>
  <c r="X1189" i="34"/>
  <c r="X425" i="34"/>
  <c r="X543" i="34"/>
  <c r="X272" i="34"/>
  <c r="X663" i="34"/>
  <c r="X731" i="34"/>
  <c r="X760" i="34"/>
  <c r="X792" i="34"/>
  <c r="X203" i="34"/>
  <c r="X233" i="34"/>
  <c r="X1265" i="34"/>
  <c r="X1305" i="34"/>
  <c r="X1063" i="34"/>
  <c r="X1181" i="34"/>
  <c r="X551" i="34"/>
  <c r="X411" i="34"/>
  <c r="X431" i="34"/>
  <c r="X1221" i="34"/>
  <c r="X253" i="34"/>
  <c r="X267" i="34"/>
  <c r="X296" i="34"/>
  <c r="X587" i="34"/>
  <c r="X669" i="34"/>
  <c r="X788" i="34"/>
  <c r="X159" i="34"/>
  <c r="X223" i="34"/>
  <c r="X239" i="34"/>
  <c r="X1273" i="34"/>
  <c r="X1239" i="34"/>
  <c r="X1244" i="34"/>
  <c r="X1248" i="34"/>
  <c r="X1147" i="34"/>
  <c r="X1117" i="34"/>
  <c r="X619" i="34"/>
  <c r="X1183" i="34"/>
  <c r="X844" i="34"/>
  <c r="X423" i="34"/>
  <c r="X541" i="34"/>
  <c r="X403" i="34"/>
  <c r="X625" i="34"/>
  <c r="X661" i="34"/>
  <c r="X729" i="34"/>
  <c r="X758" i="34"/>
  <c r="X768" i="34"/>
  <c r="X790" i="34"/>
  <c r="X824" i="34"/>
  <c r="X1278" i="34"/>
  <c r="X418" i="34"/>
  <c r="X577" i="34"/>
  <c r="X264" i="34"/>
  <c r="X400" i="34"/>
  <c r="X730" i="34"/>
  <c r="X765" i="34"/>
  <c r="X1867" i="34"/>
  <c r="X1866" i="34"/>
  <c r="X1286" i="34"/>
  <c r="X1178" i="34"/>
  <c r="X1116" i="34"/>
  <c r="X563" i="34"/>
  <c r="X406" i="34"/>
  <c r="X1208" i="34"/>
  <c r="X396" i="34"/>
  <c r="X706" i="34"/>
  <c r="X174" i="34"/>
  <c r="X1044" i="34"/>
  <c r="X579" i="34"/>
  <c r="X1032" i="34"/>
  <c r="X422" i="34"/>
  <c r="X402" i="34"/>
  <c r="X767" i="34"/>
  <c r="X175" i="34"/>
  <c r="X208" i="34"/>
  <c r="X1302" i="34"/>
  <c r="X556" i="34"/>
  <c r="X566" i="34"/>
  <c r="X1202" i="34"/>
  <c r="X255" i="34"/>
  <c r="X704" i="34"/>
  <c r="X224" i="34"/>
  <c r="X1240" i="34"/>
  <c r="X1249" i="34"/>
  <c r="X1268" i="34"/>
  <c r="X1294" i="34"/>
  <c r="X1148" i="34"/>
  <c r="X1118" i="34"/>
  <c r="X573" i="34"/>
  <c r="X581" i="34"/>
  <c r="X610" i="34"/>
  <c r="X1034" i="34"/>
  <c r="X1188" i="34"/>
  <c r="X424" i="34"/>
  <c r="X404" i="34"/>
  <c r="X632" i="34"/>
  <c r="X736" i="34"/>
  <c r="X759" i="34"/>
  <c r="X769" i="34"/>
  <c r="X791" i="34"/>
  <c r="X825" i="34"/>
  <c r="X202" i="34"/>
  <c r="X1280" i="34"/>
  <c r="X1260" i="34"/>
  <c r="X1300" i="34"/>
  <c r="X1180" i="34"/>
  <c r="X554" i="34"/>
  <c r="X569" i="34"/>
  <c r="X574" i="34"/>
  <c r="X582" i="34"/>
  <c r="X1176" i="34"/>
  <c r="X410" i="34"/>
  <c r="X430" i="34"/>
  <c r="X1220" i="34"/>
  <c r="X252" i="34"/>
  <c r="X266" i="34"/>
  <c r="X590" i="34"/>
  <c r="X628" i="34"/>
  <c r="X702" i="34"/>
  <c r="X787" i="34"/>
  <c r="X164" i="34"/>
  <c r="X222" i="34"/>
  <c r="X238" i="34"/>
  <c r="X1194" i="34"/>
  <c r="X827" i="34"/>
  <c r="X570" i="34"/>
  <c r="X575" i="34"/>
  <c r="X612" i="34"/>
  <c r="X1150" i="34"/>
  <c r="X540" i="34"/>
  <c r="X273" i="34"/>
  <c r="X398" i="34"/>
  <c r="X624" i="34"/>
  <c r="X634" i="34"/>
  <c r="X728" i="34"/>
  <c r="X738" i="34"/>
  <c r="X761" i="34"/>
  <c r="X793" i="34"/>
  <c r="X204" i="34"/>
  <c r="X218" i="34"/>
  <c r="X234" i="34"/>
  <c r="X1234" i="34"/>
  <c r="X1258" i="34"/>
  <c r="X1274" i="34"/>
  <c r="X1288" i="34"/>
  <c r="X1306" i="34"/>
  <c r="X1064" i="34"/>
  <c r="X1174" i="34"/>
  <c r="X552" i="34"/>
  <c r="X572" i="34"/>
  <c r="X580" i="34"/>
  <c r="X585" i="34"/>
  <c r="X408" i="34"/>
  <c r="X416" i="34"/>
  <c r="X428" i="34"/>
  <c r="X1210" i="34"/>
  <c r="X242" i="34"/>
  <c r="X588" i="34"/>
  <c r="X670" i="34"/>
  <c r="X160" i="34"/>
  <c r="X176" i="34"/>
  <c r="X181" i="34"/>
  <c r="X236" i="34"/>
  <c r="X1871" i="34"/>
  <c r="X1868" i="34"/>
  <c r="X562" i="34"/>
  <c r="X841" i="34"/>
  <c r="X542" i="34"/>
  <c r="X755" i="34"/>
  <c r="X795" i="34"/>
  <c r="X206" i="34"/>
  <c r="X1242" i="34"/>
  <c r="X1304" i="34"/>
  <c r="X1869" i="34"/>
  <c r="X550" i="34"/>
  <c r="X578" i="34"/>
  <c r="X414" i="34"/>
  <c r="X257" i="34"/>
  <c r="X668" i="34"/>
  <c r="X158" i="34"/>
  <c r="X179" i="34"/>
  <c r="X1238" i="34"/>
  <c r="X559" i="34"/>
  <c r="X1182" i="34"/>
  <c r="X258" i="34"/>
  <c r="X664" i="34"/>
  <c r="X757" i="34"/>
  <c r="X166" i="34"/>
  <c r="X1870" i="34"/>
  <c r="X1272" i="34"/>
  <c r="X561" i="34"/>
  <c r="X412" i="34"/>
  <c r="X1222" i="34"/>
  <c r="X269" i="34"/>
  <c r="X592" i="34"/>
  <c r="X168" i="34"/>
  <c r="X1243" i="34"/>
  <c r="X1287" i="34"/>
  <c r="X1259" i="34"/>
  <c r="X1299" i="34"/>
  <c r="X553" i="34"/>
  <c r="X405" i="34"/>
  <c r="X413" i="34"/>
  <c r="X433" i="34"/>
  <c r="X1203" i="34"/>
  <c r="X1223" i="34"/>
  <c r="X270" i="34"/>
  <c r="X298" i="34"/>
  <c r="X589" i="34"/>
  <c r="X627" i="34"/>
  <c r="X701" i="34"/>
  <c r="X163" i="34"/>
  <c r="X211" i="34"/>
  <c r="X225" i="34"/>
  <c r="X1247" i="34"/>
  <c r="X1237" i="34"/>
  <c r="X1246" i="34"/>
  <c r="X1269" i="34"/>
  <c r="X419" i="34"/>
  <c r="X611" i="34"/>
  <c r="X842" i="34"/>
  <c r="X421" i="34"/>
  <c r="X294" i="34"/>
  <c r="X401" i="34"/>
  <c r="X595" i="34"/>
  <c r="X633" i="34"/>
  <c r="X737" i="34"/>
  <c r="X756" i="34"/>
  <c r="X766" i="34"/>
  <c r="X796" i="34"/>
  <c r="X207" i="34"/>
  <c r="X1301" i="34"/>
  <c r="X1271" i="34"/>
  <c r="X1179" i="34"/>
  <c r="X545" i="34"/>
  <c r="X555" i="34"/>
  <c r="X1191" i="34"/>
  <c r="X407" i="34"/>
  <c r="X415" i="34"/>
  <c r="X427" i="34"/>
  <c r="X1209" i="34"/>
  <c r="X241" i="34"/>
  <c r="X591" i="34"/>
  <c r="X629" i="34"/>
  <c r="X703" i="34"/>
  <c r="X733" i="34"/>
  <c r="X772" i="34"/>
  <c r="X1257" i="34"/>
  <c r="X1281" i="34"/>
  <c r="X1195" i="34"/>
  <c r="X838" i="34"/>
  <c r="X547" i="34"/>
  <c r="X1033" i="34"/>
  <c r="X1165" i="34"/>
  <c r="X840" i="34"/>
  <c r="X263" i="34"/>
  <c r="X274" i="34"/>
  <c r="X399" i="34"/>
  <c r="X631" i="34"/>
  <c r="X665" i="34"/>
  <c r="X754" i="34"/>
  <c r="X762" i="34"/>
  <c r="X774" i="34"/>
  <c r="X794" i="34"/>
  <c r="X205" i="34"/>
  <c r="X219" i="34"/>
  <c r="X1324" i="34"/>
  <c r="X1314" i="34"/>
  <c r="X567" i="34"/>
  <c r="X620" i="34"/>
  <c r="X250" i="34"/>
  <c r="X293" i="34"/>
  <c r="X662" i="34"/>
  <c r="X775" i="34"/>
  <c r="X178" i="34"/>
  <c r="X1256" i="34"/>
  <c r="X1062" i="34"/>
  <c r="X1076" i="34"/>
  <c r="X558" i="34"/>
  <c r="X434" i="34"/>
  <c r="X240" i="34"/>
  <c r="X586" i="34"/>
  <c r="X771" i="34"/>
  <c r="X216" i="34"/>
  <c r="X1864" i="34"/>
  <c r="X564" i="34"/>
  <c r="X584" i="34"/>
  <c r="X843" i="34"/>
  <c r="X544" i="34"/>
  <c r="X823" i="34"/>
  <c r="X180" i="34"/>
  <c r="X1865" i="34"/>
  <c r="X1266" i="34"/>
  <c r="X1186" i="34"/>
  <c r="X576" i="34"/>
  <c r="X432" i="34"/>
  <c r="X297" i="34"/>
  <c r="X734" i="34"/>
  <c r="X210" i="34"/>
  <c r="X105" i="34"/>
  <c r="X104" i="34"/>
  <c r="X598" i="34"/>
  <c r="X1152" i="34"/>
  <c r="X139" i="34"/>
  <c r="X1160" i="34"/>
  <c r="X1827" i="34"/>
  <c r="X65" i="34"/>
  <c r="X597" i="34"/>
  <c r="X1077" i="34"/>
  <c r="X596" i="34"/>
  <c r="X1295" i="34"/>
  <c r="X150" i="34"/>
  <c r="X151" i="34"/>
  <c r="X152" i="34"/>
  <c r="X246" i="34"/>
  <c r="X96" i="34"/>
  <c r="X97" i="34"/>
  <c r="X747" i="34"/>
  <c r="X679" i="34"/>
  <c r="X659" i="34"/>
  <c r="X290" i="34"/>
  <c r="X249" i="34"/>
  <c r="X647" i="34"/>
  <c r="X856" i="34"/>
  <c r="X848" i="34"/>
  <c r="X715" i="34"/>
  <c r="X691" i="34"/>
  <c r="X834" i="34"/>
  <c r="X782" i="34"/>
  <c r="X808" i="34"/>
  <c r="X832" i="34"/>
  <c r="X818" i="34"/>
  <c r="X784" i="34"/>
  <c r="X725" i="34"/>
  <c r="X689" i="34"/>
  <c r="X677" i="34"/>
  <c r="X655" i="34"/>
  <c r="X288" i="34"/>
  <c r="X1317" i="34"/>
  <c r="X860" i="34"/>
  <c r="X858" i="34"/>
  <c r="X850" i="34"/>
  <c r="X822" i="34"/>
  <c r="X812" i="34"/>
  <c r="X709" i="34"/>
  <c r="X683" i="34"/>
  <c r="X292" i="34"/>
  <c r="X681" i="34"/>
  <c r="X857" i="34"/>
  <c r="X801" i="34"/>
  <c r="X708" i="34"/>
  <c r="X1318" i="34"/>
  <c r="X692" i="34"/>
  <c r="X837" i="34"/>
  <c r="X829" i="34"/>
  <c r="X781" i="34"/>
  <c r="X799" i="34"/>
  <c r="X746" i="34"/>
  <c r="X678" i="34"/>
  <c r="X658" i="34"/>
  <c r="X285" i="34"/>
  <c r="X694" i="34"/>
  <c r="X636" i="34"/>
  <c r="X853" i="34"/>
  <c r="X815" i="34"/>
  <c r="X861" i="34"/>
  <c r="X803" i="34"/>
  <c r="X851" i="34"/>
  <c r="X813" i="34"/>
  <c r="X700" i="34"/>
  <c r="X305" i="34"/>
  <c r="X650" i="34"/>
  <c r="X845" i="34"/>
  <c r="X716" i="34"/>
  <c r="X807" i="34"/>
  <c r="X831" i="34"/>
  <c r="X783" i="34"/>
  <c r="X718" i="34"/>
  <c r="X748" i="34"/>
  <c r="X660" i="34"/>
  <c r="X1030" i="34"/>
  <c r="X283" i="34"/>
  <c r="X281" i="34"/>
  <c r="X646" i="34"/>
  <c r="X830" i="34"/>
  <c r="X778" i="34"/>
  <c r="X711" i="34"/>
  <c r="X687" i="34"/>
  <c r="X653" i="34"/>
  <c r="X282" i="34"/>
  <c r="X284" i="34"/>
  <c r="X727" i="34"/>
  <c r="X643" i="34"/>
  <c r="X804" i="34"/>
  <c r="X852" i="34"/>
  <c r="X814" i="34"/>
  <c r="X697" i="34"/>
  <c r="X685" i="34"/>
  <c r="X306" i="34"/>
  <c r="X280" i="34"/>
  <c r="X621" i="34"/>
  <c r="X836" i="34"/>
  <c r="X828" i="34"/>
  <c r="X780" i="34"/>
  <c r="X719" i="34"/>
  <c r="X695" i="34"/>
  <c r="X798" i="34"/>
  <c r="X749" i="34"/>
  <c r="X721" i="34"/>
  <c r="X671" i="34"/>
  <c r="X278" i="34"/>
  <c r="X286" i="34"/>
  <c r="X645" i="34"/>
  <c r="X854" i="34"/>
  <c r="X846" i="34"/>
  <c r="X816" i="34"/>
  <c r="X699" i="34"/>
  <c r="X802" i="34"/>
  <c r="X641" i="34"/>
  <c r="X651" i="34"/>
  <c r="X849" i="34"/>
  <c r="X811" i="34"/>
  <c r="X698" i="34"/>
  <c r="X752" i="34"/>
  <c r="X674" i="34"/>
  <c r="X809" i="34"/>
  <c r="X833" i="34"/>
  <c r="X819" i="34"/>
  <c r="X785" i="34"/>
  <c r="X777" i="34"/>
  <c r="X750" i="34"/>
  <c r="X722" i="34"/>
  <c r="X672" i="34"/>
  <c r="X652" i="34"/>
  <c r="X289" i="34"/>
  <c r="X232" i="34"/>
  <c r="X644" i="34"/>
  <c r="X859" i="34"/>
  <c r="X855" i="34"/>
  <c r="X847" i="34"/>
  <c r="X684" i="34"/>
  <c r="X638" i="34"/>
  <c r="X248" i="34"/>
  <c r="X680" i="34"/>
  <c r="X805" i="34"/>
  <c r="X821" i="34"/>
  <c r="X835" i="34"/>
  <c r="X779" i="34"/>
  <c r="X753" i="34"/>
  <c r="X724" i="34"/>
  <c r="X688" i="34"/>
  <c r="X676" i="34"/>
  <c r="X654" i="34"/>
  <c r="X277" i="34"/>
  <c r="X726" i="34"/>
  <c r="X197" i="34"/>
  <c r="X183" i="34"/>
  <c r="X196" i="34"/>
  <c r="X184" i="34"/>
  <c r="X195" i="34"/>
  <c r="X199" i="34"/>
  <c r="X231" i="34"/>
  <c r="X193" i="34"/>
  <c r="X194" i="34"/>
  <c r="X99" i="34"/>
  <c r="X83" i="34"/>
  <c r="X191" i="34"/>
  <c r="X149" i="34"/>
  <c r="X75" i="34"/>
  <c r="X112" i="34"/>
  <c r="X300" i="34"/>
  <c r="X85" i="34"/>
  <c r="X122" i="34"/>
  <c r="X69" i="34"/>
  <c r="X147" i="34"/>
  <c r="X116" i="34"/>
  <c r="X128" i="34"/>
  <c r="X79" i="34"/>
  <c r="X95" i="34"/>
  <c r="X245" i="34"/>
  <c r="X143" i="34"/>
  <c r="X138" i="34"/>
  <c r="X187" i="34"/>
  <c r="X145" i="34"/>
  <c r="X62" i="34"/>
  <c r="X142" i="34"/>
  <c r="X123" i="34"/>
  <c r="X260" i="34"/>
  <c r="X103" i="34"/>
  <c r="X188" i="34"/>
  <c r="X125" i="34"/>
  <c r="X127" i="34"/>
  <c r="X78" i="34"/>
  <c r="X113" i="34"/>
  <c r="X262" i="34"/>
  <c r="X131" i="34"/>
  <c r="X117" i="34"/>
  <c r="X82" i="34"/>
  <c r="X92" i="34"/>
  <c r="X100" i="34"/>
  <c r="X190" i="34"/>
  <c r="X119" i="34"/>
  <c r="X74" i="34"/>
  <c r="X301" i="34"/>
  <c r="X76" i="34"/>
  <c r="X133" i="34"/>
  <c r="X212" i="34"/>
  <c r="X72" i="34"/>
  <c r="X144" i="34"/>
  <c r="X135" i="34"/>
  <c r="X200" i="34"/>
  <c r="X244" i="34"/>
  <c r="X107" i="34"/>
  <c r="X68" i="34"/>
  <c r="X93" i="34"/>
  <c r="X124" i="34"/>
  <c r="X67" i="34"/>
  <c r="X136" i="34"/>
  <c r="X201" i="34"/>
  <c r="X71" i="34"/>
  <c r="X215" i="34"/>
  <c r="X304" i="34"/>
  <c r="X141" i="34"/>
  <c r="X120" i="34"/>
  <c r="X77" i="34"/>
  <c r="X153" i="34"/>
  <c r="X132" i="34"/>
  <c r="X140" i="34"/>
  <c r="X134" i="34"/>
  <c r="X81" i="34"/>
  <c r="X91" i="34"/>
  <c r="X108" i="34"/>
  <c r="X63" i="34"/>
  <c r="X102" i="34"/>
  <c r="X213" i="34"/>
  <c r="X73" i="34"/>
  <c r="X302" i="34"/>
  <c r="X101" i="34"/>
  <c r="X303" i="34"/>
  <c r="X98" i="34"/>
  <c r="X66" i="34"/>
  <c r="X148" i="34"/>
  <c r="X259" i="34"/>
  <c r="X89" i="34"/>
  <c r="X154" i="34"/>
  <c r="X713" i="34"/>
  <c r="X776" i="34"/>
  <c r="X171" i="34"/>
  <c r="X639" i="34"/>
  <c r="X169" i="34"/>
  <c r="X185" i="34"/>
  <c r="X226" i="34"/>
  <c r="X712" i="34"/>
  <c r="X109" i="34"/>
  <c r="X307" i="34"/>
  <c r="X640" i="34"/>
  <c r="X744" i="34"/>
  <c r="X309" i="34"/>
  <c r="X741" i="34"/>
  <c r="X743" i="34"/>
  <c r="X308" i="34"/>
  <c r="X186" i="34"/>
  <c r="X228" i="34"/>
  <c r="X764" i="34"/>
  <c r="X276" i="34"/>
  <c r="X810" i="34"/>
  <c r="X763" i="34"/>
  <c r="X622" i="34"/>
  <c r="X740" i="34"/>
  <c r="X710" i="34"/>
  <c r="X126" i="34"/>
  <c r="X635" i="34"/>
  <c r="X86" i="34"/>
  <c r="X723" i="34"/>
  <c r="X657" i="34"/>
  <c r="X299" i="34"/>
  <c r="X130" i="34"/>
  <c r="X2468" i="34"/>
  <c r="X2469" i="34"/>
  <c r="X21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345" i="34"/>
  <c r="W1349" i="34"/>
  <c r="W1353" i="34"/>
  <c r="W1357" i="34"/>
  <c r="W1361" i="34"/>
  <c r="W1365" i="34"/>
  <c r="W1369" i="34"/>
  <c r="W1373" i="34"/>
  <c r="W1377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346" i="34"/>
  <c r="W1350" i="34"/>
  <c r="W1354" i="34"/>
  <c r="W1358" i="34"/>
  <c r="W1362" i="34"/>
  <c r="W1366" i="34"/>
  <c r="W1370" i="34"/>
  <c r="W1374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5" i="34"/>
  <c r="W1726" i="34"/>
  <c r="W1727" i="34"/>
  <c r="W1728" i="34"/>
  <c r="W1729" i="34"/>
  <c r="W1730" i="34"/>
  <c r="W1731" i="34"/>
  <c r="W1732" i="34"/>
  <c r="W1733" i="34"/>
  <c r="W1734" i="34"/>
  <c r="W1735" i="34"/>
  <c r="W1736" i="34"/>
  <c r="W1737" i="34"/>
  <c r="W1738" i="34"/>
  <c r="W1739" i="34"/>
  <c r="W1740" i="34"/>
  <c r="W1741" i="34"/>
  <c r="W1742" i="34"/>
  <c r="W1743" i="34"/>
  <c r="W1347" i="34"/>
  <c r="W1351" i="34"/>
  <c r="W1355" i="34"/>
  <c r="W1359" i="34"/>
  <c r="W1363" i="34"/>
  <c r="W1367" i="34"/>
  <c r="W1371" i="34"/>
  <c r="W1375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744" i="34"/>
  <c r="W1745" i="34"/>
  <c r="W1746" i="34"/>
  <c r="W1747" i="34"/>
  <c r="W1748" i="34"/>
  <c r="W1749" i="34"/>
  <c r="W1750" i="34"/>
  <c r="W1751" i="34"/>
  <c r="W1752" i="34"/>
  <c r="W1753" i="34"/>
  <c r="W1754" i="34"/>
  <c r="W1755" i="34"/>
  <c r="W1756" i="34"/>
  <c r="W1757" i="34"/>
  <c r="W1758" i="34"/>
  <c r="W1759" i="34"/>
  <c r="W1760" i="34"/>
  <c r="W1761" i="34"/>
  <c r="W1762" i="34"/>
  <c r="W1763" i="34"/>
  <c r="W1764" i="34"/>
  <c r="W1765" i="34"/>
  <c r="W1766" i="34"/>
  <c r="W1767" i="34"/>
  <c r="W1768" i="34"/>
  <c r="W1769" i="34"/>
  <c r="W1770" i="34"/>
  <c r="W1771" i="34"/>
  <c r="W1772" i="34"/>
  <c r="W1773" i="34"/>
  <c r="W1774" i="34"/>
  <c r="W1775" i="34"/>
  <c r="W1776" i="34"/>
  <c r="W1777" i="34"/>
  <c r="W1778" i="34"/>
  <c r="W1779" i="34"/>
  <c r="W1780" i="34"/>
  <c r="W1781" i="34"/>
  <c r="W1782" i="34"/>
  <c r="W1783" i="34"/>
  <c r="W1784" i="34"/>
  <c r="W1785" i="34"/>
  <c r="W1786" i="34"/>
  <c r="W1787" i="34"/>
  <c r="W1788" i="34"/>
  <c r="W1789" i="34"/>
  <c r="W1790" i="34"/>
  <c r="W1791" i="34"/>
  <c r="W1792" i="34"/>
  <c r="W1793" i="34"/>
  <c r="W1794" i="34"/>
  <c r="W1795" i="34"/>
  <c r="W1796" i="34"/>
  <c r="W1797" i="34"/>
  <c r="W1798" i="34"/>
  <c r="W1799" i="34"/>
  <c r="W1800" i="34"/>
  <c r="W1801" i="34"/>
  <c r="W1802" i="34"/>
  <c r="W1803" i="34"/>
  <c r="W1804" i="34"/>
  <c r="W1805" i="34"/>
  <c r="W1806" i="34"/>
  <c r="W1807" i="34"/>
  <c r="W1808" i="34"/>
  <c r="W1809" i="34"/>
  <c r="W1810" i="34"/>
  <c r="W1811" i="34"/>
  <c r="W1812" i="34"/>
  <c r="W1813" i="34"/>
  <c r="W1814" i="34"/>
  <c r="W1815" i="34"/>
  <c r="W1816" i="34"/>
  <c r="W1817" i="34"/>
  <c r="W1818" i="34"/>
  <c r="W1819" i="34"/>
  <c r="W1820" i="34"/>
  <c r="W1821" i="34"/>
  <c r="W1822" i="34"/>
  <c r="W1823" i="34"/>
  <c r="W1824" i="34"/>
  <c r="W1825" i="34"/>
  <c r="W1826" i="34"/>
  <c r="W1827" i="34"/>
  <c r="W1828" i="34"/>
  <c r="W1829" i="34"/>
  <c r="W1830" i="34"/>
  <c r="W1831" i="34"/>
  <c r="W1832" i="34"/>
  <c r="W1833" i="34"/>
  <c r="W1834" i="34"/>
  <c r="W1835" i="34"/>
  <c r="W1836" i="34"/>
  <c r="W1837" i="34"/>
  <c r="W1838" i="34"/>
  <c r="W1839" i="34"/>
  <c r="W1840" i="34"/>
  <c r="W1841" i="34"/>
  <c r="W1842" i="34"/>
  <c r="W1843" i="34"/>
  <c r="W1844" i="34"/>
  <c r="W1845" i="34"/>
  <c r="W1846" i="34"/>
  <c r="W1847" i="34"/>
  <c r="W1848" i="34"/>
  <c r="W1849" i="34"/>
  <c r="W1850" i="34"/>
  <c r="W1851" i="34"/>
  <c r="W1852" i="34"/>
  <c r="W1853" i="34"/>
  <c r="W1854" i="34"/>
  <c r="W1855" i="34"/>
  <c r="W1856" i="34"/>
  <c r="W1857" i="34"/>
  <c r="W1858" i="34"/>
  <c r="W1859" i="34"/>
  <c r="W1860" i="34"/>
  <c r="W1861" i="34"/>
  <c r="W1862" i="34"/>
  <c r="W1863" i="34"/>
  <c r="W1864" i="34"/>
  <c r="W1865" i="34"/>
  <c r="W1866" i="34"/>
  <c r="W1867" i="34"/>
  <c r="W1868" i="34"/>
  <c r="W1869" i="34"/>
  <c r="W1870" i="34"/>
  <c r="W1871" i="34"/>
  <c r="W1872" i="34"/>
  <c r="W1873" i="34"/>
  <c r="W1874" i="34"/>
  <c r="W1875" i="34"/>
  <c r="W1876" i="34"/>
  <c r="W1877" i="34"/>
  <c r="W1878" i="34"/>
  <c r="W1879" i="34"/>
  <c r="W1880" i="34"/>
  <c r="W1881" i="34"/>
  <c r="W1882" i="34"/>
  <c r="W1883" i="34"/>
  <c r="W1884" i="34"/>
  <c r="W1885" i="34"/>
  <c r="W1886" i="34"/>
  <c r="W1887" i="34"/>
  <c r="W1888" i="34"/>
  <c r="W1889" i="34"/>
  <c r="W1890" i="34"/>
  <c r="W1891" i="34"/>
  <c r="W1892" i="34"/>
  <c r="W1893" i="34"/>
  <c r="W1894" i="34"/>
  <c r="W1895" i="34"/>
  <c r="W1896" i="34"/>
  <c r="W1897" i="34"/>
  <c r="W1898" i="34"/>
  <c r="W1899" i="34"/>
  <c r="W1900" i="34"/>
  <c r="W1901" i="34"/>
  <c r="W1902" i="34"/>
  <c r="W1903" i="34"/>
  <c r="W1904" i="34"/>
  <c r="W1905" i="34"/>
  <c r="W1906" i="34"/>
  <c r="W1907" i="34"/>
  <c r="W1908" i="34"/>
  <c r="W1909" i="34"/>
  <c r="W1910" i="34"/>
  <c r="W1911" i="34"/>
  <c r="W1912" i="34"/>
  <c r="W1913" i="34"/>
  <c r="W1914" i="34"/>
  <c r="W1915" i="34"/>
  <c r="W1916" i="34"/>
  <c r="W1917" i="34"/>
  <c r="W1918" i="34"/>
  <c r="W1919" i="34"/>
  <c r="W1920" i="34"/>
  <c r="W1921" i="34"/>
  <c r="W1922" i="34"/>
  <c r="W1923" i="34"/>
  <c r="W1924" i="34"/>
  <c r="W1925" i="34"/>
  <c r="W1926" i="34"/>
  <c r="W1927" i="34"/>
  <c r="W1928" i="34"/>
  <c r="W1929" i="34"/>
  <c r="W1930" i="34"/>
  <c r="W1931" i="34"/>
  <c r="W1932" i="34"/>
  <c r="W1933" i="34"/>
  <c r="W1934" i="34"/>
  <c r="W1935" i="34"/>
  <c r="W1936" i="34"/>
  <c r="W1937" i="34"/>
  <c r="W1938" i="34"/>
  <c r="W1939" i="34"/>
  <c r="W1940" i="34"/>
  <c r="W1941" i="34"/>
  <c r="W1942" i="34"/>
  <c r="W1943" i="34"/>
  <c r="W1944" i="34"/>
  <c r="W1945" i="34"/>
  <c r="W1946" i="34"/>
  <c r="W1947" i="34"/>
  <c r="W1948" i="34"/>
  <c r="W1949" i="34"/>
  <c r="W1950" i="34"/>
  <c r="W1951" i="34"/>
  <c r="W1952" i="34"/>
  <c r="W1953" i="34"/>
  <c r="W1954" i="34"/>
  <c r="W1955" i="34"/>
  <c r="W1956" i="34"/>
  <c r="W1957" i="34"/>
  <c r="W1958" i="34"/>
  <c r="W1959" i="34"/>
  <c r="W1960" i="34"/>
  <c r="W1961" i="34"/>
  <c r="W1962" i="34"/>
  <c r="W1963" i="34"/>
  <c r="W1964" i="34"/>
  <c r="W1965" i="34"/>
  <c r="W1966" i="34"/>
  <c r="W1967" i="34"/>
  <c r="W1968" i="34"/>
  <c r="W1969" i="34"/>
  <c r="W1970" i="34"/>
  <c r="W1971" i="34"/>
  <c r="W1972" i="34"/>
  <c r="W1973" i="34"/>
  <c r="W1974" i="34"/>
  <c r="W1975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A11" i="56"/>
  <c r="X14" i="34"/>
  <c r="X16" i="34"/>
  <c r="X19" i="34"/>
  <c r="X13" i="34"/>
  <c r="X20" i="34"/>
  <c r="X18" i="34"/>
  <c r="X10" i="34"/>
  <c r="X17" i="34"/>
  <c r="X15" i="34"/>
  <c r="W16" i="34"/>
  <c r="W18" i="34"/>
  <c r="W20" i="34"/>
  <c r="W17" i="34"/>
  <c r="W19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W14" i="34"/>
  <c r="W13" i="34"/>
  <c r="W15" i="34"/>
  <c r="I119" i="55"/>
  <c r="W11" i="34"/>
  <c r="W12" i="34"/>
  <c r="X12" i="34"/>
  <c r="X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W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J16" i="71" l="1"/>
  <c r="I16" i="71"/>
  <c r="A6" i="42"/>
  <c r="A68" i="42"/>
  <c r="I69" i="42"/>
  <c r="H28" i="56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30" i="56"/>
  <c r="I17" i="71" l="1"/>
  <c r="J17" i="71"/>
  <c r="I17" i="14"/>
  <c r="J17" i="14"/>
  <c r="I65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I27" i="71" s="1"/>
  <c r="J26" i="14"/>
  <c r="I26" i="14"/>
  <c r="H17" i="47"/>
  <c r="I17" i="47"/>
  <c r="J27" i="71" l="1"/>
  <c r="J28" i="71" s="1"/>
  <c r="I27" i="14"/>
  <c r="J27" i="14"/>
  <c r="I18" i="47"/>
  <c r="H18" i="47"/>
  <c r="I28" i="71" l="1"/>
  <c r="I29" i="71" s="1"/>
  <c r="J28" i="14"/>
  <c r="I28" i="14"/>
  <c r="H19" i="47"/>
  <c r="I19" i="47"/>
  <c r="J29" i="71" l="1"/>
  <c r="J30" i="71" s="1"/>
  <c r="I29" i="14"/>
  <c r="J29" i="14"/>
  <c r="I20" i="47"/>
  <c r="H20" i="47"/>
  <c r="I30" i="71" l="1"/>
  <c r="I31" i="71" s="1"/>
  <c r="J31" i="71"/>
  <c r="J32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2" i="71" l="1"/>
  <c r="I33" i="71" s="1"/>
  <c r="I31" i="14"/>
  <c r="I22" i="47"/>
  <c r="H22" i="47"/>
  <c r="J31" i="14"/>
  <c r="H46" i="43"/>
  <c r="H47" i="43" s="1"/>
  <c r="J32" i="14" l="1"/>
  <c r="J33" i="71"/>
  <c r="J34" i="71" s="1"/>
  <c r="I23" i="47"/>
  <c r="H23" i="47"/>
  <c r="I32" i="14"/>
  <c r="I33" i="14" l="1"/>
  <c r="I34" i="71"/>
  <c r="I35" i="71" s="1"/>
  <c r="H24" i="47"/>
  <c r="I24" i="47"/>
  <c r="J33" i="14"/>
  <c r="J34" i="14" l="1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s="1"/>
  <c r="J37" i="71" l="1"/>
  <c r="J38" i="71" s="1"/>
  <c r="I27" i="47"/>
  <c r="H27" i="47"/>
  <c r="I36" i="14"/>
  <c r="I37" i="14" s="1"/>
  <c r="I38" i="71" l="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5" i="34"/>
  <c r="J325" i="55" s="1" a="1"/>
  <c r="J325" i="55" s="1"/>
  <c r="F59" i="15" a="1"/>
  <c r="F59" i="15" s="1"/>
  <c r="J153" i="55" a="1"/>
  <c r="J153" i="55" s="1"/>
  <c r="J201" i="55" a="1"/>
  <c r="J201" i="55" s="1"/>
  <c r="J209" i="55" a="1"/>
  <c r="J209" i="55" s="1"/>
  <c r="J266" i="55" a="1"/>
  <c r="J266" i="55" s="1"/>
  <c r="F15" i="12" a="1"/>
  <c r="F15" i="12" s="1"/>
  <c r="E56" i="15" a="1"/>
  <c r="E56" i="15" s="1"/>
  <c r="J178" i="55" a="1"/>
  <c r="J178" i="55" s="1"/>
  <c r="E53" i="15" a="1"/>
  <c r="E53" i="15" s="1"/>
  <c r="H215" i="55" a="1"/>
  <c r="H215" i="55" s="1"/>
  <c r="H73" i="55" a="1"/>
  <c r="H73" i="55" s="1"/>
  <c r="H214" i="55" a="1"/>
  <c r="H214" i="55" s="1"/>
  <c r="H130" i="55" a="1"/>
  <c r="H130" i="55" s="1"/>
  <c r="E55" i="15" a="1"/>
  <c r="E55" i="15" s="1"/>
  <c r="H104" i="55" a="1"/>
  <c r="H104" i="55" s="1"/>
  <c r="H245" i="55" a="1"/>
  <c r="H245" i="55" s="1"/>
  <c r="H232" i="55" a="1"/>
  <c r="H232" i="55" s="1"/>
  <c r="H122" i="55" a="1"/>
  <c r="H122" i="55" s="1"/>
  <c r="H174" i="55" a="1"/>
  <c r="H174" i="55" s="1"/>
  <c r="H317" i="55" a="1"/>
  <c r="H317" i="55" s="1"/>
  <c r="H219" i="55" a="1"/>
  <c r="H219" i="55" s="1"/>
  <c r="H216" i="55" a="1"/>
  <c r="H216" i="55" s="1"/>
  <c r="H271" i="55" a="1"/>
  <c r="H271" i="55" s="1"/>
  <c r="H269" i="55" a="1"/>
  <c r="H269" i="55" s="1"/>
  <c r="H280" i="55" a="1"/>
  <c r="H280" i="55" s="1"/>
  <c r="H196" i="55" a="1"/>
  <c r="H196" i="55" s="1"/>
  <c r="H193" i="55" a="1"/>
  <c r="H193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L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L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10" i="55" l="1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<sst xmlns="http://schemas.openxmlformats.org/spreadsheetml/2006/main" count="17025" uniqueCount="1385">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</sst>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7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8" fillId="0" borderId="16" xfId="90" applyNumberFormat="1" applyFont="1" applyFill="1" applyBorder="1" applyAlignment="1">
      <alignment horizontal="center" vertical="center"/>
    </xf>
    <xf numFmtId="164" fontId="98" fillId="0" borderId="16" xfId="54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0" applyNumberFormat="1" applyFont="1" applyFill="1" applyBorder="1" applyAlignment="1">
      <alignment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/>
    <xf numFmtId="164" fontId="98" fillId="0" borderId="16" xfId="90" quotePrefix="1" applyNumberFormat="1" applyFont="1" applyFill="1" applyBorder="1" applyAlignment="1">
      <alignment horizontal="left"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1" fillId="0" borderId="16" xfId="76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VL/N01</v>
          </cell>
          <cell r="L26" t="str">
            <v>1522</v>
          </cell>
          <cell r="M26" t="str">
            <v>331</v>
          </cell>
        </row>
        <row r="27">
          <cell r="D27" t="str">
            <v>VL/N01</v>
          </cell>
          <cell r="L27" t="str">
            <v>642</v>
          </cell>
          <cell r="M27" t="str">
            <v>331</v>
          </cell>
        </row>
        <row r="28">
          <cell r="D28" t="str">
            <v>VL/N01</v>
          </cell>
          <cell r="L28" t="str">
            <v>1331</v>
          </cell>
          <cell r="M28" t="str">
            <v>331</v>
          </cell>
        </row>
        <row r="29">
          <cell r="D29" t="str">
            <v>C01</v>
          </cell>
          <cell r="L29" t="str">
            <v>331</v>
          </cell>
          <cell r="M29" t="str">
            <v>1111</v>
          </cell>
        </row>
        <row r="30">
          <cell r="D30" t="str">
            <v>NL/N01</v>
          </cell>
          <cell r="L30" t="str">
            <v>1521</v>
          </cell>
          <cell r="M30" t="str">
            <v>331</v>
          </cell>
        </row>
        <row r="31">
          <cell r="D31" t="str">
            <v>NL/N01</v>
          </cell>
          <cell r="L31" t="str">
            <v>1521</v>
          </cell>
          <cell r="M31" t="str">
            <v>331</v>
          </cell>
        </row>
        <row r="32">
          <cell r="D32" t="str">
            <v>NL/N01</v>
          </cell>
          <cell r="L32" t="str">
            <v>1521</v>
          </cell>
          <cell r="M32" t="str">
            <v>331</v>
          </cell>
        </row>
        <row r="33">
          <cell r="D33" t="str">
            <v>NL/N01</v>
          </cell>
          <cell r="L33" t="str">
            <v>1331</v>
          </cell>
          <cell r="M33" t="str">
            <v>331</v>
          </cell>
        </row>
        <row r="34">
          <cell r="D34" t="str">
            <v>C02</v>
          </cell>
          <cell r="L34" t="str">
            <v>331</v>
          </cell>
          <cell r="M34" t="str">
            <v>1111</v>
          </cell>
        </row>
        <row r="35">
          <cell r="D35" t="str">
            <v>TP/X01</v>
          </cell>
          <cell r="L35" t="str">
            <v>131</v>
          </cell>
          <cell r="M35" t="str">
            <v>5112</v>
          </cell>
        </row>
        <row r="36">
          <cell r="D36" t="str">
            <v>TP/X01</v>
          </cell>
          <cell r="L36" t="str">
            <v>131</v>
          </cell>
          <cell r="M36" t="str">
            <v>5112</v>
          </cell>
        </row>
        <row r="37">
          <cell r="D37" t="str">
            <v>TP/X01</v>
          </cell>
          <cell r="L37" t="str">
            <v>131</v>
          </cell>
          <cell r="M37" t="str">
            <v>3331</v>
          </cell>
        </row>
        <row r="38">
          <cell r="D38" t="str">
            <v>C03</v>
          </cell>
          <cell r="L38" t="str">
            <v>1121</v>
          </cell>
          <cell r="M38" t="str">
            <v>1111</v>
          </cell>
        </row>
        <row r="39">
          <cell r="D39" t="str">
            <v>GBN</v>
          </cell>
          <cell r="L39" t="str">
            <v>331</v>
          </cell>
          <cell r="M39" t="str">
            <v>1121</v>
          </cell>
        </row>
        <row r="40">
          <cell r="D40" t="str">
            <v>GBN</v>
          </cell>
          <cell r="L40" t="str">
            <v>642</v>
          </cell>
          <cell r="M40" t="str">
            <v>1121</v>
          </cell>
        </row>
        <row r="41">
          <cell r="D41" t="str">
            <v>GBN</v>
          </cell>
          <cell r="L41" t="str">
            <v>642</v>
          </cell>
          <cell r="M41" t="str">
            <v>1121</v>
          </cell>
        </row>
        <row r="42">
          <cell r="D42" t="str">
            <v>NL/N02</v>
          </cell>
          <cell r="L42" t="str">
            <v>1521</v>
          </cell>
          <cell r="M42" t="str">
            <v>331</v>
          </cell>
        </row>
        <row r="43">
          <cell r="D43" t="str">
            <v>NL/N02</v>
          </cell>
          <cell r="L43" t="str">
            <v>1521</v>
          </cell>
          <cell r="M43" t="str">
            <v>331</v>
          </cell>
        </row>
        <row r="44">
          <cell r="D44" t="str">
            <v>NL/N02</v>
          </cell>
          <cell r="L44" t="str">
            <v>1331</v>
          </cell>
          <cell r="M44" t="str">
            <v>331</v>
          </cell>
        </row>
        <row r="45">
          <cell r="D45" t="str">
            <v>NL/N03</v>
          </cell>
          <cell r="L45" t="str">
            <v>1521</v>
          </cell>
          <cell r="M45" t="str">
            <v>331</v>
          </cell>
        </row>
        <row r="46">
          <cell r="D46" t="str">
            <v>NL/N03</v>
          </cell>
          <cell r="L46" t="str">
            <v>1331</v>
          </cell>
          <cell r="M46" t="str">
            <v>331</v>
          </cell>
        </row>
        <row r="47">
          <cell r="D47" t="str">
            <v>C04</v>
          </cell>
          <cell r="L47" t="str">
            <v>331</v>
          </cell>
          <cell r="M47" t="str">
            <v>1111</v>
          </cell>
        </row>
        <row r="48">
          <cell r="D48" t="str">
            <v>VL/N02</v>
          </cell>
          <cell r="L48" t="str">
            <v>1522</v>
          </cell>
          <cell r="M48" t="str">
            <v>331</v>
          </cell>
        </row>
        <row r="49">
          <cell r="D49" t="str">
            <v>VL/N02</v>
          </cell>
          <cell r="L49" t="str">
            <v>1331</v>
          </cell>
          <cell r="M49" t="str">
            <v>331</v>
          </cell>
        </row>
        <row r="50">
          <cell r="D50" t="str">
            <v>C05</v>
          </cell>
          <cell r="L50" t="str">
            <v>331</v>
          </cell>
          <cell r="M50" t="str">
            <v>1111</v>
          </cell>
        </row>
        <row r="51">
          <cell r="D51" t="str">
            <v>GBC</v>
          </cell>
          <cell r="L51" t="str">
            <v>1121</v>
          </cell>
          <cell r="M51" t="str">
            <v>131</v>
          </cell>
        </row>
        <row r="52">
          <cell r="D52" t="str">
            <v>NL/N04</v>
          </cell>
          <cell r="L52" t="str">
            <v>1521</v>
          </cell>
          <cell r="M52" t="str">
            <v>331</v>
          </cell>
        </row>
        <row r="53">
          <cell r="D53" t="str">
            <v>NL/N04</v>
          </cell>
          <cell r="L53" t="str">
            <v>1521</v>
          </cell>
          <cell r="M53" t="str">
            <v>331</v>
          </cell>
        </row>
        <row r="54">
          <cell r="D54" t="str">
            <v>NL/N04</v>
          </cell>
          <cell r="L54" t="str">
            <v>1521</v>
          </cell>
          <cell r="M54" t="str">
            <v>331</v>
          </cell>
        </row>
        <row r="55">
          <cell r="D55" t="str">
            <v>NL/N04</v>
          </cell>
          <cell r="L55" t="str">
            <v>1521</v>
          </cell>
          <cell r="M55" t="str">
            <v>331</v>
          </cell>
        </row>
        <row r="56">
          <cell r="D56" t="str">
            <v>NL/N04</v>
          </cell>
          <cell r="L56" t="str">
            <v>1521</v>
          </cell>
          <cell r="M56" t="str">
            <v>331</v>
          </cell>
        </row>
        <row r="57">
          <cell r="D57" t="str">
            <v>NL/N04</v>
          </cell>
          <cell r="L57" t="str">
            <v>1331</v>
          </cell>
          <cell r="M57" t="str">
            <v>331</v>
          </cell>
        </row>
        <row r="58">
          <cell r="D58" t="str">
            <v>C06</v>
          </cell>
          <cell r="L58" t="str">
            <v>331</v>
          </cell>
          <cell r="M58" t="str">
            <v>1111</v>
          </cell>
        </row>
        <row r="59">
          <cell r="D59" t="str">
            <v>NL/N05</v>
          </cell>
          <cell r="L59" t="str">
            <v>1521</v>
          </cell>
          <cell r="M59" t="str">
            <v>331</v>
          </cell>
        </row>
        <row r="60">
          <cell r="D60" t="str">
            <v>NL/N05</v>
          </cell>
          <cell r="L60" t="str">
            <v>1521</v>
          </cell>
          <cell r="M60" t="str">
            <v>331</v>
          </cell>
        </row>
        <row r="61">
          <cell r="D61" t="str">
            <v>NL/N05</v>
          </cell>
          <cell r="L61" t="str">
            <v>1521</v>
          </cell>
          <cell r="M61" t="str">
            <v>331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598" customWidth="1"/>
    <col min="2" max="2" width="36.85546875" style="598" customWidth="1"/>
    <col min="3" max="3" width="14.140625" style="162" customWidth="1"/>
    <col min="4" max="4" width="14.7109375" style="162" customWidth="1"/>
    <col min="5" max="6" width="14.7109375" style="598" customWidth="1"/>
    <col min="7" max="8" width="13.85546875" style="598" customWidth="1"/>
    <col min="9" max="9" width="2.42578125" style="598" customWidth="1"/>
    <col min="10" max="10" width="11" style="598" customWidth="1"/>
    <col min="11" max="11" width="2.85546875" style="598" customWidth="1"/>
    <col min="12" max="12" width="11.85546875" style="598" customWidth="1"/>
    <col min="13" max="13" width="9.85546875" style="598" bestFit="1" customWidth="1"/>
    <col min="14" max="16384" width="8" style="598"/>
  </cols>
  <sheetData>
    <row r="1" spans="1:16">
      <c r="A1" s="597"/>
      <c r="B1" s="597"/>
    </row>
    <row r="2" spans="1:16">
      <c r="A2" s="597" t="str">
        <f>TH!A1</f>
        <v>Đơn vị: CÔNG TY TNHH SX TM KIM DUNG PHÁT</v>
      </c>
      <c r="B2" s="597"/>
    </row>
    <row r="3" spans="1:16">
      <c r="A3" s="598" t="str">
        <f>TH!A2</f>
        <v>Địa chỉ: 1A227/1 Ấp 1, Phạm Văn Hai, Bình Chánh, TPHCM</v>
      </c>
      <c r="B3" s="597"/>
    </row>
    <row r="5" spans="1:16" ht="36" customHeight="1">
      <c r="A5" s="599"/>
      <c r="B5" s="599"/>
      <c r="C5" s="600"/>
      <c r="D5" s="601" t="s">
        <v>347</v>
      </c>
      <c r="E5" s="599"/>
      <c r="F5" s="599"/>
      <c r="G5" s="599"/>
      <c r="H5" s="599"/>
    </row>
    <row r="6" spans="1:16" ht="15.75">
      <c r="A6" s="599"/>
      <c r="B6" s="599"/>
      <c r="C6" s="600"/>
      <c r="D6" s="622" t="s">
        <v>416</v>
      </c>
      <c r="E6" s="599"/>
      <c r="F6" s="599"/>
      <c r="G6" s="599"/>
      <c r="H6" s="599"/>
    </row>
    <row r="7" spans="1:16" ht="6.75" customHeight="1"/>
    <row r="8" spans="1:16" ht="21.75" customHeight="1">
      <c r="A8" s="950" t="s">
        <v>412</v>
      </c>
      <c r="B8" s="950" t="s">
        <v>345</v>
      </c>
      <c r="C8" s="946" t="s">
        <v>37</v>
      </c>
      <c r="D8" s="947"/>
      <c r="E8" s="946" t="s">
        <v>38</v>
      </c>
      <c r="F8" s="947"/>
      <c r="G8" s="946" t="s">
        <v>346</v>
      </c>
      <c r="H8" s="947"/>
    </row>
    <row r="9" spans="1:16" ht="21.75" customHeight="1">
      <c r="A9" s="951"/>
      <c r="B9" s="951"/>
      <c r="C9" s="596" t="s">
        <v>42</v>
      </c>
      <c r="D9" s="596" t="s">
        <v>43</v>
      </c>
      <c r="E9" s="596" t="s">
        <v>42</v>
      </c>
      <c r="F9" s="596" t="s">
        <v>43</v>
      </c>
      <c r="G9" s="596" t="s">
        <v>42</v>
      </c>
      <c r="H9" s="596" t="s">
        <v>43</v>
      </c>
      <c r="L9" s="854" t="s">
        <v>1265</v>
      </c>
    </row>
    <row r="10" spans="1:16" s="162" customFormat="1" ht="17.25" customHeight="1">
      <c r="A10" s="602" t="s">
        <v>47</v>
      </c>
      <c r="B10" s="603" t="s">
        <v>48</v>
      </c>
      <c r="C10" s="604">
        <v>1639329285</v>
      </c>
      <c r="D10" s="604"/>
      <c r="E10" s="604">
        <f t="array" ref="E10">SUM(IF(A10=KHN,TH))</f>
        <v>2303996342</v>
      </c>
      <c r="F10" s="604">
        <f t="array" ref="F10">SUM(IF(A10=KHC,TH))</f>
        <v>1558959799</v>
      </c>
      <c r="G10" s="605">
        <f>MAX(C10+E10-D10-F10,0)</f>
        <v>2384365828</v>
      </c>
      <c r="H10" s="605">
        <f>MAX(D10+F10-E10-C10,0)</f>
        <v>0</v>
      </c>
      <c r="J10" s="598"/>
      <c r="K10" s="598"/>
      <c r="L10" s="598"/>
      <c r="M10" s="598"/>
      <c r="N10" s="598"/>
      <c r="O10" s="598"/>
      <c r="P10" s="598"/>
    </row>
    <row r="11" spans="1:16" s="162" customFormat="1" ht="17.25" customHeight="1">
      <c r="A11" s="607" t="s">
        <v>16</v>
      </c>
      <c r="B11" s="607" t="s">
        <v>49</v>
      </c>
      <c r="C11" s="608">
        <f t="shared" ref="C11:H11" si="0">C10</f>
        <v>1639329285</v>
      </c>
      <c r="D11" s="608">
        <f t="shared" si="0"/>
        <v>0</v>
      </c>
      <c r="E11" s="608">
        <f t="shared" si="0"/>
        <v>2303996342</v>
      </c>
      <c r="F11" s="608">
        <f t="shared" si="0"/>
        <v>1558959799</v>
      </c>
      <c r="G11" s="608">
        <f t="shared" si="0"/>
        <v>2384365828</v>
      </c>
      <c r="H11" s="608">
        <f t="shared" si="0"/>
        <v>0</v>
      </c>
      <c r="J11" s="598"/>
      <c r="K11" s="598"/>
      <c r="L11" s="598"/>
      <c r="M11" s="598"/>
      <c r="N11" s="598"/>
      <c r="O11" s="598"/>
      <c r="P11" s="598"/>
    </row>
    <row r="12" spans="1:16" s="162" customFormat="1" ht="17.25" customHeight="1">
      <c r="A12" s="603" t="s">
        <v>24</v>
      </c>
      <c r="B12" s="603" t="s">
        <v>50</v>
      </c>
      <c r="C12" s="604">
        <v>112835</v>
      </c>
      <c r="D12" s="604">
        <v>0</v>
      </c>
      <c r="E12" s="604">
        <f t="array" ref="E12">SUM(IF(A12=KHN,TH))</f>
        <v>3488898390</v>
      </c>
      <c r="F12" s="604">
        <f t="array" ref="F12">SUM(IF(A12=KHC,TH))</f>
        <v>3467542051</v>
      </c>
      <c r="G12" s="605">
        <f>MAX(C12+E12-D12-F12,0)</f>
        <v>21469174</v>
      </c>
      <c r="H12" s="605">
        <f>MAX(D12+F12-E12-C12,0)</f>
        <v>0</v>
      </c>
      <c r="K12" s="606"/>
      <c r="L12" s="606"/>
      <c r="M12" s="606"/>
    </row>
    <row r="13" spans="1:16" s="162" customFormat="1" ht="17.25" customHeight="1">
      <c r="A13" s="607" t="s">
        <v>51</v>
      </c>
      <c r="B13" s="607" t="s">
        <v>52</v>
      </c>
      <c r="C13" s="608">
        <f t="shared" ref="C13:H13" si="1">C12</f>
        <v>112835</v>
      </c>
      <c r="D13" s="608">
        <f t="shared" si="1"/>
        <v>0</v>
      </c>
      <c r="E13" s="608">
        <f t="shared" si="1"/>
        <v>3488898390</v>
      </c>
      <c r="F13" s="608">
        <f t="shared" si="1"/>
        <v>3467542051</v>
      </c>
      <c r="G13" s="608">
        <f t="shared" si="1"/>
        <v>21469174</v>
      </c>
      <c r="H13" s="608">
        <f t="shared" si="1"/>
        <v>0</v>
      </c>
    </row>
    <row r="14" spans="1:16" s="162" customFormat="1" ht="17.25" customHeight="1">
      <c r="A14" s="607" t="s">
        <v>253</v>
      </c>
      <c r="B14" s="607" t="s">
        <v>265</v>
      </c>
      <c r="C14" s="608">
        <v>116466460</v>
      </c>
      <c r="D14" s="608"/>
      <c r="E14" s="609">
        <f t="array" ref="E14">SUM(IF(A14=KHN,TH))</f>
        <v>2498736984</v>
      </c>
      <c r="F14" s="609">
        <f t="array" ref="F14">SUM(IF(A14=KHC,TH))</f>
        <v>2397827840</v>
      </c>
      <c r="G14" s="608">
        <f>MAX(C14+E14-D14-F14,0)</f>
        <v>217375604</v>
      </c>
      <c r="H14" s="608">
        <f>MAX(D14+F14-E14-C14,0)</f>
        <v>0</v>
      </c>
    </row>
    <row r="15" spans="1:16" s="162" customFormat="1" ht="17.25" customHeight="1">
      <c r="A15" s="603" t="s">
        <v>9</v>
      </c>
      <c r="B15" s="603" t="s">
        <v>53</v>
      </c>
      <c r="C15" s="604"/>
      <c r="D15" s="604"/>
      <c r="E15" s="604">
        <f t="array" ref="E15">SUM(IF(A15=KHN,TH))</f>
        <v>260812311</v>
      </c>
      <c r="F15" s="604">
        <f t="array" ref="F15">SUM(IF(A15=KHC,TH))</f>
        <v>227135181</v>
      </c>
      <c r="G15" s="605">
        <f>MAX(C15+E15-D15-F15,0)</f>
        <v>33677130</v>
      </c>
      <c r="H15" s="605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07" t="s">
        <v>54</v>
      </c>
      <c r="B16" s="607" t="s">
        <v>55</v>
      </c>
      <c r="C16" s="608">
        <f t="shared" ref="C16:H16" si="2">C15</f>
        <v>0</v>
      </c>
      <c r="D16" s="608">
        <f t="shared" si="2"/>
        <v>0</v>
      </c>
      <c r="E16" s="608">
        <f t="shared" si="2"/>
        <v>260812311</v>
      </c>
      <c r="F16" s="608">
        <f t="shared" si="2"/>
        <v>227135181</v>
      </c>
      <c r="G16" s="608">
        <f t="shared" si="2"/>
        <v>33677130</v>
      </c>
      <c r="H16" s="608">
        <f t="shared" si="2"/>
        <v>0</v>
      </c>
    </row>
    <row r="17" spans="1:8" s="162" customFormat="1" ht="17.25" customHeight="1">
      <c r="A17" s="603" t="s">
        <v>56</v>
      </c>
      <c r="B17" s="603" t="s">
        <v>57</v>
      </c>
      <c r="C17" s="604"/>
      <c r="D17" s="604"/>
      <c r="E17" s="604">
        <f t="array" ref="E17">SUM(IF(A17=KHN,TH))</f>
        <v>45000000</v>
      </c>
      <c r="F17" s="604">
        <f t="array" ref="F17">SUM(IF(A17=KHC,TH))</f>
        <v>45000000</v>
      </c>
      <c r="G17" s="605">
        <f t="shared" ref="G17:G34" si="3">MAX(C17+E17-D17-F17,0)</f>
        <v>0</v>
      </c>
      <c r="H17" s="605">
        <f t="shared" ref="H17:H34" si="4">MAX(D17+F17-E17-C17,0)</f>
        <v>0</v>
      </c>
    </row>
    <row r="18" spans="1:8" s="162" customFormat="1" ht="17.25" customHeight="1">
      <c r="A18" s="607" t="s">
        <v>58</v>
      </c>
      <c r="B18" s="607" t="s">
        <v>59</v>
      </c>
      <c r="C18" s="608">
        <f>C17</f>
        <v>0</v>
      </c>
      <c r="D18" s="608">
        <f>D17</f>
        <v>0</v>
      </c>
      <c r="E18" s="608">
        <f>E17</f>
        <v>45000000</v>
      </c>
      <c r="F18" s="608">
        <f>F17</f>
        <v>45000000</v>
      </c>
      <c r="G18" s="608">
        <f t="shared" si="3"/>
        <v>0</v>
      </c>
      <c r="H18" s="608">
        <f t="shared" si="4"/>
        <v>0</v>
      </c>
    </row>
    <row r="19" spans="1:8" s="162" customFormat="1" ht="17.25" customHeight="1">
      <c r="A19" s="613" t="s">
        <v>366</v>
      </c>
      <c r="B19" s="607" t="s">
        <v>367</v>
      </c>
      <c r="C19" s="608"/>
      <c r="D19" s="608">
        <v>0</v>
      </c>
      <c r="E19" s="609">
        <f t="array" ref="E19">SUM(IF(A19=KHN,TH))</f>
        <v>0</v>
      </c>
      <c r="F19" s="609">
        <f t="array" ref="F19">SUM(IF(A19=KHC,TH))</f>
        <v>0</v>
      </c>
      <c r="G19" s="608">
        <f t="shared" si="3"/>
        <v>0</v>
      </c>
      <c r="H19" s="608">
        <f t="shared" si="4"/>
        <v>0</v>
      </c>
    </row>
    <row r="20" spans="1:8" s="162" customFormat="1" ht="17.25" customHeight="1">
      <c r="A20" s="603" t="s">
        <v>159</v>
      </c>
      <c r="B20" s="603" t="s">
        <v>160</v>
      </c>
      <c r="C20" s="604">
        <v>114850511</v>
      </c>
      <c r="D20" s="604"/>
      <c r="E20" s="604">
        <f t="array" ref="E20">SUM(IF(A20=KHN,TH))</f>
        <v>2267260130</v>
      </c>
      <c r="F20" s="604">
        <f t="array" ref="F20">SUM(IF(A20=KHC,TH))</f>
        <v>1498484441</v>
      </c>
      <c r="G20" s="605">
        <f t="shared" si="3"/>
        <v>883626200</v>
      </c>
      <c r="H20" s="605">
        <f t="shared" si="4"/>
        <v>0</v>
      </c>
    </row>
    <row r="21" spans="1:8" s="162" customFormat="1" ht="17.25" customHeight="1">
      <c r="A21" s="603" t="s">
        <v>161</v>
      </c>
      <c r="B21" s="603" t="s">
        <v>162</v>
      </c>
      <c r="C21" s="604">
        <v>3718000</v>
      </c>
      <c r="D21" s="604"/>
      <c r="E21" s="604">
        <f t="array" ref="E21">SUM(IF(A21=KHN,TH))</f>
        <v>215774100</v>
      </c>
      <c r="F21" s="604">
        <f t="array" ref="F21">SUM(IF(A21=KHC,TH))</f>
        <v>149492100</v>
      </c>
      <c r="G21" s="604">
        <f t="shared" si="3"/>
        <v>70000000</v>
      </c>
      <c r="H21" s="604">
        <f t="shared" si="4"/>
        <v>0</v>
      </c>
    </row>
    <row r="22" spans="1:8" s="162" customFormat="1" ht="17.25" customHeight="1">
      <c r="A22" s="607" t="s">
        <v>163</v>
      </c>
      <c r="B22" s="607" t="s">
        <v>164</v>
      </c>
      <c r="C22" s="608">
        <f>C20+C21</f>
        <v>118568511</v>
      </c>
      <c r="D22" s="608">
        <f>D20+D21</f>
        <v>0</v>
      </c>
      <c r="E22" s="608">
        <f>E20+E21</f>
        <v>2483034230</v>
      </c>
      <c r="F22" s="608">
        <f>F20+F21</f>
        <v>1647976541</v>
      </c>
      <c r="G22" s="608">
        <f t="shared" si="3"/>
        <v>953626200</v>
      </c>
      <c r="H22" s="608">
        <f t="shared" si="4"/>
        <v>0</v>
      </c>
    </row>
    <row r="23" spans="1:8" s="162" customFormat="1" ht="17.25" customHeight="1">
      <c r="A23" s="607" t="s">
        <v>165</v>
      </c>
      <c r="B23" s="607" t="s">
        <v>166</v>
      </c>
      <c r="C23" s="608"/>
      <c r="D23" s="608">
        <v>0</v>
      </c>
      <c r="E23" s="609">
        <f t="array" ref="E23">SUM(IF(A23=KHN,TH))</f>
        <v>0</v>
      </c>
      <c r="F23" s="609">
        <f t="array" ref="F23">SUM(IF(A23=KHC,TH))</f>
        <v>0</v>
      </c>
      <c r="G23" s="608">
        <f t="shared" si="3"/>
        <v>0</v>
      </c>
      <c r="H23" s="608">
        <f t="shared" si="4"/>
        <v>0</v>
      </c>
    </row>
    <row r="24" spans="1:8" s="162" customFormat="1" ht="17.25" customHeight="1">
      <c r="A24" s="607" t="s">
        <v>167</v>
      </c>
      <c r="B24" s="607" t="s">
        <v>168</v>
      </c>
      <c r="C24" s="608"/>
      <c r="D24" s="608">
        <v>0</v>
      </c>
      <c r="E24" s="609">
        <f t="array" ref="E24">SUM(IF(A24=KHN,TH))</f>
        <v>2024761541</v>
      </c>
      <c r="F24" s="609">
        <f t="array" ref="F24">SUM(IF(A24=KHC,TH))</f>
        <v>2024761541</v>
      </c>
      <c r="G24" s="608">
        <f t="shared" si="3"/>
        <v>0</v>
      </c>
      <c r="H24" s="608">
        <f t="shared" si="4"/>
        <v>0</v>
      </c>
    </row>
    <row r="25" spans="1:8" s="162" customFormat="1" ht="17.25" customHeight="1">
      <c r="A25" s="607" t="s">
        <v>169</v>
      </c>
      <c r="B25" s="607" t="s">
        <v>170</v>
      </c>
      <c r="C25" s="608"/>
      <c r="D25" s="608"/>
      <c r="E25" s="609">
        <f t="array" ref="E25">SUM(IF(A25=KHN,TH))</f>
        <v>2024761541</v>
      </c>
      <c r="F25" s="609">
        <f t="array" ref="F25">SUM(IF(A25=KHC,TH))</f>
        <v>2024761541</v>
      </c>
      <c r="G25" s="608">
        <f t="shared" si="3"/>
        <v>0</v>
      </c>
      <c r="H25" s="608">
        <f t="shared" si="4"/>
        <v>0</v>
      </c>
    </row>
    <row r="26" spans="1:8" s="162" customFormat="1" ht="17.25" customHeight="1">
      <c r="A26" s="610" t="s">
        <v>171</v>
      </c>
      <c r="B26" s="611" t="s">
        <v>172</v>
      </c>
      <c r="C26" s="612">
        <v>365000000</v>
      </c>
      <c r="D26" s="612"/>
      <c r="E26" s="604">
        <f t="array" ref="E26">SUM(IF(A26=KHN,TH))</f>
        <v>1000000000</v>
      </c>
      <c r="F26" s="604">
        <f t="array" ref="F26">SUM(IF(A26=KHC,TH))</f>
        <v>0</v>
      </c>
      <c r="G26" s="612">
        <f t="shared" si="3"/>
        <v>1365000000</v>
      </c>
      <c r="H26" s="612">
        <f t="shared" si="4"/>
        <v>0</v>
      </c>
    </row>
    <row r="27" spans="1:8" s="162" customFormat="1" ht="17.25" customHeight="1">
      <c r="A27" s="607" t="s">
        <v>173</v>
      </c>
      <c r="B27" s="607" t="s">
        <v>174</v>
      </c>
      <c r="C27" s="608">
        <f t="shared" ref="C27:H27" si="5">SUM(C26:C26)</f>
        <v>365000000</v>
      </c>
      <c r="D27" s="608">
        <f t="shared" si="5"/>
        <v>0</v>
      </c>
      <c r="E27" s="608">
        <f t="shared" si="5"/>
        <v>1000000000</v>
      </c>
      <c r="F27" s="608">
        <f t="shared" si="5"/>
        <v>0</v>
      </c>
      <c r="G27" s="608">
        <f t="shared" si="5"/>
        <v>1365000000</v>
      </c>
      <c r="H27" s="608">
        <f t="shared" si="5"/>
        <v>0</v>
      </c>
    </row>
    <row r="28" spans="1:8" s="162" customFormat="1" ht="17.25" customHeight="1">
      <c r="A28" s="603" t="s">
        <v>254</v>
      </c>
      <c r="B28" s="603" t="s">
        <v>262</v>
      </c>
      <c r="C28" s="604"/>
      <c r="D28" s="604">
        <v>183250000</v>
      </c>
      <c r="E28" s="604">
        <f t="array" ref="E28">SUM(IF(A28=KHN,TH))</f>
        <v>0</v>
      </c>
      <c r="F28" s="604">
        <f t="array" ref="F28">SUM(IF(A28=KHC,TH))</f>
        <v>98000000</v>
      </c>
      <c r="G28" s="604">
        <f>MAX(C28+E28-D28-F28,0)</f>
        <v>0</v>
      </c>
      <c r="H28" s="604">
        <f>MAX(D28+F28-E28-C28,0)</f>
        <v>281250000</v>
      </c>
    </row>
    <row r="29" spans="1:8" s="162" customFormat="1" ht="17.25" customHeight="1">
      <c r="A29" s="607" t="s">
        <v>263</v>
      </c>
      <c r="B29" s="607" t="s">
        <v>264</v>
      </c>
      <c r="C29" s="608">
        <f>C28</f>
        <v>0</v>
      </c>
      <c r="D29" s="608">
        <f t="shared" ref="D29:H29" si="6">D28</f>
        <v>183250000</v>
      </c>
      <c r="E29" s="608">
        <f t="shared" si="6"/>
        <v>0</v>
      </c>
      <c r="F29" s="608">
        <f t="shared" si="6"/>
        <v>98000000</v>
      </c>
      <c r="G29" s="608">
        <f t="shared" si="6"/>
        <v>0</v>
      </c>
      <c r="H29" s="608">
        <f t="shared" si="6"/>
        <v>281250000</v>
      </c>
    </row>
    <row r="30" spans="1:8" s="162" customFormat="1" ht="17.25" customHeight="1">
      <c r="A30" s="607" t="s">
        <v>8</v>
      </c>
      <c r="B30" s="607" t="s">
        <v>60</v>
      </c>
      <c r="C30" s="608"/>
      <c r="D30" s="608">
        <v>35000000</v>
      </c>
      <c r="E30" s="609">
        <f t="array" ref="E30">SUM(IF(A30=KHN,TH))</f>
        <v>2468617506</v>
      </c>
      <c r="F30" s="609">
        <f t="array" ref="F30">SUM(IF(A30=KHC,TH))</f>
        <v>3721227654</v>
      </c>
      <c r="G30" s="608">
        <f t="shared" si="3"/>
        <v>0</v>
      </c>
      <c r="H30" s="608">
        <f t="shared" si="4"/>
        <v>1287610148</v>
      </c>
    </row>
    <row r="31" spans="1:8" s="162" customFormat="1" ht="17.25" customHeight="1">
      <c r="A31" s="614" t="s">
        <v>365</v>
      </c>
      <c r="B31" s="603" t="s">
        <v>364</v>
      </c>
      <c r="C31" s="604"/>
      <c r="D31" s="604"/>
      <c r="E31" s="604">
        <f t="array" ref="E31">SUM(IF(A31=KHN,TH))</f>
        <v>227135181</v>
      </c>
      <c r="F31" s="604">
        <f t="array" ref="F31">SUM(IF(A31=KHC,TH))</f>
        <v>227135181</v>
      </c>
      <c r="G31" s="604">
        <f t="shared" ref="G31" si="7">MAX(C31+E31-D31-F31,0)</f>
        <v>0</v>
      </c>
      <c r="H31" s="604">
        <f t="shared" ref="H31" si="8">MAX(D31+F31-E31-C31,0)</f>
        <v>0</v>
      </c>
    </row>
    <row r="32" spans="1:8" s="162" customFormat="1" ht="17.25" customHeight="1">
      <c r="A32" s="603" t="s">
        <v>61</v>
      </c>
      <c r="B32" s="603" t="s">
        <v>62</v>
      </c>
      <c r="C32" s="604"/>
      <c r="D32" s="604"/>
      <c r="E32" s="604">
        <f t="array" ref="E32">SUM(IF(A32=KHN,TH))</f>
        <v>0</v>
      </c>
      <c r="F32" s="604">
        <f t="array" ref="F32">SUM(IF(A32=KHC,TH))</f>
        <v>0</v>
      </c>
      <c r="G32" s="604">
        <f t="shared" si="3"/>
        <v>0</v>
      </c>
      <c r="H32" s="604">
        <f t="shared" si="4"/>
        <v>0</v>
      </c>
    </row>
    <row r="33" spans="1:10" s="162" customFormat="1" ht="17.25" customHeight="1">
      <c r="A33" s="603" t="s">
        <v>260</v>
      </c>
      <c r="B33" s="603" t="s">
        <v>261</v>
      </c>
      <c r="C33" s="604"/>
      <c r="D33" s="604"/>
      <c r="E33" s="604">
        <f t="array" ref="E33">SUM(IF(A33=KHN,TH))</f>
        <v>0</v>
      </c>
      <c r="F33" s="604">
        <f t="array" ref="F33">SUM(IF(A33=KHC,TH))</f>
        <v>0</v>
      </c>
      <c r="G33" s="604">
        <f t="shared" si="3"/>
        <v>0</v>
      </c>
      <c r="H33" s="604">
        <f t="shared" si="4"/>
        <v>0</v>
      </c>
    </row>
    <row r="34" spans="1:10" s="162" customFormat="1" ht="17.25" customHeight="1">
      <c r="A34" s="614" t="s">
        <v>63</v>
      </c>
      <c r="B34" s="615" t="s">
        <v>64</v>
      </c>
      <c r="C34" s="616"/>
      <c r="D34" s="616"/>
      <c r="E34" s="616">
        <f t="array" ref="E34">SUM(IF(A34=KHN,TH))</f>
        <v>1000000</v>
      </c>
      <c r="F34" s="616">
        <f t="array" ref="F34">SUM(IF(A34=KHC,TH))</f>
        <v>1000000</v>
      </c>
      <c r="G34" s="616">
        <f t="shared" si="3"/>
        <v>0</v>
      </c>
      <c r="H34" s="616">
        <f t="shared" si="4"/>
        <v>0</v>
      </c>
    </row>
    <row r="35" spans="1:10" s="162" customFormat="1" ht="17.25" customHeight="1">
      <c r="A35" s="603" t="s">
        <v>18</v>
      </c>
      <c r="B35" s="603" t="s">
        <v>65</v>
      </c>
      <c r="C35" s="604">
        <f>C34</f>
        <v>0</v>
      </c>
      <c r="D35" s="604">
        <f t="shared" ref="D35:H35" si="9">D34</f>
        <v>0</v>
      </c>
      <c r="E35" s="604">
        <f t="shared" si="9"/>
        <v>1000000</v>
      </c>
      <c r="F35" s="604">
        <f t="shared" si="9"/>
        <v>1000000</v>
      </c>
      <c r="G35" s="604">
        <f t="shared" si="9"/>
        <v>0</v>
      </c>
      <c r="H35" s="604">
        <f t="shared" si="9"/>
        <v>0</v>
      </c>
    </row>
    <row r="36" spans="1:10" s="162" customFormat="1" ht="17.25" customHeight="1">
      <c r="A36" s="607" t="s">
        <v>66</v>
      </c>
      <c r="B36" s="607" t="s">
        <v>67</v>
      </c>
      <c r="C36" s="608">
        <f>C32+C35+C33+C31</f>
        <v>0</v>
      </c>
      <c r="D36" s="608">
        <f t="shared" ref="D36:H36" si="10">D32+D35+D33+D31</f>
        <v>0</v>
      </c>
      <c r="E36" s="608">
        <f t="shared" si="10"/>
        <v>228135181</v>
      </c>
      <c r="F36" s="608">
        <f t="shared" si="10"/>
        <v>228135181</v>
      </c>
      <c r="G36" s="608">
        <f t="shared" si="10"/>
        <v>0</v>
      </c>
      <c r="H36" s="608">
        <f t="shared" si="10"/>
        <v>0</v>
      </c>
    </row>
    <row r="37" spans="1:10" s="162" customFormat="1" ht="17.25" customHeight="1">
      <c r="A37" s="603" t="s">
        <v>256</v>
      </c>
      <c r="B37" s="603" t="s">
        <v>257</v>
      </c>
      <c r="C37" s="604">
        <v>0</v>
      </c>
      <c r="D37" s="604">
        <v>0</v>
      </c>
      <c r="E37" s="604">
        <f t="array" ref="E37">SUM(IF(A37=KHN,TH))</f>
        <v>343230000</v>
      </c>
      <c r="F37" s="604">
        <f t="array" ref="F37">SUM(IF(A37=KHC,TH))</f>
        <v>343230000</v>
      </c>
      <c r="G37" s="604">
        <f t="shared" ref="G37:G39" si="11">MAX(C37+E37-D37-F37,0)</f>
        <v>0</v>
      </c>
      <c r="H37" s="604">
        <f t="shared" ref="H37:H39" si="12">MAX(D37+F37-E37-C37,0)</f>
        <v>0</v>
      </c>
    </row>
    <row r="38" spans="1:10" s="162" customFormat="1" ht="17.25" customHeight="1">
      <c r="A38" s="607" t="s">
        <v>258</v>
      </c>
      <c r="B38" s="607" t="s">
        <v>259</v>
      </c>
      <c r="C38" s="608">
        <f>C37</f>
        <v>0</v>
      </c>
      <c r="D38" s="608">
        <f>D37</f>
        <v>0</v>
      </c>
      <c r="E38" s="608">
        <f>E37</f>
        <v>343230000</v>
      </c>
      <c r="F38" s="608">
        <f>F37</f>
        <v>343230000</v>
      </c>
      <c r="G38" s="608">
        <f t="shared" si="11"/>
        <v>0</v>
      </c>
      <c r="H38" s="608">
        <f t="shared" si="12"/>
        <v>0</v>
      </c>
    </row>
    <row r="39" spans="1:10" s="162" customFormat="1" ht="17.25" customHeight="1">
      <c r="A39" s="603" t="s">
        <v>17</v>
      </c>
      <c r="B39" s="603" t="s">
        <v>68</v>
      </c>
      <c r="C39" s="604"/>
      <c r="D39" s="604">
        <v>38951398</v>
      </c>
      <c r="E39" s="604">
        <f t="array" ref="E39">SUM(IF(A39=KHN,TH))</f>
        <v>21656813</v>
      </c>
      <c r="F39" s="604">
        <f t="array" ref="F39">SUM(IF(A39=KHC,TH))</f>
        <v>13732353</v>
      </c>
      <c r="G39" s="604">
        <f t="shared" si="11"/>
        <v>0</v>
      </c>
      <c r="H39" s="604">
        <f t="shared" si="12"/>
        <v>31026938</v>
      </c>
    </row>
    <row r="40" spans="1:10" s="162" customFormat="1" ht="17.25" customHeight="1">
      <c r="A40" s="607" t="s">
        <v>69</v>
      </c>
      <c r="B40" s="607" t="s">
        <v>70</v>
      </c>
      <c r="C40" s="608">
        <f t="shared" ref="C40:H40" si="13">SUM(C39:C39)</f>
        <v>0</v>
      </c>
      <c r="D40" s="608">
        <f t="shared" si="13"/>
        <v>38951398</v>
      </c>
      <c r="E40" s="608">
        <f t="shared" si="13"/>
        <v>21656813</v>
      </c>
      <c r="F40" s="608">
        <f t="shared" si="13"/>
        <v>13732353</v>
      </c>
      <c r="G40" s="608">
        <f t="shared" si="13"/>
        <v>0</v>
      </c>
      <c r="H40" s="608">
        <f t="shared" si="13"/>
        <v>31026938</v>
      </c>
    </row>
    <row r="41" spans="1:10" s="859" customFormat="1" ht="13.5">
      <c r="A41" s="855" t="s">
        <v>1270</v>
      </c>
      <c r="B41" s="856" t="s">
        <v>1271</v>
      </c>
      <c r="C41" s="857">
        <v>0</v>
      </c>
      <c r="D41" s="857"/>
      <c r="E41" s="858">
        <f t="array" ref="E41">SUM(IF(A41=KHN,TH))</f>
        <v>0</v>
      </c>
      <c r="F41" s="858">
        <f t="array" ref="F41">SUM(IF(A41=KHC,TH))</f>
        <v>1000000000</v>
      </c>
      <c r="G41" s="857">
        <f>MAX(C41+E41-D41-F41,0)</f>
        <v>0</v>
      </c>
      <c r="H41" s="857">
        <f>MAX(D41+F41-E41-C41,0)</f>
        <v>1000000000</v>
      </c>
    </row>
    <row r="42" spans="1:10" s="859" customFormat="1" ht="13.5">
      <c r="A42" s="855" t="s">
        <v>1272</v>
      </c>
      <c r="B42" s="856" t="s">
        <v>1273</v>
      </c>
      <c r="C42" s="858">
        <v>0</v>
      </c>
      <c r="D42" s="858"/>
      <c r="E42" s="858">
        <f t="array" ref="E42">SUM(IF(A42=KHN,TH))</f>
        <v>203560000</v>
      </c>
      <c r="F42" s="858">
        <f t="array" ref="F42">SUM(IF(A42=KHC,TH))</f>
        <v>600140000</v>
      </c>
      <c r="G42" s="858">
        <f>MAX(C42+E42-D42-F42,0)</f>
        <v>0</v>
      </c>
      <c r="H42" s="858">
        <f>MAX(D42+F42-E42-C42,0)</f>
        <v>396580000</v>
      </c>
    </row>
    <row r="43" spans="1:10" s="859" customFormat="1" ht="13.5">
      <c r="A43" s="860" t="s">
        <v>1274</v>
      </c>
      <c r="B43" s="861" t="s">
        <v>1275</v>
      </c>
      <c r="C43" s="862">
        <f t="shared" ref="C43:H43" si="14">SUM(C41:C42)</f>
        <v>0</v>
      </c>
      <c r="D43" s="862">
        <f t="shared" si="14"/>
        <v>0</v>
      </c>
      <c r="E43" s="862">
        <f t="shared" si="14"/>
        <v>203560000</v>
      </c>
      <c r="F43" s="862">
        <f t="shared" si="14"/>
        <v>1600140000</v>
      </c>
      <c r="G43" s="862">
        <f t="shared" si="14"/>
        <v>0</v>
      </c>
      <c r="H43" s="862">
        <f t="shared" si="14"/>
        <v>1396580000</v>
      </c>
    </row>
    <row r="44" spans="1:10" s="162" customFormat="1" ht="17.25" customHeight="1">
      <c r="A44" s="603" t="s">
        <v>25</v>
      </c>
      <c r="B44" s="603" t="s">
        <v>71</v>
      </c>
      <c r="C44" s="604"/>
      <c r="D44" s="604">
        <v>1900000000</v>
      </c>
      <c r="E44" s="604">
        <f t="array" ref="E44">SUM(IF(A44=KHN,TH))</f>
        <v>0</v>
      </c>
      <c r="F44" s="604">
        <f t="array" ref="F44">SUM(IF(A44=KHC,TH))</f>
        <v>0</v>
      </c>
      <c r="G44" s="605">
        <f>MAX(C44+E44-D44-F44,0)</f>
        <v>0</v>
      </c>
      <c r="H44" s="605">
        <f>MAX(D44+F44-E44-C44,0)</f>
        <v>1900000000</v>
      </c>
    </row>
    <row r="45" spans="1:10" s="162" customFormat="1" ht="17.25" customHeight="1">
      <c r="A45" s="607" t="s">
        <v>72</v>
      </c>
      <c r="B45" s="607" t="s">
        <v>73</v>
      </c>
      <c r="C45" s="608">
        <v>0</v>
      </c>
      <c r="D45" s="608">
        <f>D44</f>
        <v>1900000000</v>
      </c>
      <c r="E45" s="608">
        <f>E44</f>
        <v>0</v>
      </c>
      <c r="F45" s="608">
        <f>F44</f>
        <v>0</v>
      </c>
      <c r="G45" s="608">
        <f>MAX(C45+E45-D45-F45,0)</f>
        <v>0</v>
      </c>
      <c r="H45" s="608">
        <f>MAX(D45+F45-E45-C45,0)</f>
        <v>1900000000</v>
      </c>
    </row>
    <row r="46" spans="1:10" s="162" customFormat="1" ht="17.25" customHeight="1">
      <c r="A46" s="602" t="s">
        <v>74</v>
      </c>
      <c r="B46" s="603" t="s">
        <v>75</v>
      </c>
      <c r="C46" s="604"/>
      <c r="D46" s="604">
        <v>82275693</v>
      </c>
      <c r="E46" s="604">
        <f t="array" ref="E46">SUM(IF(A46=KHN,TH))</f>
        <v>0</v>
      </c>
      <c r="F46" s="604">
        <f t="array" ref="F46">SUM(IF(A46=KHC,TH))</f>
        <v>0</v>
      </c>
      <c r="G46" s="605">
        <f>MAX(C46+E46-D46-F46,0)</f>
        <v>0</v>
      </c>
      <c r="H46" s="605">
        <f>MAX(D46+F46-E46-C46,0)</f>
        <v>82275693</v>
      </c>
    </row>
    <row r="47" spans="1:10" s="162" customFormat="1" ht="17.25" customHeight="1">
      <c r="A47" s="603" t="s">
        <v>76</v>
      </c>
      <c r="B47" s="603" t="s">
        <v>77</v>
      </c>
      <c r="C47" s="604"/>
      <c r="D47" s="604"/>
      <c r="E47" s="604">
        <f t="array" ref="E47">SUM(IF(A47=TH!$L$10:$L$2469,TH!$K$10:$K$2469))</f>
        <v>3228843</v>
      </c>
      <c r="F47" s="604">
        <f t="array" ref="F47">SUM(IF(A47=TH!$M$10:$M$2469,TH!$K$10:$K$2469))</f>
        <v>0</v>
      </c>
      <c r="G47" s="604">
        <f>MAX(C47+E47-D47-F47,0)</f>
        <v>3228843</v>
      </c>
      <c r="H47" s="604">
        <f>MAX(D47+F47-E47-C47,0)</f>
        <v>0</v>
      </c>
      <c r="J47" s="288"/>
    </row>
    <row r="48" spans="1:10" s="162" customFormat="1" ht="17.25" customHeight="1">
      <c r="A48" s="607" t="s">
        <v>78</v>
      </c>
      <c r="B48" s="607" t="s">
        <v>79</v>
      </c>
      <c r="C48" s="608">
        <f t="shared" ref="C48:H48" si="15">C47+C46</f>
        <v>0</v>
      </c>
      <c r="D48" s="608">
        <f t="shared" si="15"/>
        <v>82275693</v>
      </c>
      <c r="E48" s="608">
        <f t="shared" si="15"/>
        <v>3228843</v>
      </c>
      <c r="F48" s="608">
        <f t="shared" si="15"/>
        <v>0</v>
      </c>
      <c r="G48" s="608">
        <f t="shared" si="15"/>
        <v>3228843</v>
      </c>
      <c r="H48" s="608">
        <f t="shared" si="15"/>
        <v>82275693</v>
      </c>
    </row>
    <row r="49" spans="1:12" s="162" customFormat="1" ht="17.25" customHeight="1">
      <c r="A49" s="602" t="s">
        <v>177</v>
      </c>
      <c r="B49" s="603" t="s">
        <v>178</v>
      </c>
      <c r="C49" s="604"/>
      <c r="D49" s="604"/>
      <c r="E49" s="604">
        <f t="array" ref="E49">SUM(IF(A49=KHN,TH))</f>
        <v>2271601803</v>
      </c>
      <c r="F49" s="604">
        <f t="array" ref="F49">SUM(IF(A49=KHC,TH))</f>
        <v>2271601803</v>
      </c>
      <c r="G49" s="605"/>
      <c r="H49" s="605"/>
      <c r="I49" s="162">
        <f>E49-F49</f>
        <v>0</v>
      </c>
      <c r="L49" s="162">
        <f>H48-G48</f>
        <v>79046850</v>
      </c>
    </row>
    <row r="50" spans="1:12" s="162" customFormat="1" ht="17.25" customHeight="1">
      <c r="A50" s="607" t="s">
        <v>179</v>
      </c>
      <c r="B50" s="607" t="s">
        <v>180</v>
      </c>
      <c r="C50" s="608"/>
      <c r="D50" s="608"/>
      <c r="E50" s="608">
        <f>E49</f>
        <v>2271601803</v>
      </c>
      <c r="F50" s="608">
        <f>F49</f>
        <v>2271601803</v>
      </c>
      <c r="G50" s="608"/>
      <c r="H50" s="608"/>
      <c r="I50" s="162">
        <f>E50-F50</f>
        <v>0</v>
      </c>
    </row>
    <row r="51" spans="1:12" s="162" customFormat="1" ht="17.25" customHeight="1">
      <c r="A51" s="607" t="s">
        <v>40</v>
      </c>
      <c r="B51" s="607" t="s">
        <v>80</v>
      </c>
      <c r="C51" s="608"/>
      <c r="D51" s="608"/>
      <c r="E51" s="609">
        <f t="array" ref="E51">SUM(IF(A51=KHN,TH))</f>
        <v>117826</v>
      </c>
      <c r="F51" s="609">
        <f t="array" ref="F51">SUM(IF(A51=KHC,TH))</f>
        <v>117826</v>
      </c>
      <c r="G51" s="608"/>
      <c r="H51" s="608"/>
      <c r="I51" s="162">
        <f t="shared" ref="I51:I59" si="16">E51-F51</f>
        <v>0</v>
      </c>
    </row>
    <row r="52" spans="1:12" s="162" customFormat="1" ht="17.25" customHeight="1">
      <c r="A52" s="607" t="s">
        <v>175</v>
      </c>
      <c r="B52" s="607" t="s">
        <v>176</v>
      </c>
      <c r="C52" s="608"/>
      <c r="D52" s="608"/>
      <c r="E52" s="609">
        <f t="array" ref="E52">SUM(IF(A52=KHN,TH))</f>
        <v>2024761541</v>
      </c>
      <c r="F52" s="609">
        <f t="array" ref="F52">SUM(IF(A52=KHC,TH))</f>
        <v>2024761541</v>
      </c>
      <c r="G52" s="608"/>
      <c r="H52" s="608"/>
      <c r="I52" s="162">
        <f t="shared" si="16"/>
        <v>0</v>
      </c>
    </row>
    <row r="53" spans="1:12" s="162" customFormat="1" ht="17.25" customHeight="1">
      <c r="A53" s="607" t="s">
        <v>81</v>
      </c>
      <c r="B53" s="607" t="s">
        <v>82</v>
      </c>
      <c r="C53" s="608"/>
      <c r="D53" s="608"/>
      <c r="E53" s="609">
        <f t="array" ref="E53">SUM(IF(A53=KHN,TH))</f>
        <v>90842004</v>
      </c>
      <c r="F53" s="609">
        <f t="array" ref="F53">SUM(IF(A53=KHC,TH))</f>
        <v>90842004</v>
      </c>
      <c r="G53" s="608"/>
      <c r="H53" s="608"/>
      <c r="I53" s="162">
        <f t="shared" si="16"/>
        <v>0</v>
      </c>
    </row>
    <row r="54" spans="1:12" s="162" customFormat="1" ht="17.25" customHeight="1">
      <c r="A54" s="613" t="s">
        <v>255</v>
      </c>
      <c r="B54" s="607" t="s">
        <v>323</v>
      </c>
      <c r="C54" s="608"/>
      <c r="D54" s="608"/>
      <c r="E54" s="609">
        <f t="array" ref="E54">SUM(IF(A54=KHN,TH))</f>
        <v>0</v>
      </c>
      <c r="F54" s="609">
        <f t="array" ref="F54">SUM(IF(A54=KHC,TH))</f>
        <v>0</v>
      </c>
      <c r="G54" s="608"/>
      <c r="H54" s="608"/>
      <c r="I54" s="162">
        <f>E54-F54</f>
        <v>0</v>
      </c>
    </row>
    <row r="55" spans="1:12" s="162" customFormat="1" ht="17.25" customHeight="1">
      <c r="A55" s="607" t="s">
        <v>83</v>
      </c>
      <c r="B55" s="607" t="s">
        <v>84</v>
      </c>
      <c r="C55" s="608"/>
      <c r="D55" s="608"/>
      <c r="E55" s="609">
        <f t="array" ref="E55">SUM(IF(A55=KHN,TH))</f>
        <v>157001740</v>
      </c>
      <c r="F55" s="609">
        <f t="array" ref="F55">SUM(IF(A55=KHC,TH))</f>
        <v>157001740</v>
      </c>
      <c r="G55" s="608"/>
      <c r="H55" s="608"/>
      <c r="I55" s="162">
        <f t="shared" si="16"/>
        <v>0</v>
      </c>
    </row>
    <row r="56" spans="1:12" s="162" customFormat="1" ht="17.25" customHeight="1">
      <c r="A56" s="613" t="s">
        <v>85</v>
      </c>
      <c r="B56" s="607" t="s">
        <v>86</v>
      </c>
      <c r="C56" s="608"/>
      <c r="D56" s="608"/>
      <c r="E56" s="609">
        <f t="array" ref="E56">SUM(IF(A56=KHN,TH))</f>
        <v>0</v>
      </c>
      <c r="F56" s="609">
        <f t="array" ref="F56">SUM(IF(A56=KHC,TH))</f>
        <v>0</v>
      </c>
      <c r="G56" s="608"/>
      <c r="H56" s="608"/>
      <c r="I56" s="162">
        <f t="shared" si="16"/>
        <v>0</v>
      </c>
    </row>
    <row r="57" spans="1:12" s="162" customFormat="1" ht="17.25" customHeight="1">
      <c r="A57" s="607" t="s">
        <v>87</v>
      </c>
      <c r="B57" s="607" t="s">
        <v>88</v>
      </c>
      <c r="C57" s="608"/>
      <c r="D57" s="608"/>
      <c r="E57" s="609">
        <f t="array" ref="E57">SUM(IF(A57=KHN,TH))</f>
        <v>2343187</v>
      </c>
      <c r="F57" s="609">
        <f t="array" ref="F57">SUM(IF(A57=KHC,TH))</f>
        <v>2343187</v>
      </c>
      <c r="G57" s="608"/>
      <c r="H57" s="608"/>
      <c r="I57" s="162">
        <f t="shared" si="16"/>
        <v>0</v>
      </c>
    </row>
    <row r="58" spans="1:12" s="162" customFormat="1" ht="17.25" customHeight="1">
      <c r="A58" s="613" t="s">
        <v>89</v>
      </c>
      <c r="B58" s="607" t="s">
        <v>90</v>
      </c>
      <c r="C58" s="608"/>
      <c r="D58" s="608"/>
      <c r="E58" s="609">
        <f t="array" ref="E58">SUM(IF(A58=KHN,TH))</f>
        <v>0</v>
      </c>
      <c r="F58" s="609">
        <f t="array" ref="F58">SUM(IF(A58=KHC,TH))</f>
        <v>0</v>
      </c>
      <c r="G58" s="608"/>
      <c r="H58" s="608"/>
      <c r="I58" s="162">
        <f t="shared" si="16"/>
        <v>0</v>
      </c>
    </row>
    <row r="59" spans="1:12" s="162" customFormat="1" ht="17.25" customHeight="1">
      <c r="A59" s="607" t="s">
        <v>91</v>
      </c>
      <c r="B59" s="607" t="s">
        <v>92</v>
      </c>
      <c r="C59" s="608"/>
      <c r="D59" s="608"/>
      <c r="E59" s="617">
        <f t="array" ref="E59">SUM(IF(A59=KHN,TH))</f>
        <v>2274948472</v>
      </c>
      <c r="F59" s="617">
        <f t="array" ref="F59">SUM(IF(A59=TH!$M$10:$M$2469,TH!$K$10:$K$2469))</f>
        <v>2274948472</v>
      </c>
      <c r="G59" s="608"/>
      <c r="H59" s="608"/>
      <c r="I59" s="162">
        <f t="shared" si="16"/>
        <v>0</v>
      </c>
    </row>
    <row r="60" spans="1:12" s="162" customFormat="1" ht="17.25" customHeight="1">
      <c r="A60" s="948" t="s">
        <v>39</v>
      </c>
      <c r="B60" s="949"/>
      <c r="C60" s="618">
        <f>C11+C13+C14+C16+C18+C19+C22+C23+C24+C25+C27+C29+C30+C36+C38+C40+C43+C45+C48+C50+C51+C52+C53+C54+C55+C56+C57+C58+C59</f>
        <v>2239477091</v>
      </c>
      <c r="D60" s="618">
        <f t="shared" ref="D60:H60" si="17">D11+D13+D14+D16+D18+D19+D22+D23+D24+D25+D27+D29+D30+D36+D38+D40+D43+D45+D48+D50+D51+D52+D53+D54+D55+D56+D57+D58+D59</f>
        <v>2239477091</v>
      </c>
      <c r="E60" s="618">
        <f t="shared" si="17"/>
        <v>26220046255</v>
      </c>
      <c r="F60" s="618">
        <f t="shared" si="17"/>
        <v>26220046255</v>
      </c>
      <c r="G60" s="618">
        <f t="shared" si="17"/>
        <v>4978742779</v>
      </c>
      <c r="H60" s="618">
        <f t="shared" si="17"/>
        <v>4978742779</v>
      </c>
    </row>
    <row r="61" spans="1:12">
      <c r="E61" s="619"/>
      <c r="F61" s="620"/>
    </row>
    <row r="62" spans="1:12">
      <c r="D62" s="162">
        <f>C60-D60</f>
        <v>0</v>
      </c>
      <c r="E62" s="620"/>
      <c r="F62" s="620">
        <f>F60-E60</f>
        <v>0</v>
      </c>
      <c r="H62" s="620">
        <f>G60-H60</f>
        <v>0</v>
      </c>
    </row>
    <row r="63" spans="1:12">
      <c r="E63" s="621"/>
      <c r="F63" s="621"/>
    </row>
    <row r="64" spans="1:12">
      <c r="E64" s="621"/>
      <c r="F64" s="621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978"/>
  <sheetViews>
    <sheetView topLeftCell="A7" workbookViewId="0">
      <pane ySplit="3" topLeftCell="A801" activePane="bottomLeft" state="frozen"/>
      <selection activeCell="A7" sqref="A7"/>
      <selection pane="bottomLeft" activeCell="F811" sqref="F81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4" customWidth="1"/>
    <col min="8" max="8" width="47.140625" style="212" customWidth="1"/>
    <col min="9" max="9" width="7.85546875" style="816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407</v>
      </c>
      <c r="B1" s="31"/>
      <c r="C1" s="31"/>
      <c r="D1" s="32"/>
      <c r="E1" s="32"/>
      <c r="F1" s="33"/>
      <c r="G1" s="461"/>
      <c r="H1" s="56"/>
      <c r="I1" s="81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408</v>
      </c>
      <c r="B2" s="31"/>
      <c r="C2" s="31"/>
      <c r="D2" s="32"/>
      <c r="E2" s="32"/>
      <c r="F2" s="32"/>
      <c r="G2" s="461"/>
      <c r="H2" s="57"/>
      <c r="I2" s="81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1"/>
      <c r="H3" s="57"/>
      <c r="I3" s="81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53" t="s">
        <v>93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</row>
    <row r="5" spans="1:28" ht="14.25">
      <c r="B5" s="42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</row>
    <row r="6" spans="1:28">
      <c r="B6" s="42"/>
      <c r="C6" s="42"/>
      <c r="D6" s="42"/>
      <c r="E6" s="42"/>
      <c r="F6" s="42"/>
      <c r="G6" s="31"/>
      <c r="H6" s="43"/>
      <c r="I6" s="81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7" t="s">
        <v>117</v>
      </c>
      <c r="B7" s="969" t="s">
        <v>101</v>
      </c>
      <c r="C7" s="955" t="s">
        <v>20</v>
      </c>
      <c r="D7" s="956" t="s">
        <v>1</v>
      </c>
      <c r="E7" s="957"/>
      <c r="F7" s="955" t="s">
        <v>0</v>
      </c>
      <c r="G7" s="959" t="s">
        <v>116</v>
      </c>
      <c r="H7" s="971" t="s">
        <v>44</v>
      </c>
      <c r="I7" s="976" t="s">
        <v>252</v>
      </c>
      <c r="J7" s="977"/>
      <c r="K7" s="955" t="s">
        <v>157</v>
      </c>
      <c r="L7" s="958" t="s">
        <v>94</v>
      </c>
      <c r="M7" s="958"/>
      <c r="N7" s="974" t="s">
        <v>398</v>
      </c>
      <c r="O7" s="978" t="s">
        <v>1274</v>
      </c>
      <c r="P7" s="961" t="s">
        <v>47</v>
      </c>
      <c r="Q7" s="962"/>
      <c r="R7" s="963"/>
      <c r="S7" s="961" t="s">
        <v>51</v>
      </c>
      <c r="T7" s="962"/>
      <c r="U7" s="963"/>
      <c r="V7" s="974" t="s">
        <v>397</v>
      </c>
      <c r="W7" s="972" t="str">
        <f>CTTK!$E$7</f>
        <v>642</v>
      </c>
      <c r="X7" s="952" t="s">
        <v>163</v>
      </c>
      <c r="Y7" s="952"/>
      <c r="Z7" s="952"/>
      <c r="AA7" s="952" t="s">
        <v>344</v>
      </c>
      <c r="AB7" s="781"/>
    </row>
    <row r="8" spans="1:28" ht="24.75" customHeight="1">
      <c r="A8" s="968"/>
      <c r="B8" s="970"/>
      <c r="C8" s="955"/>
      <c r="D8" s="202" t="s">
        <v>15</v>
      </c>
      <c r="E8" s="201" t="s">
        <v>32</v>
      </c>
      <c r="F8" s="955"/>
      <c r="G8" s="960"/>
      <c r="H8" s="971"/>
      <c r="I8" s="814" t="s">
        <v>206</v>
      </c>
      <c r="J8" s="257" t="s">
        <v>207</v>
      </c>
      <c r="K8" s="955"/>
      <c r="L8" s="203" t="s">
        <v>22</v>
      </c>
      <c r="M8" s="203" t="s">
        <v>23</v>
      </c>
      <c r="N8" s="975"/>
      <c r="O8" s="979"/>
      <c r="P8" s="964"/>
      <c r="Q8" s="965"/>
      <c r="R8" s="966"/>
      <c r="S8" s="964"/>
      <c r="T8" s="965"/>
      <c r="U8" s="966"/>
      <c r="V8" s="975"/>
      <c r="W8" s="973"/>
      <c r="X8" s="952"/>
      <c r="Y8" s="952"/>
      <c r="Z8" s="952"/>
      <c r="AA8" s="952"/>
      <c r="AB8" s="781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15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82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9"/>
      <c r="J10" s="249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83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9"/>
      <c r="J11" s="249"/>
      <c r="K11" s="51">
        <f>SUMIF(KHC,L11,TH)</f>
        <v>227135181</v>
      </c>
      <c r="L11" s="53" t="s">
        <v>365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83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9"/>
      <c r="J12" s="249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9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83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0"/>
      <c r="J13" s="250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83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411</v>
      </c>
      <c r="G14" s="49"/>
      <c r="H14" s="50"/>
      <c r="I14" s="249"/>
      <c r="J14" s="249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83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9"/>
      <c r="J15" s="249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9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83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9"/>
      <c r="J16" s="249"/>
      <c r="K16" s="51">
        <f>SUMIF(KHN,M16,TH)</f>
        <v>157001740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83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9"/>
      <c r="J17" s="249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83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9"/>
      <c r="J18" s="249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83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9"/>
      <c r="J19" s="249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83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9"/>
      <c r="J20" s="249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9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83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410</v>
      </c>
      <c r="G21" s="49"/>
      <c r="H21" s="50"/>
      <c r="I21" s="249"/>
      <c r="J21" s="249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9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83"/>
    </row>
    <row r="22" spans="1:28" s="924" customFormat="1" ht="15.75" customHeight="1">
      <c r="A22" s="204" t="str">
        <f>IF(B22&lt;&gt;"",IF(AND(B22&gt;=_TM1,B22&lt;=_TM2,OR([1]TH!L22="1111",[1]TH!M22="1111")),[1]TH!D22,""),"")</f>
        <v/>
      </c>
      <c r="B22" s="36">
        <f t="shared" si="0"/>
        <v>1</v>
      </c>
      <c r="C22" s="917">
        <f t="shared" si="1"/>
        <v>41641</v>
      </c>
      <c r="D22" s="917" t="s">
        <v>327</v>
      </c>
      <c r="E22" s="917">
        <v>41641</v>
      </c>
      <c r="F22" s="918" t="s">
        <v>1361</v>
      </c>
      <c r="G22" s="919"/>
      <c r="H22" s="920"/>
      <c r="I22" s="921"/>
      <c r="J22" s="921"/>
      <c r="K22" s="922">
        <v>18250000</v>
      </c>
      <c r="L22" s="923" t="s">
        <v>167</v>
      </c>
      <c r="M22" s="923" t="s">
        <v>254</v>
      </c>
      <c r="N22" s="52" t="str">
        <f>IF(AND('331-CT'!$E$7=TH!H22,OR(L22="331",M22="331")),"331",IF(AND(OR(L22="131",M22="131"),H22='131-CT'!$E$7),"131",""))</f>
        <v/>
      </c>
      <c r="O22" s="89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24" customFormat="1" ht="15.75" customHeight="1">
      <c r="A23" s="204" t="str">
        <f>IF(B23&lt;&gt;"",IF(AND(B23&gt;=_TM1,B23&lt;=_TM2,OR([1]TH!L23="1111",[1]TH!M23="1111")),[1]TH!D23,""),"")</f>
        <v/>
      </c>
      <c r="B23" s="36">
        <f t="shared" si="0"/>
        <v>4</v>
      </c>
      <c r="C23" s="917">
        <f t="shared" si="1"/>
        <v>41730</v>
      </c>
      <c r="D23" s="917" t="s">
        <v>327</v>
      </c>
      <c r="E23" s="917">
        <v>41730</v>
      </c>
      <c r="F23" s="918" t="s">
        <v>1361</v>
      </c>
      <c r="G23" s="925"/>
      <c r="H23" s="920"/>
      <c r="I23" s="921"/>
      <c r="J23" s="921"/>
      <c r="K23" s="922">
        <v>18250000</v>
      </c>
      <c r="L23" s="923" t="s">
        <v>167</v>
      </c>
      <c r="M23" s="923" t="s">
        <v>254</v>
      </c>
      <c r="N23" s="52" t="str">
        <f>IF(AND('331-CT'!$E$7=TH!H23,OR(L23="331",M23="331")),"331",IF(AND(OR(L23="131",M23="131"),H23='131-CT'!$E$7),"131",""))</f>
        <v/>
      </c>
      <c r="O23" s="89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24" customFormat="1" ht="15.75" customHeight="1">
      <c r="A24" s="204" t="str">
        <f>IF(B24&lt;&gt;"",IF(AND(B24&gt;=_TM1,B24&lt;=_TM2,OR([1]TH!L24="1111",[1]TH!M24="1111")),[1]TH!D24,""),"")</f>
        <v/>
      </c>
      <c r="B24" s="36">
        <f t="shared" si="0"/>
        <v>7</v>
      </c>
      <c r="C24" s="917">
        <f t="shared" si="1"/>
        <v>41821</v>
      </c>
      <c r="D24" s="917" t="s">
        <v>327</v>
      </c>
      <c r="E24" s="917">
        <v>41821</v>
      </c>
      <c r="F24" s="918" t="s">
        <v>1361</v>
      </c>
      <c r="G24" s="925"/>
      <c r="H24" s="920"/>
      <c r="I24" s="921"/>
      <c r="J24" s="921"/>
      <c r="K24" s="922">
        <v>30750000</v>
      </c>
      <c r="L24" s="923" t="s">
        <v>167</v>
      </c>
      <c r="M24" s="923" t="s">
        <v>254</v>
      </c>
      <c r="N24" s="52" t="str">
        <f>IF(AND('331-CT'!$E$7=TH!H24,OR(L24="331",M24="331")),"331",IF(AND(OR(L24="131",M24="131"),H24='131-CT'!$E$7),"131",""))</f>
        <v/>
      </c>
      <c r="O24" s="89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24" customFormat="1" ht="15.75" customHeight="1">
      <c r="A25" s="204" t="str">
        <f>IF(B25&lt;&gt;"",IF(AND(B25&gt;=_TM1,B25&lt;=_TM2,OR([1]TH!L25="1111",[1]TH!M25="1111")),[1]TH!D25,""),"")</f>
        <v/>
      </c>
      <c r="B25" s="36">
        <f t="shared" si="0"/>
        <v>10</v>
      </c>
      <c r="C25" s="917">
        <f t="shared" si="1"/>
        <v>41913</v>
      </c>
      <c r="D25" s="917" t="s">
        <v>327</v>
      </c>
      <c r="E25" s="917">
        <v>41913</v>
      </c>
      <c r="F25" s="918" t="s">
        <v>1361</v>
      </c>
      <c r="G25" s="925"/>
      <c r="H25" s="920"/>
      <c r="I25" s="921"/>
      <c r="J25" s="921"/>
      <c r="K25" s="922">
        <v>30750000</v>
      </c>
      <c r="L25" s="923" t="s">
        <v>167</v>
      </c>
      <c r="M25" s="923" t="s">
        <v>254</v>
      </c>
      <c r="N25" s="52" t="str">
        <f>IF(AND('331-CT'!$E$7=TH!H25,OR(L25="331",M25="331")),"331",IF(AND(OR(L25="131",M25="131"),H25='131-CT'!$E$7),"131",""))</f>
        <v/>
      </c>
      <c r="O25" s="89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24" customFormat="1" ht="15.75" customHeight="1">
      <c r="A26" s="204" t="str">
        <f>IF(B26&lt;&gt;"",IF(AND(B26&gt;=_TM1,B26&lt;=_TM2,OR([1]TH!L26="1111",[1]TH!M26="1111")),[1]TH!D26,""),"")</f>
        <v/>
      </c>
      <c r="B26" s="926">
        <f t="shared" si="0"/>
        <v>1</v>
      </c>
      <c r="C26" s="917">
        <f t="shared" si="1"/>
        <v>41670</v>
      </c>
      <c r="D26" s="917" t="s">
        <v>327</v>
      </c>
      <c r="E26" s="917">
        <v>41670</v>
      </c>
      <c r="F26" s="918" t="s">
        <v>1362</v>
      </c>
      <c r="G26" s="919"/>
      <c r="H26" s="920"/>
      <c r="I26" s="921"/>
      <c r="J26" s="921"/>
      <c r="K26" s="922">
        <v>5820000</v>
      </c>
      <c r="L26" s="923" t="s">
        <v>83</v>
      </c>
      <c r="M26" s="923" t="s">
        <v>256</v>
      </c>
      <c r="N26" s="52" t="str">
        <f>IF(AND('331-CT'!$E$7=TH!H26,OR(L26="331",M26="331")),"331",IF(AND(OR(L26="131",M26="131"),H26='131-CT'!$E$7),"131",""))</f>
        <v/>
      </c>
      <c r="O26" s="89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24" customFormat="1" ht="15.75" customHeight="1">
      <c r="A27" s="204" t="str">
        <f>IF(B27&lt;&gt;"",IF(AND(B27&gt;=_TM1,B27&lt;=_TM2,OR([1]TH!L27="1111",[1]TH!M27="1111")),[1]TH!D27,""),"")</f>
        <v/>
      </c>
      <c r="B27" s="926">
        <f t="shared" si="0"/>
        <v>1</v>
      </c>
      <c r="C27" s="917">
        <f t="shared" si="1"/>
        <v>41670</v>
      </c>
      <c r="D27" s="917" t="s">
        <v>327</v>
      </c>
      <c r="E27" s="917">
        <v>41670</v>
      </c>
      <c r="F27" s="918" t="s">
        <v>1363</v>
      </c>
      <c r="G27" s="919"/>
      <c r="H27" s="920"/>
      <c r="I27" s="921"/>
      <c r="J27" s="921"/>
      <c r="K27" s="922">
        <v>5120000</v>
      </c>
      <c r="L27" s="923" t="s">
        <v>167</v>
      </c>
      <c r="M27" s="923" t="s">
        <v>256</v>
      </c>
      <c r="N27" s="52" t="str">
        <f>IF(AND('331-CT'!$E$7=TH!H27,OR(L27="331",M27="331")),"331",IF(AND(OR(L27="131",M27="131"),H27='131-CT'!$E$7),"131",""))</f>
        <v/>
      </c>
      <c r="O27" s="89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24" customFormat="1" ht="15.75" customHeight="1">
      <c r="A28" s="204" t="str">
        <f>IF(B28&lt;&gt;"",IF(AND(B28&gt;=_TM1,B28&lt;=_TM2,OR([1]TH!L28="1111",[1]TH!M28="1111")),[1]TH!D28,""),"")</f>
        <v/>
      </c>
      <c r="B28" s="926">
        <f t="shared" si="0"/>
        <v>1</v>
      </c>
      <c r="C28" s="917">
        <f t="shared" si="1"/>
        <v>41670</v>
      </c>
      <c r="D28" s="917" t="s">
        <v>327</v>
      </c>
      <c r="E28" s="917">
        <v>41670</v>
      </c>
      <c r="F28" s="918" t="str">
        <f>"Thanh toán tiền lương tháng "&amp;MONTH(E28)&amp;"/"&amp;YEAR(E28)</f>
        <v>Thanh toán tiền lương tháng 1/2014</v>
      </c>
      <c r="G28" s="919"/>
      <c r="H28" s="920"/>
      <c r="I28" s="921"/>
      <c r="J28" s="921"/>
      <c r="K28" s="922">
        <f>K26+K27</f>
        <v>10940000</v>
      </c>
      <c r="L28" s="923" t="s">
        <v>256</v>
      </c>
      <c r="M28" s="923" t="s">
        <v>47</v>
      </c>
      <c r="N28" s="52" t="str">
        <f>IF(AND('331-CT'!$E$7=TH!H28,OR(L28="331",M28="331")),"331",IF(AND(OR(L28="131",M28="131"),H28='131-CT'!$E$7),"131",""))</f>
        <v/>
      </c>
      <c r="O28" s="89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IF(B29&lt;&gt;"",IF(AND(B29&gt;=_TM1,B29&lt;=_TM2,OR([1]TH!L29="1111",[1]TH!M29="1111")),[1]TH!D29,""),"")</f>
        <v/>
      </c>
      <c r="B29" s="36">
        <f t="shared" si="0"/>
        <v>2</v>
      </c>
      <c r="C29" s="917">
        <f t="shared" si="1"/>
        <v>41698</v>
      </c>
      <c r="D29" s="917" t="s">
        <v>327</v>
      </c>
      <c r="E29" s="917">
        <v>41698</v>
      </c>
      <c r="F29" s="918" t="s">
        <v>1362</v>
      </c>
      <c r="G29" s="919"/>
      <c r="H29" s="920"/>
      <c r="I29" s="921"/>
      <c r="J29" s="921"/>
      <c r="K29" s="922">
        <v>5760000</v>
      </c>
      <c r="L29" s="923" t="s">
        <v>83</v>
      </c>
      <c r="M29" s="923" t="s">
        <v>256</v>
      </c>
      <c r="N29" s="52" t="str">
        <f>IF(AND('331-CT'!$E$7=TH!H29,OR(L29="331",M29="331")),"331",IF(AND(OR(L29="131",M29="131"),H29='131-CT'!$E$7),"131",""))</f>
        <v/>
      </c>
      <c r="O29" s="89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IF(B30&lt;&gt;"",IF(AND(B30&gt;=_TM1,B30&lt;=_TM2,OR([1]TH!L30="1111",[1]TH!M30="1111")),[1]TH!D30,""),"")</f>
        <v/>
      </c>
      <c r="B30" s="36">
        <f t="shared" si="0"/>
        <v>2</v>
      </c>
      <c r="C30" s="917">
        <f t="shared" si="1"/>
        <v>41698</v>
      </c>
      <c r="D30" s="917" t="s">
        <v>327</v>
      </c>
      <c r="E30" s="917">
        <v>41698</v>
      </c>
      <c r="F30" s="918" t="s">
        <v>1363</v>
      </c>
      <c r="G30" s="919"/>
      <c r="H30" s="920"/>
      <c r="I30" s="921"/>
      <c r="J30" s="921"/>
      <c r="K30" s="922">
        <v>5060000</v>
      </c>
      <c r="L30" s="923" t="s">
        <v>167</v>
      </c>
      <c r="M30" s="923" t="s">
        <v>256</v>
      </c>
      <c r="N30" s="52" t="str">
        <f>IF(AND('331-CT'!$E$7=TH!H30,OR(L30="331",M30="331")),"331",IF(AND(OR(L30="131",M30="131"),H30='131-CT'!$E$7),"131",""))</f>
        <v/>
      </c>
      <c r="O30" s="89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IF(B31&lt;&gt;"",IF(AND(B31&gt;=_TM1,B31&lt;=_TM2,OR([1]TH!L31="1111",[1]TH!M31="1111")),[1]TH!D31,""),"")</f>
        <v/>
      </c>
      <c r="B31" s="36">
        <f t="shared" si="0"/>
        <v>2</v>
      </c>
      <c r="C31" s="917">
        <f t="shared" si="1"/>
        <v>41698</v>
      </c>
      <c r="D31" s="917" t="s">
        <v>327</v>
      </c>
      <c r="E31" s="917">
        <v>41698</v>
      </c>
      <c r="F31" s="918" t="str">
        <f t="shared" ref="F31" si="3">"Thanh toán tiền lương tháng "&amp;MONTH(E31)&amp;"/"&amp;YEAR(E31)</f>
        <v>Thanh toán tiền lương tháng 2/2014</v>
      </c>
      <c r="G31" s="919"/>
      <c r="H31" s="920"/>
      <c r="I31" s="921"/>
      <c r="J31" s="921"/>
      <c r="K31" s="922">
        <f t="shared" ref="K31" si="4">K29+K30</f>
        <v>10820000</v>
      </c>
      <c r="L31" s="923" t="s">
        <v>256</v>
      </c>
      <c r="M31" s="923" t="s">
        <v>47</v>
      </c>
      <c r="N31" s="52" t="str">
        <f>IF(AND('331-CT'!$E$7=TH!H31,OR(L31="331",M31="331")),"331",IF(AND(OR(L31="131",M31="131"),H31='131-CT'!$E$7),"131",""))</f>
        <v/>
      </c>
      <c r="O31" s="89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IF(B32&lt;&gt;"",IF(AND(B32&gt;=_TM1,B32&lt;=_TM2,OR([1]TH!L32="1111",[1]TH!M32="1111")),[1]TH!D32,""),"")</f>
        <v/>
      </c>
      <c r="B32" s="36">
        <f t="shared" si="0"/>
        <v>3</v>
      </c>
      <c r="C32" s="917">
        <f t="shared" si="1"/>
        <v>41729</v>
      </c>
      <c r="D32" s="917" t="s">
        <v>327</v>
      </c>
      <c r="E32" s="917">
        <v>41729</v>
      </c>
      <c r="F32" s="918" t="s">
        <v>1362</v>
      </c>
      <c r="G32" s="919"/>
      <c r="H32" s="920"/>
      <c r="I32" s="921"/>
      <c r="J32" s="921"/>
      <c r="K32" s="922">
        <v>5880000</v>
      </c>
      <c r="L32" s="923" t="s">
        <v>83</v>
      </c>
      <c r="M32" s="923" t="s">
        <v>256</v>
      </c>
      <c r="N32" s="52" t="str">
        <f>IF(AND('331-CT'!$E$7=TH!H32,OR(L32="331",M32="331")),"331",IF(AND(OR(L32="131",M32="131"),H32='131-CT'!$E$7),"131",""))</f>
        <v/>
      </c>
      <c r="O32" s="89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IF(B33&lt;&gt;"",IF(AND(B33&gt;=_TM1,B33&lt;=_TM2,OR([1]TH!L33="1111",[1]TH!M33="1111")),[1]TH!D33,""),"")</f>
        <v/>
      </c>
      <c r="B33" s="36">
        <f t="shared" si="0"/>
        <v>3</v>
      </c>
      <c r="C33" s="917">
        <f t="shared" si="1"/>
        <v>41729</v>
      </c>
      <c r="D33" s="917" t="s">
        <v>327</v>
      </c>
      <c r="E33" s="917">
        <v>41729</v>
      </c>
      <c r="F33" s="918" t="s">
        <v>1363</v>
      </c>
      <c r="G33" s="919"/>
      <c r="H33" s="920"/>
      <c r="I33" s="921"/>
      <c r="J33" s="921"/>
      <c r="K33" s="922">
        <v>5180000</v>
      </c>
      <c r="L33" s="923" t="s">
        <v>167</v>
      </c>
      <c r="M33" s="923" t="s">
        <v>256</v>
      </c>
      <c r="N33" s="52" t="str">
        <f>IF(AND('331-CT'!$E$7=TH!H33,OR(L33="331",M33="331")),"331",IF(AND(OR(L33="131",M33="131"),H33='131-CT'!$E$7),"131",""))</f>
        <v/>
      </c>
      <c r="O33" s="89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IF(B34&lt;&gt;"",IF(AND(B34&gt;=_TM1,B34&lt;=_TM2,OR([1]TH!L34="1111",[1]TH!M34="1111")),[1]TH!D34,""),"")</f>
        <v/>
      </c>
      <c r="B34" s="36">
        <f t="shared" si="0"/>
        <v>3</v>
      </c>
      <c r="C34" s="917">
        <f t="shared" si="1"/>
        <v>41729</v>
      </c>
      <c r="D34" s="917" t="s">
        <v>327</v>
      </c>
      <c r="E34" s="917">
        <v>41729</v>
      </c>
      <c r="F34" s="918" t="str">
        <f t="shared" ref="F34" si="5">"Thanh toán tiền lương tháng "&amp;MONTH(E34)&amp;"/"&amp;YEAR(E34)</f>
        <v>Thanh toán tiền lương tháng 3/2014</v>
      </c>
      <c r="G34" s="919"/>
      <c r="H34" s="920"/>
      <c r="I34" s="921"/>
      <c r="J34" s="921"/>
      <c r="K34" s="922">
        <f t="shared" ref="K34" si="6">K32+K33</f>
        <v>11060000</v>
      </c>
      <c r="L34" s="923" t="s">
        <v>256</v>
      </c>
      <c r="M34" s="923" t="s">
        <v>47</v>
      </c>
      <c r="N34" s="52" t="str">
        <f>IF(AND('331-CT'!$E$7=TH!H34,OR(L34="331",M34="331")),"331",IF(AND(OR(L34="131",M34="131"),H34='131-CT'!$E$7),"131",""))</f>
        <v/>
      </c>
      <c r="O34" s="89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IF(B35&lt;&gt;"",IF(AND(B35&gt;=_TM1,B35&lt;=_TM2,OR([1]TH!L35="1111",[1]TH!M35="1111")),[1]TH!D35,""),"")</f>
        <v/>
      </c>
      <c r="B35" s="36">
        <f t="shared" si="0"/>
        <v>4</v>
      </c>
      <c r="C35" s="917">
        <f t="shared" si="1"/>
        <v>41759</v>
      </c>
      <c r="D35" s="917" t="s">
        <v>327</v>
      </c>
      <c r="E35" s="917">
        <v>41759</v>
      </c>
      <c r="F35" s="918" t="s">
        <v>1362</v>
      </c>
      <c r="G35" s="919"/>
      <c r="H35" s="920"/>
      <c r="I35" s="921"/>
      <c r="J35" s="921"/>
      <c r="K35" s="922">
        <v>5850000</v>
      </c>
      <c r="L35" s="923" t="s">
        <v>83</v>
      </c>
      <c r="M35" s="923" t="s">
        <v>256</v>
      </c>
      <c r="N35" s="52" t="str">
        <f>IF(AND('331-CT'!$E$7=TH!H35,OR(L35="331",M35="331")),"331",IF(AND(OR(L35="131",M35="131"),H35='131-CT'!$E$7),"131",""))</f>
        <v/>
      </c>
      <c r="O35" s="89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IF(B36&lt;&gt;"",IF(AND(B36&gt;=_TM1,B36&lt;=_TM2,OR([1]TH!L36="1111",[1]TH!M36="1111")),[1]TH!D36,""),"")</f>
        <v/>
      </c>
      <c r="B36" s="36">
        <f t="shared" si="0"/>
        <v>4</v>
      </c>
      <c r="C36" s="917">
        <f t="shared" si="1"/>
        <v>41759</v>
      </c>
      <c r="D36" s="917" t="s">
        <v>327</v>
      </c>
      <c r="E36" s="917">
        <v>41759</v>
      </c>
      <c r="F36" s="918" t="s">
        <v>1363</v>
      </c>
      <c r="G36" s="919"/>
      <c r="H36" s="920"/>
      <c r="I36" s="921"/>
      <c r="J36" s="921"/>
      <c r="K36" s="922">
        <v>5150000</v>
      </c>
      <c r="L36" s="923" t="s">
        <v>167</v>
      </c>
      <c r="M36" s="923" t="s">
        <v>256</v>
      </c>
      <c r="N36" s="52" t="str">
        <f>IF(AND('331-CT'!$E$7=TH!H36,OR(L36="331",M36="331")),"331",IF(AND(OR(L36="131",M36="131"),H36='131-CT'!$E$7),"131",""))</f>
        <v/>
      </c>
      <c r="O36" s="89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IF(B37&lt;&gt;"",IF(AND(B37&gt;=_TM1,B37&lt;=_TM2,OR([1]TH!L37="1111",[1]TH!M37="1111")),[1]TH!D37,""),"")</f>
        <v/>
      </c>
      <c r="B37" s="36">
        <f t="shared" si="0"/>
        <v>4</v>
      </c>
      <c r="C37" s="917">
        <f t="shared" si="1"/>
        <v>41759</v>
      </c>
      <c r="D37" s="917" t="s">
        <v>327</v>
      </c>
      <c r="E37" s="917">
        <v>41759</v>
      </c>
      <c r="F37" s="918" t="str">
        <f t="shared" ref="F37" si="7">"Thanh toán tiền lương tháng "&amp;MONTH(E37)&amp;"/"&amp;YEAR(E37)</f>
        <v>Thanh toán tiền lương tháng 4/2014</v>
      </c>
      <c r="G37" s="919"/>
      <c r="H37" s="920"/>
      <c r="I37" s="921"/>
      <c r="J37" s="921"/>
      <c r="K37" s="922">
        <f t="shared" ref="K37" si="8">K35+K36</f>
        <v>11000000</v>
      </c>
      <c r="L37" s="923" t="s">
        <v>256</v>
      </c>
      <c r="M37" s="923" t="s">
        <v>47</v>
      </c>
      <c r="N37" s="52" t="str">
        <f>IF(AND('331-CT'!$E$7=TH!H37,OR(L37="331",M37="331")),"331",IF(AND(OR(L37="131",M37="131"),H37='131-CT'!$E$7),"131",""))</f>
        <v/>
      </c>
      <c r="O37" s="89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IF(B38&lt;&gt;"",IF(AND(B38&gt;=_TM1,B38&lt;=_TM2,OR([1]TH!L38="1111",[1]TH!M38="1111")),[1]TH!D38,""),"")</f>
        <v/>
      </c>
      <c r="B38" s="36">
        <f t="shared" si="0"/>
        <v>5</v>
      </c>
      <c r="C38" s="917">
        <f t="shared" si="1"/>
        <v>41790</v>
      </c>
      <c r="D38" s="917" t="s">
        <v>327</v>
      </c>
      <c r="E38" s="917">
        <v>41790</v>
      </c>
      <c r="F38" s="918" t="s">
        <v>1362</v>
      </c>
      <c r="G38" s="919"/>
      <c r="H38" s="920"/>
      <c r="I38" s="921"/>
      <c r="J38" s="921"/>
      <c r="K38" s="922">
        <v>5880000</v>
      </c>
      <c r="L38" s="923" t="s">
        <v>83</v>
      </c>
      <c r="M38" s="923" t="s">
        <v>256</v>
      </c>
      <c r="N38" s="52" t="str">
        <f>IF(AND('331-CT'!$E$7=TH!H38,OR(L38="331",M38="331")),"331",IF(AND(OR(L38="131",M38="131"),H38='131-CT'!$E$7),"131",""))</f>
        <v/>
      </c>
      <c r="O38" s="89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IF(B39&lt;&gt;"",IF(AND(B39&gt;=_TM1,B39&lt;=_TM2,OR([1]TH!L39="1111",[1]TH!M39="1111")),[1]TH!D39,""),"")</f>
        <v/>
      </c>
      <c r="B39" s="36">
        <f t="shared" si="0"/>
        <v>5</v>
      </c>
      <c r="C39" s="917">
        <f t="shared" si="1"/>
        <v>41790</v>
      </c>
      <c r="D39" s="917" t="s">
        <v>327</v>
      </c>
      <c r="E39" s="917">
        <v>41790</v>
      </c>
      <c r="F39" s="918" t="s">
        <v>1363</v>
      </c>
      <c r="G39" s="919"/>
      <c r="H39" s="920"/>
      <c r="I39" s="921"/>
      <c r="J39" s="921"/>
      <c r="K39" s="922">
        <v>5180000</v>
      </c>
      <c r="L39" s="923" t="s">
        <v>167</v>
      </c>
      <c r="M39" s="923" t="s">
        <v>256</v>
      </c>
      <c r="N39" s="52" t="str">
        <f>IF(AND('331-CT'!$E$7=TH!H39,OR(L39="331",M39="331")),"331",IF(AND(OR(L39="131",M39="131"),H39='131-CT'!$E$7),"131",""))</f>
        <v/>
      </c>
      <c r="O39" s="89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IF(B40&lt;&gt;"",IF(AND(B40&gt;=_TM1,B40&lt;=_TM2,OR([1]TH!L40="1111",[1]TH!M40="1111")),[1]TH!D40,""),"")</f>
        <v/>
      </c>
      <c r="B40" s="36">
        <f t="shared" si="0"/>
        <v>5</v>
      </c>
      <c r="C40" s="917">
        <f t="shared" si="1"/>
        <v>41790</v>
      </c>
      <c r="D40" s="917" t="s">
        <v>327</v>
      </c>
      <c r="E40" s="917">
        <v>41790</v>
      </c>
      <c r="F40" s="918" t="str">
        <f t="shared" ref="F40" si="9">"Thanh toán tiền lương tháng "&amp;MONTH(E40)&amp;"/"&amp;YEAR(E40)</f>
        <v>Thanh toán tiền lương tháng 5/2014</v>
      </c>
      <c r="G40" s="919"/>
      <c r="H40" s="920"/>
      <c r="I40" s="921"/>
      <c r="J40" s="921"/>
      <c r="K40" s="922">
        <f t="shared" ref="K40" si="10">K38+K39</f>
        <v>11060000</v>
      </c>
      <c r="L40" s="923" t="s">
        <v>256</v>
      </c>
      <c r="M40" s="923" t="s">
        <v>47</v>
      </c>
      <c r="N40" s="52" t="str">
        <f>IF(AND('331-CT'!$E$7=TH!H40,OR(L40="331",M40="331")),"331",IF(AND(OR(L40="131",M40="131"),H40='131-CT'!$E$7),"131",""))</f>
        <v/>
      </c>
      <c r="O40" s="89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>x</v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IF(B41&lt;&gt;"",IF(AND(B41&gt;=_TM1,B41&lt;=_TM2,OR([1]TH!L41="1111",[1]TH!M41="1111")),[1]TH!D41,""),"")</f>
        <v/>
      </c>
      <c r="B41" s="36">
        <f t="shared" si="0"/>
        <v>6</v>
      </c>
      <c r="C41" s="917">
        <f t="shared" si="1"/>
        <v>41820</v>
      </c>
      <c r="D41" s="917" t="s">
        <v>327</v>
      </c>
      <c r="E41" s="917">
        <v>41820</v>
      </c>
      <c r="F41" s="918" t="s">
        <v>1362</v>
      </c>
      <c r="G41" s="919"/>
      <c r="H41" s="920"/>
      <c r="I41" s="921"/>
      <c r="J41" s="921"/>
      <c r="K41" s="922">
        <v>5850000</v>
      </c>
      <c r="L41" s="923" t="s">
        <v>83</v>
      </c>
      <c r="M41" s="923" t="s">
        <v>256</v>
      </c>
      <c r="N41" s="52" t="str">
        <f>IF(AND('331-CT'!$E$7=TH!H41,OR(L41="331",M41="331")),"331",IF(AND(OR(L41="131",M41="131"),H41='131-CT'!$E$7),"131",""))</f>
        <v/>
      </c>
      <c r="O41" s="89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IF(B42&lt;&gt;"",IF(AND(B42&gt;=_TM1,B42&lt;=_TM2,OR([1]TH!L42="1111",[1]TH!M42="1111")),[1]TH!D42,""),"")</f>
        <v/>
      </c>
      <c r="B42" s="36">
        <f t="shared" si="0"/>
        <v>6</v>
      </c>
      <c r="C42" s="917">
        <f t="shared" si="1"/>
        <v>41820</v>
      </c>
      <c r="D42" s="917" t="s">
        <v>327</v>
      </c>
      <c r="E42" s="917">
        <v>41820</v>
      </c>
      <c r="F42" s="918" t="s">
        <v>1363</v>
      </c>
      <c r="G42" s="919"/>
      <c r="H42" s="920"/>
      <c r="I42" s="921"/>
      <c r="J42" s="921"/>
      <c r="K42" s="922">
        <v>5150000</v>
      </c>
      <c r="L42" s="923" t="s">
        <v>167</v>
      </c>
      <c r="M42" s="923" t="s">
        <v>256</v>
      </c>
      <c r="N42" s="52" t="str">
        <f>IF(AND('331-CT'!$E$7=TH!H42,OR(L42="331",M42="331")),"331",IF(AND(OR(L42="131",M42="131"),H42='131-CT'!$E$7),"131",""))</f>
        <v/>
      </c>
      <c r="O42" s="89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IF(B43&lt;&gt;"",IF(AND(B43&gt;=_TM1,B43&lt;=_TM2,OR([1]TH!L43="1111",[1]TH!M43="1111")),[1]TH!D43,""),"")</f>
        <v/>
      </c>
      <c r="B43" s="36">
        <f t="shared" si="0"/>
        <v>6</v>
      </c>
      <c r="C43" s="917">
        <f t="shared" si="1"/>
        <v>41820</v>
      </c>
      <c r="D43" s="917" t="s">
        <v>327</v>
      </c>
      <c r="E43" s="917">
        <v>41820</v>
      </c>
      <c r="F43" s="918" t="str">
        <f t="shared" ref="F43:F52" si="11">"Thanh toán tiền lương tháng "&amp;MONTH(E43)&amp;"/"&amp;YEAR(E43)</f>
        <v>Thanh toán tiền lương tháng 6/2014</v>
      </c>
      <c r="G43" s="919"/>
      <c r="H43" s="920"/>
      <c r="I43" s="921"/>
      <c r="J43" s="921"/>
      <c r="K43" s="922">
        <f t="shared" ref="K43" si="12">K41+K42</f>
        <v>11000000</v>
      </c>
      <c r="L43" s="923" t="s">
        <v>256</v>
      </c>
      <c r="M43" s="923" t="s">
        <v>47</v>
      </c>
      <c r="N43" s="52" t="str">
        <f>IF(AND('331-CT'!$E$7=TH!H43,OR(L43="331",M43="331")),"331",IF(AND(OR(L43="131",M43="131"),H43='131-CT'!$E$7),"131",""))</f>
        <v/>
      </c>
      <c r="O43" s="89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IF(B44&lt;&gt;"",IF(AND(B44&gt;=_TM1,B44&lt;=_TM2,OR([1]TH!L44="1111",[1]TH!M44="1111")),[1]TH!D44,""),"")</f>
        <v/>
      </c>
      <c r="B44" s="36">
        <f t="shared" si="0"/>
        <v>7</v>
      </c>
      <c r="C44" s="917">
        <f t="shared" si="1"/>
        <v>41851</v>
      </c>
      <c r="D44" s="917" t="s">
        <v>327</v>
      </c>
      <c r="E44" s="917">
        <v>41851</v>
      </c>
      <c r="F44" s="918" t="s">
        <v>1362</v>
      </c>
      <c r="G44" s="919"/>
      <c r="H44" s="920"/>
      <c r="I44" s="921"/>
      <c r="J44" s="921"/>
      <c r="K44" s="922">
        <v>15215000</v>
      </c>
      <c r="L44" s="923" t="s">
        <v>83</v>
      </c>
      <c r="M44" s="923" t="s">
        <v>256</v>
      </c>
      <c r="N44" s="52" t="str">
        <f>IF(AND('331-CT'!$E$7=TH!H44,OR(L44="331",M44="331")),"331",IF(AND(OR(L44="131",M44="131"),H44='131-CT'!$E$7),"131",""))</f>
        <v/>
      </c>
      <c r="O44" s="89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IF(B45&lt;&gt;"",IF(AND(B45&gt;=_TM1,B45&lt;=_TM2,OR([1]TH!L45="1111",[1]TH!M45="1111")),[1]TH!D45,""),"")</f>
        <v/>
      </c>
      <c r="B45" s="36">
        <f t="shared" si="0"/>
        <v>7</v>
      </c>
      <c r="C45" s="917">
        <f t="shared" si="1"/>
        <v>41851</v>
      </c>
      <c r="D45" s="917" t="s">
        <v>327</v>
      </c>
      <c r="E45" s="917">
        <v>41851</v>
      </c>
      <c r="F45" s="918" t="s">
        <v>1363</v>
      </c>
      <c r="G45" s="919"/>
      <c r="H45" s="920"/>
      <c r="I45" s="921"/>
      <c r="J45" s="921"/>
      <c r="K45" s="922">
        <v>31135000</v>
      </c>
      <c r="L45" s="923" t="s">
        <v>167</v>
      </c>
      <c r="M45" s="923" t="s">
        <v>256</v>
      </c>
      <c r="N45" s="52" t="str">
        <f>IF(AND('331-CT'!$E$7=TH!H45,OR(L45="331",M45="331")),"331",IF(AND(OR(L45="131",M45="131"),H45='131-CT'!$E$7),"131",""))</f>
        <v/>
      </c>
      <c r="O45" s="89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IF(B46&lt;&gt;"",IF(AND(B46&gt;=_TM1,B46&lt;=_TM2,OR([1]TH!L46="1111",[1]TH!M46="1111")),[1]TH!D46,""),"")</f>
        <v/>
      </c>
      <c r="B46" s="36">
        <f t="shared" si="0"/>
        <v>7</v>
      </c>
      <c r="C46" s="917">
        <f t="shared" si="1"/>
        <v>41851</v>
      </c>
      <c r="D46" s="917" t="s">
        <v>327</v>
      </c>
      <c r="E46" s="917">
        <v>41851</v>
      </c>
      <c r="F46" s="918" t="str">
        <f t="shared" si="11"/>
        <v>Thanh toán tiền lương tháng 7/2014</v>
      </c>
      <c r="G46" s="919"/>
      <c r="H46" s="920"/>
      <c r="I46" s="921"/>
      <c r="J46" s="921"/>
      <c r="K46" s="922">
        <f t="shared" ref="K46" si="13">K44+K45</f>
        <v>46350000</v>
      </c>
      <c r="L46" s="923" t="s">
        <v>256</v>
      </c>
      <c r="M46" s="923" t="s">
        <v>47</v>
      </c>
      <c r="N46" s="52" t="str">
        <f>IF(AND('331-CT'!$E$7=TH!H46,OR(L46="331",M46="331")),"331",IF(AND(OR(L46="131",M46="131"),H46='131-CT'!$E$7),"131",""))</f>
        <v/>
      </c>
      <c r="O46" s="890" t="str">
        <f>IF(AND('341-CT'!$E$9=H46,OR(LEFT(L46,3)=$O$7,LEFT(M46,3)=$O$7)),"x","")</f>
        <v/>
      </c>
      <c r="P46" s="52" t="str">
        <f>IF(AND($B46&gt;='111'!$N$11,$B46&lt;='111'!$O$11,OR($L46=$P$7,$M46=$P$7)),"x","")</f>
        <v>x</v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IF(B47&lt;&gt;"",IF(AND(B47&gt;=_TM1,B47&lt;=_TM2,OR([1]TH!L47="1111",[1]TH!M47="1111")),[1]TH!D47,""),"")</f>
        <v/>
      </c>
      <c r="B47" s="36">
        <f t="shared" si="0"/>
        <v>8</v>
      </c>
      <c r="C47" s="917">
        <f t="shared" si="1"/>
        <v>41882</v>
      </c>
      <c r="D47" s="917" t="s">
        <v>327</v>
      </c>
      <c r="E47" s="917">
        <v>41882</v>
      </c>
      <c r="F47" s="918" t="s">
        <v>1362</v>
      </c>
      <c r="G47" s="919"/>
      <c r="H47" s="920"/>
      <c r="I47" s="921"/>
      <c r="J47" s="921"/>
      <c r="K47" s="922">
        <v>15170000</v>
      </c>
      <c r="L47" s="923" t="s">
        <v>83</v>
      </c>
      <c r="M47" s="923" t="s">
        <v>256</v>
      </c>
      <c r="N47" s="52" t="str">
        <f>IF(AND('331-CT'!$E$7=TH!H47,OR(L47="331",M47="331")),"331",IF(AND(OR(L47="131",M47="131"),H47='131-CT'!$E$7),"131",""))</f>
        <v/>
      </c>
      <c r="O47" s="890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IF(B48&lt;&gt;"",IF(AND(B48&gt;=_TM1,B48&lt;=_TM2,OR([1]TH!L48="1111",[1]TH!M48="1111")),[1]TH!D48,""),"")</f>
        <v/>
      </c>
      <c r="B48" s="36">
        <f t="shared" si="0"/>
        <v>8</v>
      </c>
      <c r="C48" s="917">
        <f t="shared" si="1"/>
        <v>41882</v>
      </c>
      <c r="D48" s="917" t="s">
        <v>327</v>
      </c>
      <c r="E48" s="917">
        <v>41882</v>
      </c>
      <c r="F48" s="918" t="s">
        <v>1363</v>
      </c>
      <c r="G48" s="919"/>
      <c r="H48" s="920"/>
      <c r="I48" s="921"/>
      <c r="J48" s="921"/>
      <c r="K48" s="922">
        <v>31030000</v>
      </c>
      <c r="L48" s="923" t="s">
        <v>167</v>
      </c>
      <c r="M48" s="923" t="s">
        <v>256</v>
      </c>
      <c r="N48" s="52" t="str">
        <f>IF(AND('331-CT'!$E$7=TH!H48,OR(L48="331",M48="331")),"331",IF(AND(OR(L48="131",M48="131"),H48='131-CT'!$E$7),"131",""))</f>
        <v/>
      </c>
      <c r="O48" s="89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9" ht="15.75" customHeight="1">
      <c r="A49" s="204" t="str">
        <f>IF(B49&lt;&gt;"",IF(AND(B49&gt;=_TM1,B49&lt;=_TM2,OR([1]TH!L49="1111",[1]TH!M49="1111")),[1]TH!D49,""),"")</f>
        <v/>
      </c>
      <c r="B49" s="36">
        <f t="shared" si="0"/>
        <v>8</v>
      </c>
      <c r="C49" s="917">
        <f t="shared" si="1"/>
        <v>41882</v>
      </c>
      <c r="D49" s="917" t="s">
        <v>327</v>
      </c>
      <c r="E49" s="917">
        <v>41882</v>
      </c>
      <c r="F49" s="918" t="str">
        <f t="shared" si="11"/>
        <v>Thanh toán tiền lương tháng 8/2014</v>
      </c>
      <c r="G49" s="919"/>
      <c r="H49" s="920"/>
      <c r="I49" s="921"/>
      <c r="J49" s="921"/>
      <c r="K49" s="922">
        <f t="shared" ref="K49" si="14">K47+K48</f>
        <v>46200000</v>
      </c>
      <c r="L49" s="923" t="s">
        <v>256</v>
      </c>
      <c r="M49" s="923" t="s">
        <v>47</v>
      </c>
      <c r="N49" s="52" t="str">
        <f>IF(AND('331-CT'!$E$7=TH!H49,OR(L49="331",M49="331")),"331",IF(AND(OR(L49="131",M49="131"),H49='131-CT'!$E$7),"131",""))</f>
        <v/>
      </c>
      <c r="O49" s="890" t="str">
        <f>IF(AND('341-CT'!$E$9=H49,OR(LEFT(L49,3)=$O$7,LEFT(M49,3)=$O$7)),"x","")</f>
        <v/>
      </c>
      <c r="P49" s="52" t="str">
        <f>IF(AND($B49&gt;='111'!$N$11,$B49&lt;='111'!$O$11,OR($L49=$P$7,$M49=$P$7)),"x","")</f>
        <v>x</v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9" ht="15.75" customHeight="1">
      <c r="A50" s="204" t="str">
        <f>IF(B50&lt;&gt;"",IF(AND(B50&gt;=_TM1,B50&lt;=_TM2,OR([1]TH!L50="1111",[1]TH!M50="1111")),[1]TH!D50,""),"")</f>
        <v/>
      </c>
      <c r="B50" s="36">
        <f t="shared" si="0"/>
        <v>9</v>
      </c>
      <c r="C50" s="917">
        <f t="shared" si="1"/>
        <v>41912</v>
      </c>
      <c r="D50" s="917" t="s">
        <v>327</v>
      </c>
      <c r="E50" s="917">
        <v>41912</v>
      </c>
      <c r="F50" s="918" t="s">
        <v>1362</v>
      </c>
      <c r="G50" s="919"/>
      <c r="H50" s="920"/>
      <c r="I50" s="921"/>
      <c r="J50" s="921"/>
      <c r="K50" s="922">
        <v>15125000</v>
      </c>
      <c r="L50" s="923" t="s">
        <v>83</v>
      </c>
      <c r="M50" s="923" t="s">
        <v>256</v>
      </c>
      <c r="N50" s="52" t="str">
        <f>IF(AND('331-CT'!$E$7=TH!H50,OR(L50="331",M50="331")),"331",IF(AND(OR(L50="131",M50="131"),H50='131-CT'!$E$7),"131",""))</f>
        <v/>
      </c>
      <c r="O50" s="890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9" ht="15.75" customHeight="1">
      <c r="A51" s="204" t="str">
        <f>IF(B51&lt;&gt;"",IF(AND(B51&gt;=_TM1,B51&lt;=_TM2,OR([1]TH!L51="1111",[1]TH!M51="1111")),[1]TH!D51,""),"")</f>
        <v/>
      </c>
      <c r="B51" s="36">
        <f t="shared" si="0"/>
        <v>9</v>
      </c>
      <c r="C51" s="917">
        <f t="shared" si="1"/>
        <v>41912</v>
      </c>
      <c r="D51" s="917" t="s">
        <v>327</v>
      </c>
      <c r="E51" s="917">
        <v>41912</v>
      </c>
      <c r="F51" s="918" t="s">
        <v>1363</v>
      </c>
      <c r="G51" s="919"/>
      <c r="H51" s="920"/>
      <c r="I51" s="921"/>
      <c r="J51" s="921"/>
      <c r="K51" s="922">
        <v>30925000</v>
      </c>
      <c r="L51" s="923" t="s">
        <v>167</v>
      </c>
      <c r="M51" s="923" t="s">
        <v>256</v>
      </c>
      <c r="N51" s="52" t="str">
        <f>IF(AND('331-CT'!$E$7=TH!H51,OR(L51="331",M51="331")),"331",IF(AND(OR(L51="131",M51="131"),H51='131-CT'!$E$7),"131",""))</f>
        <v/>
      </c>
      <c r="O51" s="89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9" ht="15.75" customHeight="1">
      <c r="A52" s="204" t="str">
        <f>IF(B52&lt;&gt;"",IF(AND(B52&gt;=_TM1,B52&lt;=_TM2,OR([1]TH!L52="1111",[1]TH!M52="1111")),[1]TH!D52,""),"")</f>
        <v/>
      </c>
      <c r="B52" s="36">
        <f t="shared" si="0"/>
        <v>9</v>
      </c>
      <c r="C52" s="917">
        <f t="shared" si="1"/>
        <v>41912</v>
      </c>
      <c r="D52" s="917" t="s">
        <v>327</v>
      </c>
      <c r="E52" s="917">
        <v>41912</v>
      </c>
      <c r="F52" s="918" t="str">
        <f t="shared" si="11"/>
        <v>Thanh toán tiền lương tháng 9/2014</v>
      </c>
      <c r="G52" s="919"/>
      <c r="H52" s="920"/>
      <c r="I52" s="921"/>
      <c r="J52" s="921"/>
      <c r="K52" s="922">
        <f t="shared" ref="K52" si="15">K50+K51</f>
        <v>46050000</v>
      </c>
      <c r="L52" s="923" t="s">
        <v>256</v>
      </c>
      <c r="M52" s="923" t="s">
        <v>47</v>
      </c>
      <c r="N52" s="52" t="str">
        <f>IF(AND('331-CT'!$E$7=TH!H52,OR(L52="331",M52="331")),"331",IF(AND(OR(L52="131",M52="131"),H52='131-CT'!$E$7),"131",""))</f>
        <v/>
      </c>
      <c r="O52" s="890" t="str">
        <f>IF(AND('341-CT'!$E$9=H52,OR(LEFT(L52,3)=$O$7,LEFT(M52,3)=$O$7)),"x","")</f>
        <v/>
      </c>
      <c r="P52" s="52" t="str">
        <f>IF(AND($B52&gt;='111'!$N$11,$B52&lt;='111'!$O$11,OR($L52=$P$7,$M52=$P$7)),"x","")</f>
        <v>x</v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9" ht="15.75" customHeight="1">
      <c r="A53" s="204" t="str">
        <f>IF(B53&lt;&gt;"",IF(AND(B53&gt;=_TM1,B53&lt;=_TM2,OR([1]TH!L53="1111",[1]TH!M53="1111")),[1]TH!D53,""),"")</f>
        <v/>
      </c>
      <c r="B53" s="36">
        <f t="shared" si="0"/>
        <v>10</v>
      </c>
      <c r="C53" s="917">
        <f t="shared" si="1"/>
        <v>41943</v>
      </c>
      <c r="D53" s="917" t="s">
        <v>327</v>
      </c>
      <c r="E53" s="917">
        <v>41943</v>
      </c>
      <c r="F53" s="918" t="s">
        <v>1362</v>
      </c>
      <c r="G53" s="919"/>
      <c r="H53" s="920"/>
      <c r="I53" s="921"/>
      <c r="J53" s="921"/>
      <c r="K53" s="922">
        <v>15215000</v>
      </c>
      <c r="L53" s="923" t="s">
        <v>83</v>
      </c>
      <c r="M53" s="923" t="s">
        <v>256</v>
      </c>
      <c r="N53" s="52" t="str">
        <f>IF(AND('331-CT'!$E$7=TH!H53,OR(L53="331",M53="331")),"331",IF(AND(OR(L53="131",M53="131"),H53='131-CT'!$E$7),"131",""))</f>
        <v/>
      </c>
      <c r="O53" s="890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9" ht="15.75" customHeight="1">
      <c r="A54" s="204" t="str">
        <f>IF(B54&lt;&gt;"",IF(AND(B54&gt;=_TM1,B54&lt;=_TM2,OR([1]TH!L54="1111",[1]TH!M54="1111")),[1]TH!D54,""),"")</f>
        <v/>
      </c>
      <c r="B54" s="36">
        <f t="shared" si="0"/>
        <v>10</v>
      </c>
      <c r="C54" s="917">
        <f t="shared" si="1"/>
        <v>41943</v>
      </c>
      <c r="D54" s="917" t="s">
        <v>327</v>
      </c>
      <c r="E54" s="917">
        <v>41943</v>
      </c>
      <c r="F54" s="918" t="s">
        <v>1363</v>
      </c>
      <c r="G54" s="919"/>
      <c r="H54" s="920"/>
      <c r="I54" s="921"/>
      <c r="J54" s="921"/>
      <c r="K54" s="922">
        <v>31135000</v>
      </c>
      <c r="L54" s="923" t="s">
        <v>167</v>
      </c>
      <c r="M54" s="923" t="s">
        <v>256</v>
      </c>
      <c r="N54" s="52" t="str">
        <f>IF(AND('331-CT'!$E$7=TH!H54,OR(L54="331",M54="331")),"331",IF(AND(OR(L54="131",M54="131"),H54='131-CT'!$E$7),"131",""))</f>
        <v/>
      </c>
      <c r="O54" s="89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9" ht="15.75" customHeight="1">
      <c r="A55" s="204" t="str">
        <f>IF(B55&lt;&gt;"",IF(AND(B55&gt;=_TM1,B55&lt;=_TM2,OR([1]TH!L55="1111",[1]TH!M55="1111")),[1]TH!D55,""),"")</f>
        <v/>
      </c>
      <c r="B55" s="36">
        <f t="shared" si="0"/>
        <v>10</v>
      </c>
      <c r="C55" s="917">
        <f t="shared" si="1"/>
        <v>41943</v>
      </c>
      <c r="D55" s="917" t="s">
        <v>327</v>
      </c>
      <c r="E55" s="917">
        <v>41943</v>
      </c>
      <c r="F55" s="918" t="str">
        <f t="shared" ref="F55:F61" si="16">"Thanh toán tiền lương tháng "&amp;MONTH(E55)&amp;"/"&amp;YEAR(E55)</f>
        <v>Thanh toán tiền lương tháng 10/2014</v>
      </c>
      <c r="G55" s="919"/>
      <c r="H55" s="920"/>
      <c r="I55" s="921"/>
      <c r="J55" s="921"/>
      <c r="K55" s="922">
        <f t="shared" ref="K55" si="17">K53+K54</f>
        <v>46350000</v>
      </c>
      <c r="L55" s="923" t="s">
        <v>256</v>
      </c>
      <c r="M55" s="923" t="s">
        <v>47</v>
      </c>
      <c r="N55" s="52" t="str">
        <f>IF(AND('331-CT'!$E$7=TH!H55,OR(L55="331",M55="331")),"331",IF(AND(OR(L55="131",M55="131"),H55='131-CT'!$E$7),"131",""))</f>
        <v/>
      </c>
      <c r="O55" s="89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9" ht="15.75" customHeight="1">
      <c r="A56" s="204" t="str">
        <f>IF(B56&lt;&gt;"",IF(AND(B56&gt;=_TM1,B56&lt;=_TM2,OR([1]TH!L56="1111",[1]TH!M56="1111")),[1]TH!D56,""),"")</f>
        <v/>
      </c>
      <c r="B56" s="36">
        <f t="shared" si="0"/>
        <v>11</v>
      </c>
      <c r="C56" s="917">
        <f t="shared" si="1"/>
        <v>41973</v>
      </c>
      <c r="D56" s="917" t="s">
        <v>327</v>
      </c>
      <c r="E56" s="917">
        <v>41973</v>
      </c>
      <c r="F56" s="918" t="s">
        <v>1362</v>
      </c>
      <c r="G56" s="919"/>
      <c r="H56" s="920"/>
      <c r="I56" s="921"/>
      <c r="J56" s="921"/>
      <c r="K56" s="922">
        <v>15125000</v>
      </c>
      <c r="L56" s="923" t="s">
        <v>83</v>
      </c>
      <c r="M56" s="923" t="s">
        <v>256</v>
      </c>
      <c r="N56" s="52" t="str">
        <f>IF(AND('331-CT'!$E$7=TH!H56,OR(L56="331",M56="331")),"331",IF(AND(OR(L56="131",M56="131"),H56='131-CT'!$E$7),"131",""))</f>
        <v/>
      </c>
      <c r="O56" s="89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9" ht="15.75" customHeight="1">
      <c r="A57" s="204" t="str">
        <f>IF(B57&lt;&gt;"",IF(AND(B57&gt;=_TM1,B57&lt;=_TM2,OR([1]TH!L57="1111",[1]TH!M57="1111")),[1]TH!D57,""),"")</f>
        <v/>
      </c>
      <c r="B57" s="36">
        <f t="shared" si="0"/>
        <v>11</v>
      </c>
      <c r="C57" s="917">
        <f t="shared" si="1"/>
        <v>41973</v>
      </c>
      <c r="D57" s="917" t="s">
        <v>327</v>
      </c>
      <c r="E57" s="917">
        <v>41973</v>
      </c>
      <c r="F57" s="918" t="s">
        <v>1363</v>
      </c>
      <c r="G57" s="919"/>
      <c r="H57" s="920"/>
      <c r="I57" s="921"/>
      <c r="J57" s="921"/>
      <c r="K57" s="922">
        <v>30925000</v>
      </c>
      <c r="L57" s="923" t="s">
        <v>167</v>
      </c>
      <c r="M57" s="923" t="s">
        <v>256</v>
      </c>
      <c r="N57" s="52" t="str">
        <f>IF(AND('331-CT'!$E$7=TH!H57,OR(L57="331",M57="331")),"331",IF(AND(OR(L57="131",M57="131"),H57='131-CT'!$E$7),"131",""))</f>
        <v/>
      </c>
      <c r="O57" s="89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9" ht="15.75" customHeight="1">
      <c r="A58" s="204" t="str">
        <f>IF(B58&lt;&gt;"",IF(AND(B58&gt;=_TM1,B58&lt;=_TM2,OR([1]TH!L58="1111",[1]TH!M58="1111")),[1]TH!D58,""),"")</f>
        <v>C06</v>
      </c>
      <c r="B58" s="36">
        <f t="shared" si="0"/>
        <v>11</v>
      </c>
      <c r="C58" s="917">
        <f t="shared" si="1"/>
        <v>41973</v>
      </c>
      <c r="D58" s="917" t="s">
        <v>327</v>
      </c>
      <c r="E58" s="917">
        <v>41973</v>
      </c>
      <c r="F58" s="918" t="str">
        <f t="shared" si="16"/>
        <v>Thanh toán tiền lương tháng 11/2014</v>
      </c>
      <c r="G58" s="919"/>
      <c r="H58" s="920"/>
      <c r="I58" s="921"/>
      <c r="J58" s="921"/>
      <c r="K58" s="922">
        <f t="shared" ref="K58" si="18">K56+K57</f>
        <v>46050000</v>
      </c>
      <c r="L58" s="923" t="s">
        <v>256</v>
      </c>
      <c r="M58" s="923" t="s">
        <v>47</v>
      </c>
      <c r="N58" s="52" t="str">
        <f>IF(AND('331-CT'!$E$7=TH!H58,OR(L58="331",M58="331")),"331",IF(AND(OR(L58="131",M58="131"),H58='131-CT'!$E$7),"131",""))</f>
        <v/>
      </c>
      <c r="O58" s="89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9" ht="15.75" customHeight="1">
      <c r="A59" s="204" t="str">
        <f>IF(B59&lt;&gt;"",IF(AND(B59&gt;=_TM1,B59&lt;=_TM2,OR([1]TH!L59="1111",[1]TH!M59="1111")),[1]TH!D59,""),"")</f>
        <v/>
      </c>
      <c r="B59" s="36">
        <f t="shared" si="0"/>
        <v>12</v>
      </c>
      <c r="C59" s="917">
        <f t="shared" si="1"/>
        <v>42004</v>
      </c>
      <c r="D59" s="917" t="s">
        <v>327</v>
      </c>
      <c r="E59" s="917">
        <v>42004</v>
      </c>
      <c r="F59" s="918" t="s">
        <v>1362</v>
      </c>
      <c r="G59" s="919"/>
      <c r="H59" s="920"/>
      <c r="I59" s="921"/>
      <c r="J59" s="921"/>
      <c r="K59" s="922">
        <v>15215000</v>
      </c>
      <c r="L59" s="923" t="s">
        <v>83</v>
      </c>
      <c r="M59" s="923" t="s">
        <v>256</v>
      </c>
      <c r="N59" s="52" t="str">
        <f>IF(AND('331-CT'!$E$7=TH!H59,OR(L59="331",M59="331")),"331",IF(AND(OR(L59="131",M59="131"),H59='131-CT'!$E$7),"131",""))</f>
        <v/>
      </c>
      <c r="O59" s="89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9" ht="15.75" customHeight="1">
      <c r="A60" s="204" t="str">
        <f>IF(B60&lt;&gt;"",IF(AND(B60&gt;=_TM1,B60&lt;=_TM2,OR([1]TH!L60="1111",[1]TH!M60="1111")),[1]TH!D60,""),"")</f>
        <v/>
      </c>
      <c r="B60" s="36">
        <f t="shared" si="0"/>
        <v>12</v>
      </c>
      <c r="C60" s="917">
        <f t="shared" si="1"/>
        <v>42004</v>
      </c>
      <c r="D60" s="917" t="s">
        <v>327</v>
      </c>
      <c r="E60" s="917">
        <v>42004</v>
      </c>
      <c r="F60" s="918" t="s">
        <v>1363</v>
      </c>
      <c r="G60" s="919"/>
      <c r="H60" s="920"/>
      <c r="I60" s="921"/>
      <c r="J60" s="921"/>
      <c r="K60" s="922">
        <v>31135000</v>
      </c>
      <c r="L60" s="923" t="s">
        <v>167</v>
      </c>
      <c r="M60" s="923" t="s">
        <v>256</v>
      </c>
      <c r="N60" s="52" t="str">
        <f>IF(AND('331-CT'!$E$7=TH!H60,OR(L60="331",M60="331")),"331",IF(AND(OR(L60="131",M60="131"),H60='131-CT'!$E$7),"131",""))</f>
        <v/>
      </c>
      <c r="O60" s="89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9" ht="15.75" customHeight="1">
      <c r="A61" s="204" t="str">
        <f>IF(B61&lt;&gt;"",IF(AND(B61&gt;=_TM1,B61&lt;=_TM2,OR([1]TH!L61="1111",[1]TH!M61="1111")),[1]TH!D61,""),"")</f>
        <v/>
      </c>
      <c r="B61" s="36">
        <f t="shared" si="0"/>
        <v>12</v>
      </c>
      <c r="C61" s="917">
        <f t="shared" si="1"/>
        <v>42004</v>
      </c>
      <c r="D61" s="917" t="s">
        <v>327</v>
      </c>
      <c r="E61" s="917">
        <v>42004</v>
      </c>
      <c r="F61" s="918" t="str">
        <f t="shared" si="16"/>
        <v>Thanh toán tiền lương tháng 12/2014</v>
      </c>
      <c r="G61" s="919"/>
      <c r="H61" s="920"/>
      <c r="I61" s="921"/>
      <c r="J61" s="921"/>
      <c r="K61" s="922">
        <f>K59+K60</f>
        <v>46350000</v>
      </c>
      <c r="L61" s="923" t="s">
        <v>256</v>
      </c>
      <c r="M61" s="923" t="s">
        <v>47</v>
      </c>
      <c r="N61" s="52" t="str">
        <f>IF(AND('331-CT'!$E$7=TH!H61,OR(L61="331",M61="331")),"331",IF(AND(OR(L61="131",M61="131"),H61='131-CT'!$E$7),"131",""))</f>
        <v/>
      </c>
      <c r="O61" s="89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9" s="555" customFormat="1" ht="15.75" customHeight="1">
      <c r="A62" s="204" t="str">
        <f>IF(B62&lt;&gt;"",IF(AND(B62&gt;=_TM1,B62&lt;=_TM2,OR(TH!L62="1111",TH!M62="1111")),TH!D62,""),"")</f>
        <v/>
      </c>
      <c r="B62" s="36">
        <f t="shared" ref="B62:B138" si="19">IF(C62&lt;&gt;"",MONTH(C62),"")</f>
        <v>1</v>
      </c>
      <c r="C62" s="184">
        <f t="shared" ref="C62:C138" si="20">E62</f>
        <v>41645</v>
      </c>
      <c r="D62" s="184" t="s">
        <v>910</v>
      </c>
      <c r="E62" s="184">
        <v>41645</v>
      </c>
      <c r="F62" s="189" t="s">
        <v>417</v>
      </c>
      <c r="G62" s="565" t="s">
        <v>418</v>
      </c>
      <c r="H62" s="7" t="s">
        <v>419</v>
      </c>
      <c r="I62" s="251">
        <v>2110</v>
      </c>
      <c r="J62" s="251">
        <v>5300</v>
      </c>
      <c r="K62" s="563">
        <f>ROUND(I62*J62,0)</f>
        <v>11183000</v>
      </c>
      <c r="L62" s="564" t="s">
        <v>253</v>
      </c>
      <c r="M62" s="564" t="s">
        <v>177</v>
      </c>
      <c r="N62" s="52" t="str">
        <f>IF(AND('331-CT'!$E$7=TH!H62,OR(L62="331",M62="331")),"331",IF(AND(OR(L62="131",M62="131"),H62='131-CT'!$E$7),"131",""))</f>
        <v/>
      </c>
      <c r="O62" s="89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09"/>
      <c r="AC62" s="211" t="str">
        <f>IF(F62=VLOOKUP(F62,NXT!$C$12:$C$345,1,0),"","x")</f>
        <v/>
      </c>
    </row>
    <row r="63" spans="1:29" s="555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41645</v>
      </c>
      <c r="D63" s="184" t="s">
        <v>910</v>
      </c>
      <c r="E63" s="184">
        <v>41645</v>
      </c>
      <c r="F63" s="189" t="s">
        <v>420</v>
      </c>
      <c r="G63" s="565" t="s">
        <v>418</v>
      </c>
      <c r="H63" s="7" t="s">
        <v>419</v>
      </c>
      <c r="I63" s="251"/>
      <c r="J63" s="251"/>
      <c r="K63" s="563">
        <v>1118300</v>
      </c>
      <c r="L63" s="564" t="s">
        <v>253</v>
      </c>
      <c r="M63" s="564" t="s">
        <v>365</v>
      </c>
      <c r="N63" s="52" t="str">
        <f>IF(AND('331-CT'!$E$7=TH!H63,OR(L63="331",M63="331")),"331",IF(AND(OR(L63="131",M63="131"),H63='131-CT'!$E$7),"131",""))</f>
        <v/>
      </c>
      <c r="O63" s="89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09"/>
      <c r="AC63" s="555" t="str">
        <f>IF(VLOOKUP(H63,DS_131,1,0)&lt;&gt;"","","x")</f>
        <v/>
      </c>
    </row>
    <row r="64" spans="1:29" s="555" customFormat="1" ht="15.75" customHeight="1">
      <c r="A64" s="204" t="str">
        <f>IF(B64&lt;&gt;"",IF(AND(B64&gt;=_TM1,B64&lt;=_TM2,OR(TH!L64="1111",TH!M64="1111")),TH!D64,""),"")</f>
        <v/>
      </c>
      <c r="B64" s="36">
        <f t="shared" ref="B64" si="21">IF(C64&lt;&gt;"",MONTH(C64),"")</f>
        <v>1</v>
      </c>
      <c r="C64" s="184">
        <f t="shared" ref="C64" si="22">E64</f>
        <v>41645</v>
      </c>
      <c r="D64" s="184"/>
      <c r="E64" s="184">
        <v>41645</v>
      </c>
      <c r="F64" s="192" t="s">
        <v>894</v>
      </c>
      <c r="G64" s="565" t="s">
        <v>418</v>
      </c>
      <c r="H64" s="7" t="s">
        <v>419</v>
      </c>
      <c r="I64" s="251"/>
      <c r="J64" s="251"/>
      <c r="K64" s="563">
        <v>12301300</v>
      </c>
      <c r="L64" s="564" t="s">
        <v>47</v>
      </c>
      <c r="M64" s="564" t="s">
        <v>253</v>
      </c>
      <c r="N64" s="52" t="str">
        <f>IF(AND('331-CT'!$E$7=TH!H64,OR(L64="331",M64="331")),"331",IF(AND(OR(L64="131",M64="131"),H64='131-CT'!$E$7),"131",""))</f>
        <v/>
      </c>
      <c r="O64" s="89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09"/>
      <c r="AC64" s="555" t="str">
        <f>IF(VLOOKUP(H64,DS_131,1,0)&lt;&gt;"","","x")</f>
        <v/>
      </c>
    </row>
    <row r="65" spans="1:31" s="555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41645</v>
      </c>
      <c r="D65" s="184" t="s">
        <v>911</v>
      </c>
      <c r="E65" s="184">
        <v>41645</v>
      </c>
      <c r="F65" s="189" t="s">
        <v>421</v>
      </c>
      <c r="G65" s="565" t="s">
        <v>422</v>
      </c>
      <c r="H65" s="7" t="s">
        <v>906</v>
      </c>
      <c r="I65" s="251">
        <v>500</v>
      </c>
      <c r="J65" s="251">
        <v>17300</v>
      </c>
      <c r="K65" s="563">
        <f>ROUND(I65*J65,0)</f>
        <v>8650000</v>
      </c>
      <c r="L65" s="564" t="s">
        <v>253</v>
      </c>
      <c r="M65" s="564" t="s">
        <v>177</v>
      </c>
      <c r="N65" s="52" t="str">
        <f>IF(AND('331-CT'!$E$7=TH!H65,OR(L65="331",M65="331")),"331",IF(AND(OR(L65="131",M65="131"),H65='131-CT'!$E$7),"131",""))</f>
        <v/>
      </c>
      <c r="O65" s="89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09"/>
      <c r="AC65" s="211" t="str">
        <f>IF(F65=VLOOKUP(F65,NXT!$C$12:$C$345,1,0),"","x")</f>
        <v/>
      </c>
    </row>
    <row r="66" spans="1:31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41645</v>
      </c>
      <c r="D66" s="184" t="s">
        <v>911</v>
      </c>
      <c r="E66" s="37">
        <v>41645</v>
      </c>
      <c r="F66" s="40" t="s">
        <v>445</v>
      </c>
      <c r="G66" s="623" t="s">
        <v>422</v>
      </c>
      <c r="H66" s="7" t="s">
        <v>906</v>
      </c>
      <c r="I66" s="251">
        <v>1000</v>
      </c>
      <c r="J66" s="251">
        <v>1500</v>
      </c>
      <c r="K66" s="563">
        <f>ROUND(I66*J66,0)</f>
        <v>1500000</v>
      </c>
      <c r="L66" s="564" t="s">
        <v>253</v>
      </c>
      <c r="M66" s="564" t="s">
        <v>177</v>
      </c>
      <c r="N66" s="52" t="str">
        <f>IF(AND('331-CT'!$E$7=TH!H66,OR(L66="331",M66="331")),"331",IF(AND(OR(L66="131",M66="131"),H66='131-CT'!$E$7),"131",""))</f>
        <v/>
      </c>
      <c r="O66" s="89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09"/>
      <c r="AC66" s="211" t="str">
        <f>IF(F66=VLOOKUP(F66,NXT!$C$12:$C$345,1,0),"","x")</f>
        <v/>
      </c>
      <c r="AD66" s="555"/>
      <c r="AE66" s="555"/>
    </row>
    <row r="67" spans="1:31" s="21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41645</v>
      </c>
      <c r="D67" s="184" t="s">
        <v>911</v>
      </c>
      <c r="E67" s="37">
        <v>41645</v>
      </c>
      <c r="F67" s="189" t="s">
        <v>420</v>
      </c>
      <c r="G67" s="623" t="s">
        <v>422</v>
      </c>
      <c r="H67" s="7" t="s">
        <v>906</v>
      </c>
      <c r="I67" s="251"/>
      <c r="J67" s="251"/>
      <c r="K67" s="38">
        <v>1015000</v>
      </c>
      <c r="L67" s="564" t="s">
        <v>253</v>
      </c>
      <c r="M67" s="564" t="s">
        <v>365</v>
      </c>
      <c r="N67" s="52" t="str">
        <f>IF(AND('331-CT'!$E$7=TH!H67,OR(L67="331",M67="331")),"331",IF(AND(OR(L67="131",M67="131"),H67='131-CT'!$E$7),"131",""))</f>
        <v/>
      </c>
      <c r="O67" s="89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09"/>
      <c r="AC67" s="555" t="str">
        <f>IF(VLOOKUP(H67,DS_131,1,0)&lt;&gt;"","","x")</f>
        <v/>
      </c>
      <c r="AD67" s="555"/>
      <c r="AE67" s="555"/>
    </row>
    <row r="68" spans="1:31" s="555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41664</v>
      </c>
      <c r="D68" s="184" t="s">
        <v>912</v>
      </c>
      <c r="E68" s="37">
        <v>41664</v>
      </c>
      <c r="F68" s="189" t="s">
        <v>423</v>
      </c>
      <c r="G68" s="460" t="s">
        <v>424</v>
      </c>
      <c r="H68" s="7" t="s">
        <v>425</v>
      </c>
      <c r="I68" s="251">
        <v>510</v>
      </c>
      <c r="J68" s="251">
        <v>10300</v>
      </c>
      <c r="K68" s="563">
        <f>ROUND(I68*J68,0)</f>
        <v>5253000</v>
      </c>
      <c r="L68" s="564" t="s">
        <v>253</v>
      </c>
      <c r="M68" s="564" t="s">
        <v>177</v>
      </c>
      <c r="N68" s="52" t="str">
        <f>IF(AND('331-CT'!$E$7=TH!H68,OR(L68="331",M68="331")),"331",IF(AND(OR(L68="131",M68="131"),H68='131-CT'!$E$7),"131",""))</f>
        <v/>
      </c>
      <c r="O68" s="89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09"/>
      <c r="AC68" s="211" t="str">
        <f>IF(F68=VLOOKUP(F68,NXT!$C$12:$C$345,1,0),"","x")</f>
        <v/>
      </c>
    </row>
    <row r="69" spans="1:31" s="555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41664</v>
      </c>
      <c r="D69" s="184" t="s">
        <v>912</v>
      </c>
      <c r="E69" s="37">
        <v>41664</v>
      </c>
      <c r="F69" s="189" t="s">
        <v>420</v>
      </c>
      <c r="G69" s="460" t="s">
        <v>424</v>
      </c>
      <c r="H69" s="7" t="s">
        <v>425</v>
      </c>
      <c r="I69" s="251"/>
      <c r="J69" s="251"/>
      <c r="K69" s="38">
        <v>525300</v>
      </c>
      <c r="L69" s="564" t="s">
        <v>253</v>
      </c>
      <c r="M69" s="564" t="s">
        <v>365</v>
      </c>
      <c r="N69" s="52" t="str">
        <f>IF(AND('331-CT'!$E$7=TH!H69,OR(L69="331",M69="331")),"331",IF(AND(OR(L69="131",M69="131"),H69='131-CT'!$E$7),"131",""))</f>
        <v/>
      </c>
      <c r="O69" s="89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09"/>
      <c r="AC69" s="555" t="str">
        <f>IF(VLOOKUP(H69,DS_131,1,0)&lt;&gt;"","","x")</f>
        <v/>
      </c>
    </row>
    <row r="70" spans="1:31" s="555" customFormat="1" ht="15.75" customHeight="1">
      <c r="A70" s="204" t="str">
        <f>IF(B70&lt;&gt;"",IF(AND(B70&gt;=_TM1,B70&lt;=_TM2,OR(TH!L70="1111",TH!M70="1111")),TH!D70,""),"")</f>
        <v/>
      </c>
      <c r="B70" s="36">
        <f t="shared" ref="B70" si="23">IF(C70&lt;&gt;"",MONTH(C70),"")</f>
        <v>1</v>
      </c>
      <c r="C70" s="184">
        <f t="shared" ref="C70" si="24">E70</f>
        <v>41664</v>
      </c>
      <c r="D70" s="184"/>
      <c r="E70" s="37">
        <v>41664</v>
      </c>
      <c r="F70" s="192" t="s">
        <v>894</v>
      </c>
      <c r="G70" s="460" t="s">
        <v>424</v>
      </c>
      <c r="H70" s="7" t="s">
        <v>425</v>
      </c>
      <c r="I70" s="251"/>
      <c r="J70" s="251"/>
      <c r="K70" s="38">
        <v>5778300</v>
      </c>
      <c r="L70" s="564" t="s">
        <v>47</v>
      </c>
      <c r="M70" s="564" t="s">
        <v>253</v>
      </c>
      <c r="N70" s="52" t="str">
        <f>IF(AND('331-CT'!$E$7=TH!H70,OR(L70="331",M70="331")),"331",IF(AND(OR(L70="131",M70="131"),H70='131-CT'!$E$7),"131",""))</f>
        <v/>
      </c>
      <c r="O70" s="89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>x</v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09"/>
      <c r="AC70" s="555" t="str">
        <f>IF(VLOOKUP(H70,DS_131,1,0)&lt;&gt;"","","x")</f>
        <v/>
      </c>
    </row>
    <row r="71" spans="1:31" s="555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41664</v>
      </c>
      <c r="D71" s="184" t="s">
        <v>913</v>
      </c>
      <c r="E71" s="37">
        <v>41664</v>
      </c>
      <c r="F71" s="40" t="s">
        <v>426</v>
      </c>
      <c r="G71" s="460" t="s">
        <v>427</v>
      </c>
      <c r="H71" s="7" t="s">
        <v>907</v>
      </c>
      <c r="I71" s="251">
        <v>563</v>
      </c>
      <c r="J71" s="251">
        <v>12900</v>
      </c>
      <c r="K71" s="563">
        <f>ROUND(I71*J71,0)</f>
        <v>7262700</v>
      </c>
      <c r="L71" s="564" t="s">
        <v>253</v>
      </c>
      <c r="M71" s="564" t="s">
        <v>177</v>
      </c>
      <c r="N71" s="52" t="str">
        <f>IF(AND('331-CT'!$E$7=TH!H71,OR(L71="331",M71="331")),"331",IF(AND(OR(L71="131",M71="131"),H71='131-CT'!$E$7),"131",""))</f>
        <v/>
      </c>
      <c r="O71" s="89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09"/>
      <c r="AC71" s="211" t="str">
        <f>IF(F71=VLOOKUP(F71,NXT!$C$12:$C$345,1,0),"","x")</f>
        <v/>
      </c>
    </row>
    <row r="72" spans="1:31" s="555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41664</v>
      </c>
      <c r="D72" s="184" t="s">
        <v>913</v>
      </c>
      <c r="E72" s="37">
        <v>41664</v>
      </c>
      <c r="F72" s="40" t="s">
        <v>428</v>
      </c>
      <c r="G72" s="460" t="s">
        <v>427</v>
      </c>
      <c r="H72" s="7" t="s">
        <v>907</v>
      </c>
      <c r="I72" s="251">
        <v>234</v>
      </c>
      <c r="J72" s="251">
        <v>9800</v>
      </c>
      <c r="K72" s="563">
        <f>ROUND(I72*J72,0)</f>
        <v>2293200</v>
      </c>
      <c r="L72" s="564" t="s">
        <v>253</v>
      </c>
      <c r="M72" s="564" t="s">
        <v>177</v>
      </c>
      <c r="N72" s="52" t="str">
        <f>IF(AND('331-CT'!$E$7=TH!H72,OR(L72="331",M72="331")),"331",IF(AND(OR(L72="131",M72="131"),H72='131-CT'!$E$7),"131",""))</f>
        <v/>
      </c>
      <c r="O72" s="89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09"/>
      <c r="AC72" s="211" t="str">
        <f>IF(F72=VLOOKUP(F72,NXT!$C$12:$C$345,1,0),"","x")</f>
        <v/>
      </c>
      <c r="AD72" s="211"/>
    </row>
    <row r="73" spans="1:31" s="555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41664</v>
      </c>
      <c r="D73" s="184" t="s">
        <v>913</v>
      </c>
      <c r="E73" s="37">
        <v>41664</v>
      </c>
      <c r="F73" s="40" t="s">
        <v>429</v>
      </c>
      <c r="G73" s="460" t="s">
        <v>427</v>
      </c>
      <c r="H73" s="7" t="s">
        <v>907</v>
      </c>
      <c r="I73" s="251">
        <v>233</v>
      </c>
      <c r="J73" s="251">
        <v>6400</v>
      </c>
      <c r="K73" s="563">
        <f>ROUND(I73*J73,0)</f>
        <v>1491200</v>
      </c>
      <c r="L73" s="564" t="s">
        <v>253</v>
      </c>
      <c r="M73" s="564" t="s">
        <v>177</v>
      </c>
      <c r="N73" s="52" t="str">
        <f>IF(AND('331-CT'!$E$7=TH!H73,OR(L73="331",M73="331")),"331",IF(AND(OR(L73="131",M73="131"),H73='131-CT'!$E$7),"131",""))</f>
        <v/>
      </c>
      <c r="O73" s="89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09"/>
      <c r="AC73" s="211" t="str">
        <f>IF(F73=VLOOKUP(F73,NXT!$C$12:$C$345,1,0),"","x")</f>
        <v/>
      </c>
      <c r="AD73" s="211"/>
    </row>
    <row r="74" spans="1:31" s="555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41664</v>
      </c>
      <c r="D74" s="184" t="s">
        <v>913</v>
      </c>
      <c r="E74" s="184">
        <v>41664</v>
      </c>
      <c r="F74" s="189" t="s">
        <v>430</v>
      </c>
      <c r="G74" s="623" t="s">
        <v>427</v>
      </c>
      <c r="H74" s="7" t="s">
        <v>907</v>
      </c>
      <c r="I74" s="251">
        <v>308</v>
      </c>
      <c r="J74" s="251">
        <v>8600</v>
      </c>
      <c r="K74" s="563">
        <f>ROUND(I74*J74,0)</f>
        <v>2648800</v>
      </c>
      <c r="L74" s="564" t="s">
        <v>253</v>
      </c>
      <c r="M74" s="564" t="s">
        <v>177</v>
      </c>
      <c r="N74" s="52" t="str">
        <f>IF(AND('331-CT'!$E$7=TH!H74,OR(L74="331",M74="331")),"331",IF(AND(OR(L74="131",M74="131"),H74='131-CT'!$E$7),"131",""))</f>
        <v/>
      </c>
      <c r="O74" s="89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09"/>
      <c r="AC74" s="211" t="str">
        <f>IF(F74=VLOOKUP(F74,NXT!$C$12:$C$345,1,0),"","x")</f>
        <v/>
      </c>
      <c r="AD74" s="211"/>
    </row>
    <row r="75" spans="1:31" s="555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41664</v>
      </c>
      <c r="D75" s="184" t="s">
        <v>913</v>
      </c>
      <c r="E75" s="184">
        <v>41664</v>
      </c>
      <c r="F75" s="189" t="s">
        <v>420</v>
      </c>
      <c r="G75" s="623" t="s">
        <v>427</v>
      </c>
      <c r="H75" s="7" t="s">
        <v>907</v>
      </c>
      <c r="I75" s="251"/>
      <c r="J75" s="251"/>
      <c r="K75" s="563">
        <v>1369590</v>
      </c>
      <c r="L75" s="564" t="s">
        <v>253</v>
      </c>
      <c r="M75" s="564" t="s">
        <v>365</v>
      </c>
      <c r="N75" s="52" t="str">
        <f>IF(AND('331-CT'!$E$7=TH!H75,OR(L75="331",M75="331")),"331",IF(AND(OR(L75="131",M75="131"),H75='131-CT'!$E$7),"131",""))</f>
        <v/>
      </c>
      <c r="O75" s="89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09"/>
      <c r="AC75" s="555" t="str">
        <f>IF(VLOOKUP(H75,DS_131,1,0)&lt;&gt;"","","x")</f>
        <v/>
      </c>
      <c r="AD75" s="211"/>
    </row>
    <row r="76" spans="1:31" s="555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41664</v>
      </c>
      <c r="D76" s="184" t="s">
        <v>914</v>
      </c>
      <c r="E76" s="37">
        <v>41664</v>
      </c>
      <c r="F76" s="40" t="s">
        <v>431</v>
      </c>
      <c r="G76" s="460" t="s">
        <v>432</v>
      </c>
      <c r="H76" s="7" t="s">
        <v>908</v>
      </c>
      <c r="I76" s="251">
        <v>1038</v>
      </c>
      <c r="J76" s="251">
        <v>12000</v>
      </c>
      <c r="K76" s="563">
        <f>ROUND(I76*J76,0)</f>
        <v>12456000</v>
      </c>
      <c r="L76" s="564" t="s">
        <v>253</v>
      </c>
      <c r="M76" s="564" t="s">
        <v>177</v>
      </c>
      <c r="N76" s="52" t="str">
        <f>IF(AND('331-CT'!$E$7=TH!H76,OR(L76="331",M76="331")),"331",IF(AND(OR(L76="131",M76="131"),H76='131-CT'!$E$7),"131",""))</f>
        <v/>
      </c>
      <c r="O76" s="89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09"/>
      <c r="AC76" s="211" t="str">
        <f>IF(F76=VLOOKUP(F76,NXT!$C$12:$C$345,1,0),"","x")</f>
        <v/>
      </c>
    </row>
    <row r="77" spans="1:31" s="555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41664</v>
      </c>
      <c r="D77" s="184" t="s">
        <v>914</v>
      </c>
      <c r="E77" s="37">
        <v>41664</v>
      </c>
      <c r="F77" s="40" t="s">
        <v>420</v>
      </c>
      <c r="G77" s="460" t="s">
        <v>432</v>
      </c>
      <c r="H77" s="7" t="s">
        <v>908</v>
      </c>
      <c r="I77" s="251"/>
      <c r="J77" s="251"/>
      <c r="K77" s="38">
        <v>1245600</v>
      </c>
      <c r="L77" s="564" t="s">
        <v>253</v>
      </c>
      <c r="M77" s="564" t="s">
        <v>365</v>
      </c>
      <c r="N77" s="52" t="str">
        <f>IF(AND('331-CT'!$E$7=TH!H77,OR(L77="331",M77="331")),"331",IF(AND(OR(L77="131",M77="131"),H77='131-CT'!$E$7),"131",""))</f>
        <v/>
      </c>
      <c r="O77" s="89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09"/>
      <c r="AC77" s="555" t="str">
        <f>IF(VLOOKUP(H77,DS_131,1,0)&lt;&gt;"","","x")</f>
        <v/>
      </c>
    </row>
    <row r="78" spans="1:31" s="555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41664</v>
      </c>
      <c r="D78" s="184" t="s">
        <v>915</v>
      </c>
      <c r="E78" s="184">
        <v>41664</v>
      </c>
      <c r="F78" s="189" t="s">
        <v>433</v>
      </c>
      <c r="G78" s="623" t="s">
        <v>434</v>
      </c>
      <c r="H78" s="7" t="s">
        <v>435</v>
      </c>
      <c r="I78" s="251">
        <v>200</v>
      </c>
      <c r="J78" s="251">
        <v>21700</v>
      </c>
      <c r="K78" s="563">
        <f>ROUND(I78*J78,0)</f>
        <v>4340000</v>
      </c>
      <c r="L78" s="564" t="s">
        <v>253</v>
      </c>
      <c r="M78" s="564" t="s">
        <v>177</v>
      </c>
      <c r="N78" s="52" t="str">
        <f>IF(AND('331-CT'!$E$7=TH!H78,OR(L78="331",M78="331")),"331",IF(AND(OR(L78="131",M78="131"),H78='131-CT'!$E$7),"131",""))</f>
        <v/>
      </c>
      <c r="O78" s="89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09"/>
      <c r="AC78" s="211" t="str">
        <f>IF(F78=VLOOKUP(F78,NXT!$C$12:$C$345,1,0),"","x")</f>
        <v/>
      </c>
      <c r="AD78" s="211"/>
    </row>
    <row r="79" spans="1:31" s="555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41664</v>
      </c>
      <c r="D79" s="184" t="s">
        <v>915</v>
      </c>
      <c r="E79" s="184">
        <v>41664</v>
      </c>
      <c r="F79" s="189" t="s">
        <v>420</v>
      </c>
      <c r="G79" s="623" t="s">
        <v>434</v>
      </c>
      <c r="H79" s="7" t="s">
        <v>435</v>
      </c>
      <c r="I79" s="251"/>
      <c r="J79" s="251"/>
      <c r="K79" s="563">
        <v>434000</v>
      </c>
      <c r="L79" s="564" t="s">
        <v>253</v>
      </c>
      <c r="M79" s="564" t="s">
        <v>365</v>
      </c>
      <c r="N79" s="52" t="str">
        <f>IF(AND('331-CT'!$E$7=TH!H79,OR(L79="331",M79="331")),"331",IF(AND(OR(L79="131",M79="131"),H79='131-CT'!$E$7),"131",""))</f>
        <v/>
      </c>
      <c r="O79" s="89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09"/>
      <c r="AC79" s="555" t="str">
        <f>IF(VLOOKUP(H79,DS_131,1,0)&lt;&gt;"","","x")</f>
        <v/>
      </c>
      <c r="AD79" s="211"/>
    </row>
    <row r="80" spans="1:31" s="555" customFormat="1" ht="15.75" customHeight="1">
      <c r="A80" s="204" t="str">
        <f>IF(B80&lt;&gt;"",IF(AND(B80&gt;=_TM1,B80&lt;=_TM2,OR(TH!L80="1111",TH!M80="1111")),TH!D80,""),"")</f>
        <v/>
      </c>
      <c r="B80" s="36">
        <f t="shared" ref="B80" si="25">IF(C80&lt;&gt;"",MONTH(C80),"")</f>
        <v>1</v>
      </c>
      <c r="C80" s="184">
        <f t="shared" ref="C80" si="26">E80</f>
        <v>41664</v>
      </c>
      <c r="D80" s="184"/>
      <c r="E80" s="184">
        <v>41664</v>
      </c>
      <c r="F80" s="192" t="s">
        <v>894</v>
      </c>
      <c r="G80" s="623" t="s">
        <v>434</v>
      </c>
      <c r="H80" s="7" t="s">
        <v>435</v>
      </c>
      <c r="I80" s="251"/>
      <c r="J80" s="251"/>
      <c r="K80" s="563">
        <v>4774000</v>
      </c>
      <c r="L80" s="564" t="s">
        <v>47</v>
      </c>
      <c r="M80" s="564" t="s">
        <v>253</v>
      </c>
      <c r="N80" s="52" t="str">
        <f>IF(AND('331-CT'!$E$7=TH!H80,OR(L80="331",M80="331")),"331",IF(AND(OR(L80="131",M80="131"),H80='131-CT'!$E$7),"131",""))</f>
        <v/>
      </c>
      <c r="O80" s="89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09"/>
      <c r="AC80" s="555" t="str">
        <f>IF(VLOOKUP(H80,DS_131,1,0)&lt;&gt;"","","x")</f>
        <v/>
      </c>
      <c r="AD80" s="211"/>
    </row>
    <row r="81" spans="1:30" s="555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2</v>
      </c>
      <c r="C81" s="184">
        <f t="shared" si="20"/>
        <v>41684</v>
      </c>
      <c r="D81" s="184" t="s">
        <v>916</v>
      </c>
      <c r="E81" s="184">
        <v>41684</v>
      </c>
      <c r="F81" s="189" t="s">
        <v>436</v>
      </c>
      <c r="G81" s="623" t="s">
        <v>437</v>
      </c>
      <c r="H81" s="7" t="s">
        <v>438</v>
      </c>
      <c r="I81" s="251">
        <v>588</v>
      </c>
      <c r="J81" s="251">
        <v>10500</v>
      </c>
      <c r="K81" s="563">
        <f>ROUND(I81*J81,0)</f>
        <v>6174000</v>
      </c>
      <c r="L81" s="564" t="s">
        <v>253</v>
      </c>
      <c r="M81" s="564" t="s">
        <v>177</v>
      </c>
      <c r="N81" s="52" t="str">
        <f>IF(AND('331-CT'!$E$7=TH!H81,OR(L81="331",M81="331")),"331",IF(AND(OR(L81="131",M81="131"),H81='131-CT'!$E$7),"131",""))</f>
        <v/>
      </c>
      <c r="O81" s="89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09"/>
      <c r="AC81" s="211" t="str">
        <f>IF(F81=VLOOKUP(F81,NXT!$C$12:$C$345,1,0),"","x")</f>
        <v/>
      </c>
    </row>
    <row r="82" spans="1:30" s="555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2</v>
      </c>
      <c r="C82" s="184">
        <f t="shared" si="20"/>
        <v>41684</v>
      </c>
      <c r="D82" s="184" t="s">
        <v>916</v>
      </c>
      <c r="E82" s="184">
        <v>41684</v>
      </c>
      <c r="F82" s="189" t="s">
        <v>436</v>
      </c>
      <c r="G82" s="623" t="s">
        <v>437</v>
      </c>
      <c r="H82" s="7" t="s">
        <v>438</v>
      </c>
      <c r="I82" s="251">
        <v>598</v>
      </c>
      <c r="J82" s="251">
        <v>10500</v>
      </c>
      <c r="K82" s="563">
        <f>ROUND(I82*J82,0)</f>
        <v>6279000</v>
      </c>
      <c r="L82" s="564" t="s">
        <v>253</v>
      </c>
      <c r="M82" s="564" t="s">
        <v>177</v>
      </c>
      <c r="N82" s="52" t="str">
        <f>IF(AND('331-CT'!$E$7=TH!H82,OR(L82="331",M82="331")),"331",IF(AND(OR(L82="131",M82="131"),H82='131-CT'!$E$7),"131",""))</f>
        <v/>
      </c>
      <c r="O82" s="89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09"/>
      <c r="AC82" s="211" t="str">
        <f>IF(F82=VLOOKUP(F82,NXT!$C$12:$C$345,1,0),"","x")</f>
        <v/>
      </c>
    </row>
    <row r="83" spans="1:30" s="555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2</v>
      </c>
      <c r="C83" s="184">
        <f t="shared" si="20"/>
        <v>41684</v>
      </c>
      <c r="D83" s="184" t="s">
        <v>916</v>
      </c>
      <c r="E83" s="184">
        <v>41684</v>
      </c>
      <c r="F83" s="189" t="s">
        <v>420</v>
      </c>
      <c r="G83" s="623" t="s">
        <v>437</v>
      </c>
      <c r="H83" s="7" t="s">
        <v>438</v>
      </c>
      <c r="I83" s="251"/>
      <c r="J83" s="251"/>
      <c r="K83" s="563">
        <v>1245300</v>
      </c>
      <c r="L83" s="564" t="s">
        <v>253</v>
      </c>
      <c r="M83" s="564" t="s">
        <v>365</v>
      </c>
      <c r="N83" s="52" t="str">
        <f>IF(AND('331-CT'!$E$7=TH!H83,OR(L83="331",M83="331")),"331",IF(AND(OR(L83="131",M83="131"),H83='131-CT'!$E$7),"131",""))</f>
        <v/>
      </c>
      <c r="O83" s="89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09"/>
      <c r="AC83" s="555" t="str">
        <f>IF(VLOOKUP(H83,DS_131,1,0)&lt;&gt;"","","x")</f>
        <v/>
      </c>
    </row>
    <row r="84" spans="1:30" s="555" customFormat="1" ht="15.75" customHeight="1">
      <c r="A84" s="204" t="str">
        <f>IF(B84&lt;&gt;"",IF(AND(B84&gt;=_TM1,B84&lt;=_TM2,OR(TH!L84="1111",TH!M84="1111")),TH!D84,""),"")</f>
        <v/>
      </c>
      <c r="B84" s="36">
        <f t="shared" ref="B84" si="27">IF(C84&lt;&gt;"",MONTH(C84),"")</f>
        <v>2</v>
      </c>
      <c r="C84" s="184">
        <f t="shared" ref="C84" si="28">E84</f>
        <v>41684</v>
      </c>
      <c r="D84" s="184"/>
      <c r="E84" s="184">
        <v>41684</v>
      </c>
      <c r="F84" s="192" t="s">
        <v>894</v>
      </c>
      <c r="G84" s="623" t="s">
        <v>437</v>
      </c>
      <c r="H84" s="7" t="s">
        <v>438</v>
      </c>
      <c r="I84" s="251"/>
      <c r="J84" s="251"/>
      <c r="K84" s="563">
        <v>17569800</v>
      </c>
      <c r="L84" s="564" t="s">
        <v>47</v>
      </c>
      <c r="M84" s="564" t="s">
        <v>253</v>
      </c>
      <c r="N84" s="52" t="str">
        <f>IF(AND('331-CT'!$E$7=TH!H84,OR(L84="331",M84="331")),"331",IF(AND(OR(L84="131",M84="131"),H84='131-CT'!$E$7),"131",""))</f>
        <v/>
      </c>
      <c r="O84" s="89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>x</v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09"/>
      <c r="AC84" s="555" t="str">
        <f>IF(VLOOKUP(H84,DS_131,1,0)&lt;&gt;"","","x")</f>
        <v/>
      </c>
    </row>
    <row r="85" spans="1:30" s="555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2</v>
      </c>
      <c r="C85" s="184">
        <f t="shared" si="20"/>
        <v>41689</v>
      </c>
      <c r="D85" s="184" t="s">
        <v>917</v>
      </c>
      <c r="E85" s="184">
        <v>41689</v>
      </c>
      <c r="F85" s="189" t="s">
        <v>439</v>
      </c>
      <c r="G85" s="623" t="s">
        <v>440</v>
      </c>
      <c r="H85" s="7" t="s">
        <v>441</v>
      </c>
      <c r="I85" s="251">
        <v>160</v>
      </c>
      <c r="J85" s="251">
        <v>20400</v>
      </c>
      <c r="K85" s="563">
        <f>ROUND(I85*J85,0)</f>
        <v>3264000</v>
      </c>
      <c r="L85" s="564" t="s">
        <v>253</v>
      </c>
      <c r="M85" s="564" t="s">
        <v>177</v>
      </c>
      <c r="N85" s="52" t="str">
        <f>IF(AND('331-CT'!$E$7=TH!H85,OR(L85="331",M85="331")),"331",IF(AND(OR(L85="131",M85="131"),H85='131-CT'!$E$7),"131",""))</f>
        <v/>
      </c>
      <c r="O85" s="89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09"/>
      <c r="AC85" s="211" t="str">
        <f>IF(F85=VLOOKUP(F85,NXT!$C$12:$C$345,1,0),"","x")</f>
        <v/>
      </c>
    </row>
    <row r="86" spans="1:30" s="555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2</v>
      </c>
      <c r="C86" s="184">
        <f t="shared" si="20"/>
        <v>41689</v>
      </c>
      <c r="D86" s="184" t="s">
        <v>917</v>
      </c>
      <c r="E86" s="184">
        <v>41689</v>
      </c>
      <c r="F86" s="189" t="s">
        <v>420</v>
      </c>
      <c r="G86" s="565" t="s">
        <v>440</v>
      </c>
      <c r="H86" s="44" t="s">
        <v>441</v>
      </c>
      <c r="I86" s="251"/>
      <c r="J86" s="251"/>
      <c r="K86" s="563">
        <v>326400</v>
      </c>
      <c r="L86" s="564" t="s">
        <v>253</v>
      </c>
      <c r="M86" s="564" t="s">
        <v>365</v>
      </c>
      <c r="N86" s="52" t="str">
        <f>IF(AND('331-CT'!$E$7=TH!H86,OR(L86="331",M86="331")),"331",IF(AND(OR(L86="131",M86="131"),H86='131-CT'!$E$7),"131",""))</f>
        <v/>
      </c>
      <c r="O86" s="89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09"/>
      <c r="AC86" s="555" t="str">
        <f>IF(VLOOKUP(H86,DS_131,1,0)&lt;&gt;"","","x")</f>
        <v/>
      </c>
    </row>
    <row r="87" spans="1:30" s="555" customFormat="1" ht="15.75" customHeight="1">
      <c r="A87" s="204" t="str">
        <f>IF(B87&lt;&gt;"",IF(AND(B87&gt;=_TM1,B87&lt;=_TM2,OR(TH!L87="1111",TH!M87="1111")),TH!D87,""),"")</f>
        <v/>
      </c>
      <c r="B87" s="36">
        <f t="shared" ref="B87" si="29">IF(C87&lt;&gt;"",MONTH(C87),"")</f>
        <v>2</v>
      </c>
      <c r="C87" s="184">
        <f t="shared" ref="C87" si="30">E87</f>
        <v>41689</v>
      </c>
      <c r="D87" s="184"/>
      <c r="E87" s="184">
        <v>41689</v>
      </c>
      <c r="F87" s="192" t="s">
        <v>894</v>
      </c>
      <c r="G87" s="565" t="s">
        <v>440</v>
      </c>
      <c r="H87" s="44" t="s">
        <v>441</v>
      </c>
      <c r="I87" s="251"/>
      <c r="J87" s="251"/>
      <c r="K87" s="563">
        <v>3590400</v>
      </c>
      <c r="L87" s="564" t="s">
        <v>47</v>
      </c>
      <c r="M87" s="564" t="s">
        <v>253</v>
      </c>
      <c r="N87" s="52" t="str">
        <f>IF(AND('331-CT'!$E$7=TH!H87,OR(L87="331",M87="331")),"331",IF(AND(OR(L87="131",M87="131"),H87='131-CT'!$E$7),"131",""))</f>
        <v/>
      </c>
      <c r="O87" s="89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>x</v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09"/>
      <c r="AC87" s="555" t="str">
        <f>IF(VLOOKUP(H87,DS_131,1,0)&lt;&gt;"","","x")</f>
        <v/>
      </c>
    </row>
    <row r="88" spans="1:30" s="555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2</v>
      </c>
      <c r="C88" s="184">
        <f t="shared" si="20"/>
        <v>41690</v>
      </c>
      <c r="D88" s="184" t="s">
        <v>918</v>
      </c>
      <c r="E88" s="184">
        <v>41690</v>
      </c>
      <c r="F88" s="189" t="s">
        <v>423</v>
      </c>
      <c r="G88" s="623" t="s">
        <v>442</v>
      </c>
      <c r="H88" s="7" t="s">
        <v>425</v>
      </c>
      <c r="I88" s="251">
        <v>500</v>
      </c>
      <c r="J88" s="251">
        <v>10300</v>
      </c>
      <c r="K88" s="563">
        <f>ROUND(I88*J88,0)</f>
        <v>5150000</v>
      </c>
      <c r="L88" s="564" t="s">
        <v>253</v>
      </c>
      <c r="M88" s="564" t="s">
        <v>177</v>
      </c>
      <c r="N88" s="52" t="str">
        <f>IF(AND('331-CT'!$E$7=TH!H88,OR(L88="331",M88="331")),"331",IF(AND(OR(L88="131",M88="131"),H88='131-CT'!$E$7),"131",""))</f>
        <v/>
      </c>
      <c r="O88" s="89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09"/>
      <c r="AC88" s="211" t="str">
        <f>IF(F88=VLOOKUP(F88,NXT!$C$12:$C$345,1,0),"","x")</f>
        <v/>
      </c>
    </row>
    <row r="89" spans="1:30" s="555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2</v>
      </c>
      <c r="C89" s="184">
        <f t="shared" si="20"/>
        <v>41690</v>
      </c>
      <c r="D89" s="184" t="s">
        <v>918</v>
      </c>
      <c r="E89" s="184">
        <v>41690</v>
      </c>
      <c r="F89" s="189" t="s">
        <v>420</v>
      </c>
      <c r="G89" s="623" t="s">
        <v>442</v>
      </c>
      <c r="H89" s="7" t="s">
        <v>425</v>
      </c>
      <c r="I89" s="251"/>
      <c r="J89" s="251"/>
      <c r="K89" s="563">
        <v>515000</v>
      </c>
      <c r="L89" s="564" t="s">
        <v>253</v>
      </c>
      <c r="M89" s="564" t="s">
        <v>365</v>
      </c>
      <c r="N89" s="52" t="str">
        <f>IF(AND('331-CT'!$E$7=TH!H89,OR(L89="331",M89="331")),"331",IF(AND(OR(L89="131",M89="131"),H89='131-CT'!$E$7),"131",""))</f>
        <v/>
      </c>
      <c r="O89" s="89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09"/>
      <c r="AC89" s="555" t="str">
        <f>IF(VLOOKUP(H89,DS_131,1,0)&lt;&gt;"","","x")</f>
        <v/>
      </c>
      <c r="AD89" s="211"/>
    </row>
    <row r="90" spans="1:30" s="555" customFormat="1" ht="15.75" customHeight="1">
      <c r="A90" s="204" t="str">
        <f>IF(B90&lt;&gt;"",IF(AND(B90&gt;=_TM1,B90&lt;=_TM2,OR(TH!L90="1111",TH!M90="1111")),TH!D90,""),"")</f>
        <v/>
      </c>
      <c r="B90" s="36">
        <f t="shared" ref="B90" si="31">IF(C90&lt;&gt;"",MONTH(C90),"")</f>
        <v>2</v>
      </c>
      <c r="C90" s="184">
        <f t="shared" ref="C90" si="32">E90</f>
        <v>41690</v>
      </c>
      <c r="D90" s="184"/>
      <c r="E90" s="184">
        <v>41690</v>
      </c>
      <c r="F90" s="192" t="s">
        <v>894</v>
      </c>
      <c r="G90" s="623" t="s">
        <v>442</v>
      </c>
      <c r="H90" s="7" t="s">
        <v>425</v>
      </c>
      <c r="I90" s="251"/>
      <c r="J90" s="251"/>
      <c r="K90" s="38">
        <v>5665000</v>
      </c>
      <c r="L90" s="564" t="s">
        <v>47</v>
      </c>
      <c r="M90" s="564" t="s">
        <v>253</v>
      </c>
      <c r="N90" s="52" t="str">
        <f>IF(AND('331-CT'!$E$7=TH!H90,OR(L90="331",M90="331")),"331",IF(AND(OR(L90="131",M90="131"),H90='131-CT'!$E$7),"131",""))</f>
        <v/>
      </c>
      <c r="O90" s="89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09"/>
      <c r="AC90" s="555" t="str">
        <f>IF(VLOOKUP(H90,DS_131,1,0)&lt;&gt;"","","x")</f>
        <v/>
      </c>
      <c r="AD90" s="211"/>
    </row>
    <row r="91" spans="1:30" s="555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2</v>
      </c>
      <c r="C91" s="184">
        <f t="shared" si="20"/>
        <v>41691</v>
      </c>
      <c r="D91" s="184" t="s">
        <v>919</v>
      </c>
      <c r="E91" s="184">
        <v>41691</v>
      </c>
      <c r="F91" s="189" t="s">
        <v>436</v>
      </c>
      <c r="G91" s="623" t="s">
        <v>443</v>
      </c>
      <c r="H91" s="7" t="s">
        <v>438</v>
      </c>
      <c r="I91" s="251">
        <v>608</v>
      </c>
      <c r="J91" s="251">
        <v>10500</v>
      </c>
      <c r="K91" s="563">
        <f>ROUND(I91*J91,0)</f>
        <v>6384000</v>
      </c>
      <c r="L91" s="564" t="s">
        <v>253</v>
      </c>
      <c r="M91" s="564" t="s">
        <v>177</v>
      </c>
      <c r="N91" s="52" t="str">
        <f>IF(AND('331-CT'!$E$7=TH!H91,OR(L91="331",M91="331")),"331",IF(AND(OR(L91="131",M91="131"),H91='131-CT'!$E$7),"131",""))</f>
        <v/>
      </c>
      <c r="O91" s="89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09"/>
      <c r="AC91" s="211" t="str">
        <f>IF(F91=VLOOKUP(F91,NXT!$C$12:$C$345,1,0),"","x")</f>
        <v/>
      </c>
      <c r="AD91" s="211"/>
    </row>
    <row r="92" spans="1:30" s="555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2</v>
      </c>
      <c r="C92" s="184">
        <f t="shared" si="20"/>
        <v>41691</v>
      </c>
      <c r="D92" s="184" t="s">
        <v>919</v>
      </c>
      <c r="E92" s="184">
        <v>41691</v>
      </c>
      <c r="F92" s="189" t="s">
        <v>436</v>
      </c>
      <c r="G92" s="623" t="s">
        <v>443</v>
      </c>
      <c r="H92" s="7" t="s">
        <v>438</v>
      </c>
      <c r="I92" s="251">
        <v>633</v>
      </c>
      <c r="J92" s="251">
        <v>10500</v>
      </c>
      <c r="K92" s="563">
        <f>ROUND(I92*J92,0)</f>
        <v>6646500</v>
      </c>
      <c r="L92" s="564" t="s">
        <v>253</v>
      </c>
      <c r="M92" s="564" t="s">
        <v>177</v>
      </c>
      <c r="N92" s="52" t="str">
        <f>IF(AND('331-CT'!$E$7=TH!H92,OR(L92="331",M92="331")),"331",IF(AND(OR(L92="131",M92="131"),H92='131-CT'!$E$7),"131",""))</f>
        <v/>
      </c>
      <c r="O92" s="89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09"/>
      <c r="AC92" s="211" t="str">
        <f>IF(F92=VLOOKUP(F92,NXT!$C$12:$C$345,1,0),"","x")</f>
        <v/>
      </c>
      <c r="AD92" s="211"/>
    </row>
    <row r="93" spans="1:30" s="555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2</v>
      </c>
      <c r="C93" s="184">
        <f t="shared" si="20"/>
        <v>41691</v>
      </c>
      <c r="D93" s="184" t="s">
        <v>919</v>
      </c>
      <c r="E93" s="184">
        <v>41691</v>
      </c>
      <c r="F93" s="189" t="s">
        <v>420</v>
      </c>
      <c r="G93" s="623" t="s">
        <v>443</v>
      </c>
      <c r="H93" s="7" t="s">
        <v>438</v>
      </c>
      <c r="I93" s="251"/>
      <c r="J93" s="251"/>
      <c r="K93" s="563">
        <v>1303050</v>
      </c>
      <c r="L93" s="564" t="s">
        <v>253</v>
      </c>
      <c r="M93" s="564" t="s">
        <v>365</v>
      </c>
      <c r="N93" s="52" t="str">
        <f>IF(AND('331-CT'!$E$7=TH!H93,OR(L93="331",M93="331")),"331",IF(AND(OR(L93="131",M93="131"),H93='131-CT'!$E$7),"131",""))</f>
        <v/>
      </c>
      <c r="O93" s="89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09"/>
      <c r="AC93" s="555" t="str">
        <f>IF(VLOOKUP(H93,DS_131,1,0)&lt;&gt;"","","x")</f>
        <v/>
      </c>
      <c r="AD93" s="211"/>
    </row>
    <row r="94" spans="1:30" s="555" customFormat="1" ht="15.75" customHeight="1">
      <c r="A94" s="204" t="str">
        <f>IF(B94&lt;&gt;"",IF(AND(B94&gt;=_TM1,B94&lt;=_TM2,OR(TH!L94="1111",TH!M94="1111")),TH!D94,""),"")</f>
        <v/>
      </c>
      <c r="B94" s="36">
        <f t="shared" ref="B94" si="33">IF(C94&lt;&gt;"",MONTH(C94),"")</f>
        <v>2</v>
      </c>
      <c r="C94" s="184">
        <f t="shared" ref="C94" si="34">E94</f>
        <v>41691</v>
      </c>
      <c r="D94" s="184"/>
      <c r="E94" s="184">
        <v>41691</v>
      </c>
      <c r="F94" s="192" t="s">
        <v>894</v>
      </c>
      <c r="G94" s="623" t="s">
        <v>443</v>
      </c>
      <c r="H94" s="7" t="s">
        <v>438</v>
      </c>
      <c r="I94" s="251"/>
      <c r="J94" s="251"/>
      <c r="K94" s="563">
        <v>14333550</v>
      </c>
      <c r="L94" s="564" t="s">
        <v>47</v>
      </c>
      <c r="M94" s="564" t="s">
        <v>253</v>
      </c>
      <c r="N94" s="52" t="str">
        <f>IF(AND('331-CT'!$E$7=TH!H94,OR(L94="331",M94="331")),"331",IF(AND(OR(L94="131",M94="131"),H94='131-CT'!$E$7),"131",""))</f>
        <v/>
      </c>
      <c r="O94" s="89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>x</v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09"/>
      <c r="AC94" s="555" t="str">
        <f>IF(VLOOKUP(H94,DS_131,1,0)&lt;&gt;"","","x")</f>
        <v/>
      </c>
      <c r="AD94" s="211"/>
    </row>
    <row r="95" spans="1:30" s="555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2</v>
      </c>
      <c r="C95" s="184">
        <f t="shared" si="20"/>
        <v>41694</v>
      </c>
      <c r="D95" s="184" t="s">
        <v>920</v>
      </c>
      <c r="E95" s="184">
        <v>41694</v>
      </c>
      <c r="F95" s="189" t="s">
        <v>421</v>
      </c>
      <c r="G95" s="623" t="s">
        <v>444</v>
      </c>
      <c r="H95" s="7" t="s">
        <v>906</v>
      </c>
      <c r="I95" s="251">
        <v>490</v>
      </c>
      <c r="J95" s="251">
        <v>17300</v>
      </c>
      <c r="K95" s="563">
        <f>ROUND(I95*J95,0)</f>
        <v>8477000</v>
      </c>
      <c r="L95" s="564" t="s">
        <v>253</v>
      </c>
      <c r="M95" s="564" t="s">
        <v>177</v>
      </c>
      <c r="N95" s="52" t="str">
        <f>IF(AND('331-CT'!$E$7=TH!H95,OR(L95="331",M95="331")),"331",IF(AND(OR(L95="131",M95="131"),H95='131-CT'!$E$7),"131",""))</f>
        <v/>
      </c>
      <c r="O95" s="89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09"/>
      <c r="AC95" s="211" t="str">
        <f>IF(F95=VLOOKUP(F95,NXT!$C$12:$C$345,1,0),"","x")</f>
        <v/>
      </c>
      <c r="AD95" s="211"/>
    </row>
    <row r="96" spans="1:30" s="555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2</v>
      </c>
      <c r="C96" s="184">
        <f t="shared" si="20"/>
        <v>41694</v>
      </c>
      <c r="D96" s="184" t="s">
        <v>920</v>
      </c>
      <c r="E96" s="184">
        <v>41694</v>
      </c>
      <c r="F96" s="40" t="s">
        <v>445</v>
      </c>
      <c r="G96" s="623" t="s">
        <v>444</v>
      </c>
      <c r="H96" s="7" t="s">
        <v>906</v>
      </c>
      <c r="I96" s="251">
        <v>980</v>
      </c>
      <c r="J96" s="251">
        <v>1500</v>
      </c>
      <c r="K96" s="563">
        <f>ROUND(I96*J96,0)</f>
        <v>1470000</v>
      </c>
      <c r="L96" s="564" t="s">
        <v>253</v>
      </c>
      <c r="M96" s="564" t="s">
        <v>177</v>
      </c>
      <c r="N96" s="52" t="str">
        <f>IF(AND('331-CT'!$E$7=TH!H96,OR(L96="331",M96="331")),"331",IF(AND(OR(L96="131",M96="131"),H96='131-CT'!$E$7),"131",""))</f>
        <v/>
      </c>
      <c r="O96" s="89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09"/>
      <c r="AC96" s="211" t="str">
        <f>IF(F96=VLOOKUP(F96,NXT!$C$12:$C$345,1,0),"","x")</f>
        <v/>
      </c>
    </row>
    <row r="97" spans="1:31" s="555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2</v>
      </c>
      <c r="C97" s="184">
        <f t="shared" si="20"/>
        <v>41694</v>
      </c>
      <c r="D97" s="184" t="s">
        <v>920</v>
      </c>
      <c r="E97" s="184">
        <v>41694</v>
      </c>
      <c r="F97" s="40" t="s">
        <v>420</v>
      </c>
      <c r="G97" s="623" t="s">
        <v>444</v>
      </c>
      <c r="H97" s="7" t="s">
        <v>906</v>
      </c>
      <c r="I97" s="251"/>
      <c r="J97" s="251"/>
      <c r="K97" s="38">
        <v>994700</v>
      </c>
      <c r="L97" s="564" t="s">
        <v>253</v>
      </c>
      <c r="M97" s="564" t="s">
        <v>365</v>
      </c>
      <c r="N97" s="52" t="str">
        <f>IF(AND('331-CT'!$E$7=TH!H97,OR(L97="331",M97="331")),"331",IF(AND(OR(L97="131",M97="131"),H97='131-CT'!$E$7),"131",""))</f>
        <v/>
      </c>
      <c r="O97" s="89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09"/>
      <c r="AC97" s="555" t="str">
        <f>IF(VLOOKUP(H97,DS_131,1,0)&lt;&gt;"","","x")</f>
        <v/>
      </c>
    </row>
    <row r="98" spans="1:31" s="555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2</v>
      </c>
      <c r="C98" s="184">
        <f t="shared" si="20"/>
        <v>41697</v>
      </c>
      <c r="D98" s="184" t="s">
        <v>921</v>
      </c>
      <c r="E98" s="184">
        <v>41697</v>
      </c>
      <c r="F98" s="189" t="s">
        <v>446</v>
      </c>
      <c r="G98" s="623" t="s">
        <v>447</v>
      </c>
      <c r="H98" s="7" t="s">
        <v>909</v>
      </c>
      <c r="I98" s="251">
        <v>2500</v>
      </c>
      <c r="J98" s="251">
        <v>4800</v>
      </c>
      <c r="K98" s="563">
        <f>ROUND(I98*J98,0)</f>
        <v>12000000</v>
      </c>
      <c r="L98" s="564" t="s">
        <v>253</v>
      </c>
      <c r="M98" s="564" t="s">
        <v>177</v>
      </c>
      <c r="N98" s="52" t="str">
        <f>IF(AND('331-CT'!$E$7=TH!H98,OR(L98="331",M98="331")),"331",IF(AND(OR(L98="131",M98="131"),H98='131-CT'!$E$7),"131",""))</f>
        <v/>
      </c>
      <c r="O98" s="89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09"/>
      <c r="AC98" s="211" t="str">
        <f>IF(F98=VLOOKUP(F98,NXT!$C$12:$C$345,1,0),"","x")</f>
        <v/>
      </c>
      <c r="AD98" s="211"/>
    </row>
    <row r="99" spans="1:31" s="555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2</v>
      </c>
      <c r="C99" s="184">
        <f t="shared" si="20"/>
        <v>41697</v>
      </c>
      <c r="D99" s="184" t="s">
        <v>921</v>
      </c>
      <c r="E99" s="184">
        <v>41697</v>
      </c>
      <c r="F99" s="189" t="s">
        <v>420</v>
      </c>
      <c r="G99" s="623" t="s">
        <v>447</v>
      </c>
      <c r="H99" s="7" t="s">
        <v>909</v>
      </c>
      <c r="I99" s="251"/>
      <c r="J99" s="251"/>
      <c r="K99" s="563">
        <v>1200000</v>
      </c>
      <c r="L99" s="564" t="s">
        <v>253</v>
      </c>
      <c r="M99" s="564" t="s">
        <v>365</v>
      </c>
      <c r="N99" s="52" t="str">
        <f>IF(AND('331-CT'!$E$7=TH!H99,OR(L99="331",M99="331")),"331",IF(AND(OR(L99="131",M99="131"),H99='131-CT'!$E$7),"131",""))</f>
        <v/>
      </c>
      <c r="O99" s="89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09"/>
      <c r="AC99" s="555" t="str">
        <f>IF(VLOOKUP(H99,DS_131,1,0)&lt;&gt;"","","x")</f>
        <v/>
      </c>
      <c r="AD99" s="211"/>
    </row>
    <row r="100" spans="1:31" s="555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2</v>
      </c>
      <c r="C100" s="184">
        <f t="shared" si="20"/>
        <v>41698</v>
      </c>
      <c r="D100" s="184" t="s">
        <v>922</v>
      </c>
      <c r="E100" s="184">
        <v>41698</v>
      </c>
      <c r="F100" s="189" t="s">
        <v>448</v>
      </c>
      <c r="G100" s="623" t="s">
        <v>449</v>
      </c>
      <c r="H100" s="7" t="s">
        <v>907</v>
      </c>
      <c r="I100" s="251">
        <v>313</v>
      </c>
      <c r="J100" s="251">
        <v>7000</v>
      </c>
      <c r="K100" s="563">
        <f>ROUND(I100*J100,0)</f>
        <v>2191000</v>
      </c>
      <c r="L100" s="564" t="s">
        <v>253</v>
      </c>
      <c r="M100" s="564" t="s">
        <v>177</v>
      </c>
      <c r="N100" s="52" t="str">
        <f>IF(AND('331-CT'!$E$7=TH!H100,OR(L100="331",M100="331")),"331",IF(AND(OR(L100="131",M100="131"),H100='131-CT'!$E$7),"131",""))</f>
        <v/>
      </c>
      <c r="O100" s="89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09"/>
      <c r="AC100" s="211" t="str">
        <f>IF(F100=VLOOKUP(F100,NXT!$C$12:$C$345,1,0),"","x")</f>
        <v/>
      </c>
    </row>
    <row r="101" spans="1:31" s="555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2</v>
      </c>
      <c r="C101" s="184">
        <f t="shared" si="20"/>
        <v>41698</v>
      </c>
      <c r="D101" s="184" t="s">
        <v>922</v>
      </c>
      <c r="E101" s="184">
        <v>41698</v>
      </c>
      <c r="F101" s="189" t="s">
        <v>430</v>
      </c>
      <c r="G101" s="623" t="s">
        <v>449</v>
      </c>
      <c r="H101" s="7" t="s">
        <v>907</v>
      </c>
      <c r="I101" s="251">
        <v>586</v>
      </c>
      <c r="J101" s="251">
        <v>8600</v>
      </c>
      <c r="K101" s="563">
        <f>ROUND(I101*J101,0)</f>
        <v>5039600</v>
      </c>
      <c r="L101" s="564" t="s">
        <v>253</v>
      </c>
      <c r="M101" s="564" t="s">
        <v>177</v>
      </c>
      <c r="N101" s="52" t="str">
        <f>IF(AND('331-CT'!$E$7=TH!H101,OR(L101="331",M101="331")),"331",IF(AND(OR(L101="131",M101="131"),H101='131-CT'!$E$7),"131",""))</f>
        <v/>
      </c>
      <c r="O101" s="89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09"/>
      <c r="AC101" s="211" t="str">
        <f>IF(F101=VLOOKUP(F101,NXT!$C$12:$C$345,1,0),"","x")</f>
        <v/>
      </c>
    </row>
    <row r="102" spans="1:31" s="555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2</v>
      </c>
      <c r="C102" s="184">
        <f t="shared" si="20"/>
        <v>41698</v>
      </c>
      <c r="D102" s="184" t="s">
        <v>922</v>
      </c>
      <c r="E102" s="184">
        <v>41698</v>
      </c>
      <c r="F102" s="189" t="s">
        <v>450</v>
      </c>
      <c r="G102" s="623" t="s">
        <v>449</v>
      </c>
      <c r="H102" s="7" t="s">
        <v>907</v>
      </c>
      <c r="I102" s="251">
        <v>310</v>
      </c>
      <c r="J102" s="251">
        <v>13500</v>
      </c>
      <c r="K102" s="563">
        <f>ROUND(I102*J102,0)</f>
        <v>4185000</v>
      </c>
      <c r="L102" s="564" t="s">
        <v>253</v>
      </c>
      <c r="M102" s="564" t="s">
        <v>177</v>
      </c>
      <c r="N102" s="52" t="str">
        <f>IF(AND('331-CT'!$E$7=TH!H102,OR(L102="331",M102="331")),"331",IF(AND(OR(L102="131",M102="131"),H102='131-CT'!$E$7),"131",""))</f>
        <v/>
      </c>
      <c r="O102" s="89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09"/>
      <c r="AC102" s="211" t="str">
        <f>IF(F102=VLOOKUP(F102,NXT!$C$12:$C$345,1,0),"","x")</f>
        <v/>
      </c>
    </row>
    <row r="103" spans="1:31" s="555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2</v>
      </c>
      <c r="C103" s="184">
        <f t="shared" si="20"/>
        <v>41698</v>
      </c>
      <c r="D103" s="184" t="s">
        <v>922</v>
      </c>
      <c r="E103" s="184">
        <v>41698</v>
      </c>
      <c r="F103" s="189" t="s">
        <v>451</v>
      </c>
      <c r="G103" s="623" t="s">
        <v>449</v>
      </c>
      <c r="H103" s="7" t="s">
        <v>907</v>
      </c>
      <c r="I103" s="251">
        <v>200</v>
      </c>
      <c r="J103" s="251">
        <v>8000</v>
      </c>
      <c r="K103" s="563">
        <f>ROUND(I103*J103,0)</f>
        <v>1600000</v>
      </c>
      <c r="L103" s="564" t="s">
        <v>253</v>
      </c>
      <c r="M103" s="564" t="s">
        <v>177</v>
      </c>
      <c r="N103" s="52" t="str">
        <f>IF(AND('331-CT'!$E$7=TH!H103,OR(L103="331",M103="331")),"331",IF(AND(OR(L103="131",M103="131"),H103='131-CT'!$E$7),"131",""))</f>
        <v/>
      </c>
      <c r="O103" s="89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09"/>
      <c r="AC103" s="211" t="str">
        <f>IF(F103=VLOOKUP(F103,NXT!$C$12:$C$345,1,0),"","x")</f>
        <v/>
      </c>
    </row>
    <row r="104" spans="1:31" s="555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2</v>
      </c>
      <c r="C104" s="184">
        <f t="shared" si="20"/>
        <v>41698</v>
      </c>
      <c r="D104" s="184" t="s">
        <v>922</v>
      </c>
      <c r="E104" s="724">
        <v>41698</v>
      </c>
      <c r="F104" s="438" t="s">
        <v>420</v>
      </c>
      <c r="G104" s="40" t="s">
        <v>449</v>
      </c>
      <c r="H104" s="7" t="s">
        <v>907</v>
      </c>
      <c r="I104" s="251"/>
      <c r="J104" s="251"/>
      <c r="K104" s="563">
        <v>1301560</v>
      </c>
      <c r="L104" s="564" t="s">
        <v>253</v>
      </c>
      <c r="M104" s="564" t="s">
        <v>365</v>
      </c>
      <c r="N104" s="52" t="str">
        <f>IF(AND('331-CT'!$E$7=TH!H104,OR(L104="331",M104="331")),"331",IF(AND(OR(L104="131",M104="131"),H104='131-CT'!$E$7),"131",""))</f>
        <v/>
      </c>
      <c r="O104" s="89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09"/>
      <c r="AC104" s="555" t="str">
        <f>IF(VLOOKUP(H104,DS_131,1,0)&lt;&gt;"","","x")</f>
        <v/>
      </c>
      <c r="AD104" s="211"/>
      <c r="AE104" s="211"/>
    </row>
    <row r="105" spans="1:31" s="555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2</v>
      </c>
      <c r="C105" s="184">
        <f t="shared" si="20"/>
        <v>41698</v>
      </c>
      <c r="D105" s="184" t="s">
        <v>923</v>
      </c>
      <c r="E105" s="724">
        <v>41698</v>
      </c>
      <c r="F105" s="438" t="s">
        <v>452</v>
      </c>
      <c r="G105" s="40" t="s">
        <v>453</v>
      </c>
      <c r="H105" s="7" t="s">
        <v>454</v>
      </c>
      <c r="I105" s="251">
        <v>210</v>
      </c>
      <c r="J105" s="251">
        <v>13000</v>
      </c>
      <c r="K105" s="563">
        <f>ROUND(I105*J105,0)</f>
        <v>2730000</v>
      </c>
      <c r="L105" s="564" t="s">
        <v>253</v>
      </c>
      <c r="M105" s="564" t="s">
        <v>177</v>
      </c>
      <c r="N105" s="52" t="str">
        <f>IF(AND('331-CT'!$E$7=TH!H105,OR(L105="331",M105="331")),"331",IF(AND(OR(L105="131",M105="131"),H105='131-CT'!$E$7),"131",""))</f>
        <v>131</v>
      </c>
      <c r="O105" s="89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09"/>
      <c r="AC105" s="211" t="str">
        <f>IF(F105=VLOOKUP(F105,NXT!$C$12:$C$345,1,0),"","x")</f>
        <v/>
      </c>
      <c r="AD105" s="211"/>
      <c r="AE105" s="211"/>
    </row>
    <row r="106" spans="1:31" s="555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2</v>
      </c>
      <c r="C106" s="184">
        <f t="shared" si="20"/>
        <v>41698</v>
      </c>
      <c r="D106" s="184" t="s">
        <v>923</v>
      </c>
      <c r="E106" s="184">
        <v>41698</v>
      </c>
      <c r="F106" s="189" t="s">
        <v>455</v>
      </c>
      <c r="G106" s="623" t="s">
        <v>453</v>
      </c>
      <c r="H106" s="7" t="s">
        <v>454</v>
      </c>
      <c r="I106" s="251">
        <v>250</v>
      </c>
      <c r="J106" s="251">
        <v>14200</v>
      </c>
      <c r="K106" s="563">
        <f>ROUND(I106*J106,0)</f>
        <v>3550000</v>
      </c>
      <c r="L106" s="564" t="s">
        <v>253</v>
      </c>
      <c r="M106" s="564" t="s">
        <v>177</v>
      </c>
      <c r="N106" s="52" t="str">
        <f>IF(AND('331-CT'!$E$7=TH!H106,OR(L106="331",M106="331")),"331",IF(AND(OR(L106="131",M106="131"),H106='131-CT'!$E$7),"131",""))</f>
        <v>131</v>
      </c>
      <c r="O106" s="89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09"/>
      <c r="AC106" s="211" t="str">
        <f>IF(F106=VLOOKUP(F106,NXT!$C$12:$C$345,1,0),"","x")</f>
        <v/>
      </c>
    </row>
    <row r="107" spans="1:31" s="555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2</v>
      </c>
      <c r="C107" s="184">
        <f t="shared" si="20"/>
        <v>41698</v>
      </c>
      <c r="D107" s="184" t="s">
        <v>923</v>
      </c>
      <c r="E107" s="184">
        <v>41698</v>
      </c>
      <c r="F107" s="189" t="s">
        <v>456</v>
      </c>
      <c r="G107" s="623" t="s">
        <v>453</v>
      </c>
      <c r="H107" s="7" t="s">
        <v>454</v>
      </c>
      <c r="I107" s="251">
        <v>100</v>
      </c>
      <c r="J107" s="251">
        <v>8000</v>
      </c>
      <c r="K107" s="563">
        <f>ROUND(I107*J107,0)</f>
        <v>800000</v>
      </c>
      <c r="L107" s="564" t="s">
        <v>253</v>
      </c>
      <c r="M107" s="564" t="s">
        <v>177</v>
      </c>
      <c r="N107" s="52" t="str">
        <f>IF(AND('331-CT'!$E$7=TH!H107,OR(L107="331",M107="331")),"331",IF(AND(OR(L107="131",M107="131"),H107='131-CT'!$E$7),"131",""))</f>
        <v>131</v>
      </c>
      <c r="O107" s="89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09"/>
      <c r="AC107" s="211" t="str">
        <f>IF(F107=VLOOKUP(F107,NXT!$C$12:$C$345,1,0),"","x")</f>
        <v/>
      </c>
    </row>
    <row r="108" spans="1:31" s="555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2</v>
      </c>
      <c r="C108" s="184">
        <f t="shared" si="20"/>
        <v>41698</v>
      </c>
      <c r="D108" s="184" t="s">
        <v>923</v>
      </c>
      <c r="E108" s="184">
        <v>41698</v>
      </c>
      <c r="F108" s="189" t="s">
        <v>420</v>
      </c>
      <c r="G108" s="623" t="s">
        <v>453</v>
      </c>
      <c r="H108" s="7" t="s">
        <v>454</v>
      </c>
      <c r="I108" s="251"/>
      <c r="J108" s="251"/>
      <c r="K108" s="563">
        <v>708000</v>
      </c>
      <c r="L108" s="564" t="s">
        <v>253</v>
      </c>
      <c r="M108" s="564" t="s">
        <v>365</v>
      </c>
      <c r="N108" s="52" t="str">
        <f>IF(AND('331-CT'!$E$7=TH!H108,OR(L108="331",M108="331")),"331",IF(AND(OR(L108="131",M108="131"),H108='131-CT'!$E$7),"131",""))</f>
        <v>131</v>
      </c>
      <c r="O108" s="89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09"/>
      <c r="AC108" s="555" t="str">
        <f>IF(VLOOKUP(H108,DS_131,1,0)&lt;&gt;"","","x")</f>
        <v/>
      </c>
    </row>
    <row r="109" spans="1:31" s="555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2</v>
      </c>
      <c r="C109" s="184">
        <f t="shared" si="20"/>
        <v>41698</v>
      </c>
      <c r="D109" s="184" t="s">
        <v>924</v>
      </c>
      <c r="E109" s="184">
        <v>41698</v>
      </c>
      <c r="F109" s="189" t="s">
        <v>446</v>
      </c>
      <c r="G109" s="565" t="s">
        <v>457</v>
      </c>
      <c r="H109" s="44" t="s">
        <v>458</v>
      </c>
      <c r="I109" s="251">
        <v>500</v>
      </c>
      <c r="J109" s="251">
        <v>5700</v>
      </c>
      <c r="K109" s="563">
        <f>ROUND(I109*J109,0)</f>
        <v>2850000</v>
      </c>
      <c r="L109" s="564" t="s">
        <v>253</v>
      </c>
      <c r="M109" s="564" t="s">
        <v>177</v>
      </c>
      <c r="N109" s="52" t="str">
        <f>IF(AND('331-CT'!$E$7=TH!H109,OR(L109="331",M109="331")),"331",IF(AND(OR(L109="131",M109="131"),H109='131-CT'!$E$7),"131",""))</f>
        <v/>
      </c>
      <c r="O109" s="89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09"/>
      <c r="AC109" s="211" t="str">
        <f>IF(F109=VLOOKUP(F109,NXT!$C$12:$C$345,1,0),"","x")</f>
        <v/>
      </c>
    </row>
    <row r="110" spans="1:31" s="555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2</v>
      </c>
      <c r="C110" s="184">
        <f t="shared" si="20"/>
        <v>41698</v>
      </c>
      <c r="D110" s="184" t="s">
        <v>924</v>
      </c>
      <c r="E110" s="184">
        <v>41698</v>
      </c>
      <c r="F110" s="189" t="s">
        <v>420</v>
      </c>
      <c r="G110" s="623" t="s">
        <v>457</v>
      </c>
      <c r="H110" s="7" t="s">
        <v>458</v>
      </c>
      <c r="I110" s="251"/>
      <c r="J110" s="251"/>
      <c r="K110" s="563">
        <v>285000</v>
      </c>
      <c r="L110" s="564" t="s">
        <v>253</v>
      </c>
      <c r="M110" s="564" t="s">
        <v>365</v>
      </c>
      <c r="N110" s="52" t="str">
        <f>IF(AND('331-CT'!$E$7=TH!H110,OR(L110="331",M110="331")),"331",IF(AND(OR(L110="131",M110="131"),H110='131-CT'!$E$7),"131",""))</f>
        <v/>
      </c>
      <c r="O110" s="89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09"/>
      <c r="AC110" s="555" t="str">
        <f>IF(VLOOKUP(H110,DS_131,1,0)&lt;&gt;"","","x")</f>
        <v/>
      </c>
    </row>
    <row r="111" spans="1:31" s="555" customFormat="1" ht="15.75" customHeight="1">
      <c r="A111" s="204" t="str">
        <f>IF(B111&lt;&gt;"",IF(AND(B111&gt;=_TM1,B111&lt;=_TM2,OR(TH!L111="1111",TH!M111="1111")),TH!D111,""),"")</f>
        <v/>
      </c>
      <c r="B111" s="36">
        <f t="shared" ref="B111" si="35">IF(C111&lt;&gt;"",MONTH(C111),"")</f>
        <v>2</v>
      </c>
      <c r="C111" s="184">
        <f t="shared" ref="C111" si="36">E111</f>
        <v>41698</v>
      </c>
      <c r="D111" s="184"/>
      <c r="E111" s="184">
        <v>41698</v>
      </c>
      <c r="F111" s="192" t="s">
        <v>894</v>
      </c>
      <c r="G111" s="623" t="s">
        <v>457</v>
      </c>
      <c r="H111" s="7" t="s">
        <v>458</v>
      </c>
      <c r="I111" s="251"/>
      <c r="J111" s="251"/>
      <c r="K111" s="563">
        <v>3135000</v>
      </c>
      <c r="L111" s="564" t="s">
        <v>47</v>
      </c>
      <c r="M111" s="564" t="s">
        <v>253</v>
      </c>
      <c r="N111" s="52" t="str">
        <f>IF(AND('331-CT'!$E$7=TH!H111,OR(L111="331",M111="331")),"331",IF(AND(OR(L111="131",M111="131"),H111='131-CT'!$E$7),"131",""))</f>
        <v/>
      </c>
      <c r="O111" s="89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>x</v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09"/>
      <c r="AC111" s="555" t="str">
        <f>IF(VLOOKUP(H111,DS_131,1,0)&lt;&gt;"","","x")</f>
        <v/>
      </c>
    </row>
    <row r="112" spans="1:31" s="555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3</v>
      </c>
      <c r="C112" s="184">
        <f t="shared" si="20"/>
        <v>41702</v>
      </c>
      <c r="D112" s="184" t="s">
        <v>925</v>
      </c>
      <c r="E112" s="184">
        <v>41702</v>
      </c>
      <c r="F112" s="189" t="s">
        <v>459</v>
      </c>
      <c r="G112" s="623" t="s">
        <v>460</v>
      </c>
      <c r="H112" s="7" t="s">
        <v>461</v>
      </c>
      <c r="I112" s="251">
        <v>1115</v>
      </c>
      <c r="J112" s="251">
        <v>8740</v>
      </c>
      <c r="K112" s="563">
        <f>ROUND(I112*J112,0)</f>
        <v>9745100</v>
      </c>
      <c r="L112" s="564" t="s">
        <v>253</v>
      </c>
      <c r="M112" s="564" t="s">
        <v>177</v>
      </c>
      <c r="N112" s="52" t="str">
        <f>IF(AND('331-CT'!$E$7=TH!H112,OR(L112="331",M112="331")),"331",IF(AND(OR(L112="131",M112="131"),H112='131-CT'!$E$7),"131",""))</f>
        <v/>
      </c>
      <c r="O112" s="89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09"/>
      <c r="AC112" s="211" t="str">
        <f>IF(F112=VLOOKUP(F112,NXT!$C$12:$C$345,1,0),"","x")</f>
        <v/>
      </c>
    </row>
    <row r="113" spans="1:31" s="555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3</v>
      </c>
      <c r="C113" s="184">
        <f t="shared" si="20"/>
        <v>41702</v>
      </c>
      <c r="D113" s="184" t="s">
        <v>925</v>
      </c>
      <c r="E113" s="184">
        <v>41702</v>
      </c>
      <c r="F113" s="189" t="s">
        <v>420</v>
      </c>
      <c r="G113" s="623" t="s">
        <v>460</v>
      </c>
      <c r="H113" s="7" t="s">
        <v>461</v>
      </c>
      <c r="I113" s="251"/>
      <c r="J113" s="251"/>
      <c r="K113" s="563">
        <v>974510</v>
      </c>
      <c r="L113" s="564" t="s">
        <v>253</v>
      </c>
      <c r="M113" s="564" t="s">
        <v>365</v>
      </c>
      <c r="N113" s="52" t="str">
        <f>IF(AND('331-CT'!$E$7=TH!H113,OR(L113="331",M113="331")),"331",IF(AND(OR(L113="131",M113="131"),H113='131-CT'!$E$7),"131",""))</f>
        <v/>
      </c>
      <c r="O113" s="89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09"/>
      <c r="AC113" s="555" t="str">
        <f>IF(VLOOKUP(H113,DS_131,1,0)&lt;&gt;"","","x")</f>
        <v/>
      </c>
    </row>
    <row r="114" spans="1:31" s="555" customFormat="1" ht="15.75" customHeight="1">
      <c r="A114" s="204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184">
        <f t="shared" ref="C114" si="38">E114</f>
        <v>41702</v>
      </c>
      <c r="D114" s="184"/>
      <c r="E114" s="184">
        <v>41702</v>
      </c>
      <c r="F114" s="192" t="s">
        <v>894</v>
      </c>
      <c r="G114" s="623" t="s">
        <v>460</v>
      </c>
      <c r="H114" s="7" t="s">
        <v>461</v>
      </c>
      <c r="I114" s="251"/>
      <c r="J114" s="251"/>
      <c r="K114" s="563">
        <v>10719610</v>
      </c>
      <c r="L114" s="564" t="s">
        <v>47</v>
      </c>
      <c r="M114" s="564" t="s">
        <v>253</v>
      </c>
      <c r="N114" s="52" t="str">
        <f>IF(AND('331-CT'!$E$7=TH!H114,OR(L114="331",M114="331")),"331",IF(AND(OR(L114="131",M114="131"),H114='131-CT'!$E$7),"131",""))</f>
        <v/>
      </c>
      <c r="O114" s="89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09"/>
      <c r="AC114" s="555" t="str">
        <f>IF(VLOOKUP(H114,DS_131,1,0)&lt;&gt;"","","x")</f>
        <v/>
      </c>
    </row>
    <row r="115" spans="1:31" s="555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3</v>
      </c>
      <c r="C115" s="184">
        <f t="shared" si="20"/>
        <v>41704</v>
      </c>
      <c r="D115" s="184" t="s">
        <v>926</v>
      </c>
      <c r="E115" s="184">
        <v>41704</v>
      </c>
      <c r="F115" s="189" t="s">
        <v>423</v>
      </c>
      <c r="G115" s="623" t="s">
        <v>462</v>
      </c>
      <c r="H115" s="7" t="s">
        <v>425</v>
      </c>
      <c r="I115" s="251">
        <v>505</v>
      </c>
      <c r="J115" s="251">
        <v>10500</v>
      </c>
      <c r="K115" s="563">
        <f>ROUND(I115*J115,0)</f>
        <v>5302500</v>
      </c>
      <c r="L115" s="564" t="s">
        <v>253</v>
      </c>
      <c r="M115" s="564" t="s">
        <v>177</v>
      </c>
      <c r="N115" s="52" t="str">
        <f>IF(AND('331-CT'!$E$7=TH!H115,OR(L115="331",M115="331")),"331",IF(AND(OR(L115="131",M115="131"),H115='131-CT'!$E$7),"131",""))</f>
        <v/>
      </c>
      <c r="O115" s="89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09"/>
      <c r="AC115" s="211" t="str">
        <f>IF(F115=VLOOKUP(F115,NXT!$C$12:$C$345,1,0),"","x")</f>
        <v/>
      </c>
    </row>
    <row r="116" spans="1:31" s="555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3</v>
      </c>
      <c r="C116" s="184">
        <f t="shared" si="20"/>
        <v>41704</v>
      </c>
      <c r="D116" s="184" t="s">
        <v>926</v>
      </c>
      <c r="E116" s="184">
        <v>41704</v>
      </c>
      <c r="F116" s="189" t="s">
        <v>463</v>
      </c>
      <c r="G116" s="623" t="s">
        <v>462</v>
      </c>
      <c r="H116" s="7" t="s">
        <v>425</v>
      </c>
      <c r="I116" s="251">
        <v>520</v>
      </c>
      <c r="J116" s="251">
        <v>12500</v>
      </c>
      <c r="K116" s="563">
        <f>ROUND(I116*J116,0)</f>
        <v>6500000</v>
      </c>
      <c r="L116" s="564" t="s">
        <v>253</v>
      </c>
      <c r="M116" s="564" t="s">
        <v>177</v>
      </c>
      <c r="N116" s="52" t="str">
        <f>IF(AND('331-CT'!$E$7=TH!H116,OR(L116="331",M116="331")),"331",IF(AND(OR(L116="131",M116="131"),H116='131-CT'!$E$7),"131",""))</f>
        <v/>
      </c>
      <c r="O116" s="89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09"/>
      <c r="AC116" s="211" t="str">
        <f>IF(F116=VLOOKUP(F116,NXT!$C$12:$C$345,1,0),"","x")</f>
        <v/>
      </c>
    </row>
    <row r="117" spans="1:31" s="555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3</v>
      </c>
      <c r="C117" s="184">
        <f t="shared" si="20"/>
        <v>41704</v>
      </c>
      <c r="D117" s="184" t="s">
        <v>926</v>
      </c>
      <c r="E117" s="184">
        <v>41704</v>
      </c>
      <c r="F117" s="189" t="s">
        <v>420</v>
      </c>
      <c r="G117" s="623" t="s">
        <v>462</v>
      </c>
      <c r="H117" s="7" t="s">
        <v>425</v>
      </c>
      <c r="I117" s="251"/>
      <c r="J117" s="251"/>
      <c r="K117" s="563">
        <v>1180250</v>
      </c>
      <c r="L117" s="564" t="s">
        <v>253</v>
      </c>
      <c r="M117" s="564" t="s">
        <v>365</v>
      </c>
      <c r="N117" s="52" t="str">
        <f>IF(AND('331-CT'!$E$7=TH!H117,OR(L117="331",M117="331")),"331",IF(AND(OR(L117="131",M117="131"),H117='131-CT'!$E$7),"131",""))</f>
        <v/>
      </c>
      <c r="O117" s="89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09"/>
      <c r="AC117" s="555" t="str">
        <f>IF(VLOOKUP(H117,DS_131,1,0)&lt;&gt;"","","x")</f>
        <v/>
      </c>
    </row>
    <row r="118" spans="1:31" s="555" customFormat="1" ht="15.75" customHeight="1">
      <c r="A118" s="204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184">
        <f t="shared" ref="C118" si="40">E118</f>
        <v>41704</v>
      </c>
      <c r="D118" s="184"/>
      <c r="E118" s="184">
        <v>41704</v>
      </c>
      <c r="F118" s="192" t="s">
        <v>894</v>
      </c>
      <c r="G118" s="623" t="s">
        <v>462</v>
      </c>
      <c r="H118" s="7" t="s">
        <v>425</v>
      </c>
      <c r="I118" s="251"/>
      <c r="J118" s="251"/>
      <c r="K118" s="563">
        <v>12982750</v>
      </c>
      <c r="L118" s="564" t="s">
        <v>47</v>
      </c>
      <c r="M118" s="564" t="s">
        <v>253</v>
      </c>
      <c r="N118" s="52" t="str">
        <f>IF(AND('331-CT'!$E$7=TH!H118,OR(L118="331",M118="331")),"331",IF(AND(OR(L118="131",M118="131"),H118='131-CT'!$E$7),"131",""))</f>
        <v/>
      </c>
      <c r="O118" s="89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09"/>
      <c r="AC118" s="555" t="str">
        <f>IF(VLOOKUP(H118,DS_131,1,0)&lt;&gt;"","","x")</f>
        <v/>
      </c>
    </row>
    <row r="119" spans="1:31" s="555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3</v>
      </c>
      <c r="C119" s="184">
        <f t="shared" si="20"/>
        <v>41704</v>
      </c>
      <c r="D119" s="184" t="s">
        <v>927</v>
      </c>
      <c r="E119" s="184">
        <v>41704</v>
      </c>
      <c r="F119" s="189" t="s">
        <v>446</v>
      </c>
      <c r="G119" s="623" t="s">
        <v>464</v>
      </c>
      <c r="H119" s="7" t="s">
        <v>465</v>
      </c>
      <c r="I119" s="251">
        <v>1139</v>
      </c>
      <c r="J119" s="251">
        <v>4829</v>
      </c>
      <c r="K119" s="563">
        <f>ROUND(I119*J119,0)</f>
        <v>5500231</v>
      </c>
      <c r="L119" s="564" t="s">
        <v>253</v>
      </c>
      <c r="M119" s="564" t="s">
        <v>177</v>
      </c>
      <c r="N119" s="52" t="str">
        <f>IF(AND('331-CT'!$E$7=TH!H119,OR(L119="331",M119="331")),"331",IF(AND(OR(L119="131",M119="131"),H119='131-CT'!$E$7),"131",""))</f>
        <v/>
      </c>
      <c r="O119" s="89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09"/>
      <c r="AC119" s="211" t="str">
        <f>IF(F119=VLOOKUP(F119,NXT!$C$12:$C$345,1,0),"","x")</f>
        <v/>
      </c>
    </row>
    <row r="120" spans="1:31" s="555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3</v>
      </c>
      <c r="C120" s="184">
        <f t="shared" si="20"/>
        <v>41704</v>
      </c>
      <c r="D120" s="184" t="s">
        <v>927</v>
      </c>
      <c r="E120" s="184">
        <v>41704</v>
      </c>
      <c r="F120" s="189" t="s">
        <v>420</v>
      </c>
      <c r="G120" s="623" t="s">
        <v>464</v>
      </c>
      <c r="H120" s="7" t="s">
        <v>465</v>
      </c>
      <c r="I120" s="251"/>
      <c r="J120" s="251"/>
      <c r="K120" s="563">
        <v>550023</v>
      </c>
      <c r="L120" s="564" t="s">
        <v>253</v>
      </c>
      <c r="M120" s="564" t="s">
        <v>365</v>
      </c>
      <c r="N120" s="52" t="str">
        <f>IF(AND('331-CT'!$E$7=TH!H120,OR(L120="331",M120="331")),"331",IF(AND(OR(L120="131",M120="131"),H120='131-CT'!$E$7),"131",""))</f>
        <v/>
      </c>
      <c r="O120" s="89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09"/>
      <c r="AC120" s="555" t="str">
        <f>IF(VLOOKUP(H120,DS_131,1,0)&lt;&gt;"","","x")</f>
        <v/>
      </c>
    </row>
    <row r="121" spans="1:31" s="555" customFormat="1" ht="15.75" customHeight="1">
      <c r="A121" s="204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184">
        <f t="shared" ref="C121" si="42">E121</f>
        <v>41704</v>
      </c>
      <c r="D121" s="184"/>
      <c r="E121" s="184">
        <v>41704</v>
      </c>
      <c r="F121" s="192" t="s">
        <v>894</v>
      </c>
      <c r="G121" s="623" t="s">
        <v>464</v>
      </c>
      <c r="H121" s="7" t="s">
        <v>465</v>
      </c>
      <c r="I121" s="251"/>
      <c r="J121" s="251"/>
      <c r="K121" s="563">
        <v>6050254</v>
      </c>
      <c r="L121" s="564" t="s">
        <v>47</v>
      </c>
      <c r="M121" s="564" t="s">
        <v>253</v>
      </c>
      <c r="N121" s="52" t="str">
        <f>IF(AND('331-CT'!$E$7=TH!H121,OR(L121="331",M121="331")),"331",IF(AND(OR(L121="131",M121="131"),H121='131-CT'!$E$7),"131",""))</f>
        <v/>
      </c>
      <c r="O121" s="89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09"/>
      <c r="AC121" s="555" t="str">
        <f>IF(VLOOKUP(H121,DS_131,1,0)&lt;&gt;"","","x")</f>
        <v/>
      </c>
    </row>
    <row r="122" spans="1:31" s="555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3</v>
      </c>
      <c r="C122" s="184">
        <f t="shared" si="20"/>
        <v>41710</v>
      </c>
      <c r="D122" s="184" t="s">
        <v>928</v>
      </c>
      <c r="E122" s="184">
        <v>41710</v>
      </c>
      <c r="F122" s="189" t="s">
        <v>466</v>
      </c>
      <c r="G122" s="623" t="s">
        <v>467</v>
      </c>
      <c r="H122" s="7" t="s">
        <v>908</v>
      </c>
      <c r="I122" s="251">
        <v>1638</v>
      </c>
      <c r="J122" s="251">
        <v>4650</v>
      </c>
      <c r="K122" s="563">
        <f>ROUND(I122*J122,0)</f>
        <v>7616700</v>
      </c>
      <c r="L122" s="564" t="s">
        <v>253</v>
      </c>
      <c r="M122" s="564" t="s">
        <v>177</v>
      </c>
      <c r="N122" s="52" t="str">
        <f>IF(AND('331-CT'!$E$7=TH!H122,OR(L122="331",M122="331")),"331",IF(AND(OR(L122="131",M122="131"),H122='131-CT'!$E$7),"131",""))</f>
        <v/>
      </c>
      <c r="O122" s="89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09"/>
      <c r="AC122" s="211" t="str">
        <f>IF(F122=VLOOKUP(F122,NXT!$C$12:$C$345,1,0),"","x")</f>
        <v/>
      </c>
    </row>
    <row r="123" spans="1:31" s="555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3</v>
      </c>
      <c r="C123" s="184">
        <f t="shared" si="20"/>
        <v>41710</v>
      </c>
      <c r="D123" s="184" t="s">
        <v>928</v>
      </c>
      <c r="E123" s="184">
        <v>41710</v>
      </c>
      <c r="F123" s="189" t="s">
        <v>420</v>
      </c>
      <c r="G123" s="623" t="s">
        <v>467</v>
      </c>
      <c r="H123" s="7" t="s">
        <v>908</v>
      </c>
      <c r="I123" s="251"/>
      <c r="J123" s="251"/>
      <c r="K123" s="563">
        <v>761670</v>
      </c>
      <c r="L123" s="564" t="s">
        <v>253</v>
      </c>
      <c r="M123" s="564" t="s">
        <v>365</v>
      </c>
      <c r="N123" s="52" t="str">
        <f>IF(AND('331-CT'!$E$7=TH!H123,OR(L123="331",M123="331")),"331",IF(AND(OR(L123="131",M123="131"),H123='131-CT'!$E$7),"131",""))</f>
        <v/>
      </c>
      <c r="O123" s="89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09"/>
      <c r="AC123" s="555" t="str">
        <f>IF(VLOOKUP(H123,DS_131,1,0)&lt;&gt;"","","x")</f>
        <v/>
      </c>
    </row>
    <row r="124" spans="1:31" s="555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3</v>
      </c>
      <c r="C124" s="184">
        <f t="shared" si="20"/>
        <v>41718</v>
      </c>
      <c r="D124" s="184" t="s">
        <v>929</v>
      </c>
      <c r="E124" s="37">
        <v>41718</v>
      </c>
      <c r="F124" s="40" t="s">
        <v>446</v>
      </c>
      <c r="G124" s="460" t="s">
        <v>468</v>
      </c>
      <c r="H124" s="45" t="s">
        <v>469</v>
      </c>
      <c r="I124" s="251">
        <v>110</v>
      </c>
      <c r="J124" s="251">
        <v>4420</v>
      </c>
      <c r="K124" s="563">
        <f>ROUND(I124*J124,0)</f>
        <v>486200</v>
      </c>
      <c r="L124" s="564" t="s">
        <v>253</v>
      </c>
      <c r="M124" s="564" t="s">
        <v>177</v>
      </c>
      <c r="N124" s="52" t="str">
        <f>IF(AND('331-CT'!$E$7=TH!H124,OR(L124="331",M124="331")),"331",IF(AND(OR(L124="131",M124="131"),H124='131-CT'!$E$7),"131",""))</f>
        <v/>
      </c>
      <c r="O124" s="89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09"/>
      <c r="AC124" s="211" t="str">
        <f>IF(F124=VLOOKUP(F124,NXT!$C$12:$C$345,1,0),"","x")</f>
        <v/>
      </c>
      <c r="AD124" s="211"/>
      <c r="AE124" s="211"/>
    </row>
    <row r="125" spans="1:31" s="555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3</v>
      </c>
      <c r="C125" s="184">
        <f t="shared" si="20"/>
        <v>41718</v>
      </c>
      <c r="D125" s="184" t="s">
        <v>929</v>
      </c>
      <c r="E125" s="37">
        <v>41718</v>
      </c>
      <c r="F125" s="40" t="s">
        <v>470</v>
      </c>
      <c r="G125" s="460" t="s">
        <v>468</v>
      </c>
      <c r="H125" s="45" t="s">
        <v>469</v>
      </c>
      <c r="I125" s="251">
        <v>880</v>
      </c>
      <c r="J125" s="251">
        <v>5720</v>
      </c>
      <c r="K125" s="563">
        <f>ROUND(I125*J125,0)</f>
        <v>5033600</v>
      </c>
      <c r="L125" s="564" t="s">
        <v>253</v>
      </c>
      <c r="M125" s="564" t="s">
        <v>177</v>
      </c>
      <c r="N125" s="52" t="str">
        <f>IF(AND('331-CT'!$E$7=TH!H125,OR(L125="331",M125="331")),"331",IF(AND(OR(L125="131",M125="131"),H125='131-CT'!$E$7),"131",""))</f>
        <v/>
      </c>
      <c r="O125" s="89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09"/>
      <c r="AC125" s="211" t="str">
        <f>IF(F125=VLOOKUP(F125,NXT!$C$12:$C$345,1,0),"","x")</f>
        <v/>
      </c>
      <c r="AD125" s="211"/>
      <c r="AE125" s="211"/>
    </row>
    <row r="126" spans="1:31" s="555" customFormat="1" ht="15.75" customHeight="1">
      <c r="A126" s="204" t="str">
        <f>IF(B126&lt;&gt;"",IF(AND(B126&gt;=_TM1,B126&lt;=_TM2,OR(TH!L126="1111",TH!M126="1111")),TH!D126,""),"")</f>
        <v/>
      </c>
      <c r="B126" s="36">
        <f t="shared" si="19"/>
        <v>3</v>
      </c>
      <c r="C126" s="184">
        <f t="shared" si="20"/>
        <v>41718</v>
      </c>
      <c r="D126" s="184" t="s">
        <v>929</v>
      </c>
      <c r="E126" s="184">
        <v>41718</v>
      </c>
      <c r="F126" s="189" t="s">
        <v>420</v>
      </c>
      <c r="G126" s="565" t="s">
        <v>468</v>
      </c>
      <c r="H126" s="44" t="s">
        <v>469</v>
      </c>
      <c r="I126" s="251"/>
      <c r="J126" s="251"/>
      <c r="K126" s="563">
        <v>551980</v>
      </c>
      <c r="L126" s="564" t="s">
        <v>253</v>
      </c>
      <c r="M126" s="564" t="s">
        <v>365</v>
      </c>
      <c r="N126" s="52" t="str">
        <f>IF(AND('331-CT'!$E$7=TH!H126,OR(L126="331",M126="331")),"331",IF(AND(OR(L126="131",M126="131"),H126='131-CT'!$E$7),"131",""))</f>
        <v/>
      </c>
      <c r="O126" s="89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09"/>
      <c r="AC126" s="555" t="str">
        <f>IF(VLOOKUP(H126,DS_131,1,0)&lt;&gt;"","","x")</f>
        <v/>
      </c>
    </row>
    <row r="127" spans="1:31" s="555" customFormat="1" ht="15.75" customHeight="1">
      <c r="A127" s="204" t="str">
        <f>IF(B127&lt;&gt;"",IF(AND(B127&gt;=_TM1,B127&lt;=_TM2,OR(TH!L127="1111",TH!M127="1111")),TH!D127,""),"")</f>
        <v/>
      </c>
      <c r="B127" s="36">
        <f t="shared" si="19"/>
        <v>3</v>
      </c>
      <c r="C127" s="184">
        <f t="shared" si="20"/>
        <v>41720</v>
      </c>
      <c r="D127" s="184" t="s">
        <v>930</v>
      </c>
      <c r="E127" s="184">
        <v>41720</v>
      </c>
      <c r="F127" s="189" t="s">
        <v>446</v>
      </c>
      <c r="G127" s="623" t="s">
        <v>471</v>
      </c>
      <c r="H127" s="7" t="s">
        <v>472</v>
      </c>
      <c r="I127" s="251">
        <v>214</v>
      </c>
      <c r="J127" s="251">
        <v>19000</v>
      </c>
      <c r="K127" s="563">
        <f>ROUND(I127*J127,0)</f>
        <v>4066000</v>
      </c>
      <c r="L127" s="564" t="s">
        <v>253</v>
      </c>
      <c r="M127" s="564" t="s">
        <v>177</v>
      </c>
      <c r="N127" s="52" t="str">
        <f>IF(AND('331-CT'!$E$7=TH!H127,OR(L127="331",M127="331")),"331",IF(AND(OR(L127="131",M127="131"),H127='131-CT'!$E$7),"131",""))</f>
        <v/>
      </c>
      <c r="O127" s="89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09"/>
      <c r="AC127" s="211" t="str">
        <f>IF(F127=VLOOKUP(F127,NXT!$C$12:$C$345,1,0),"","x")</f>
        <v/>
      </c>
    </row>
    <row r="128" spans="1:31" s="555" customFormat="1" ht="15.75" customHeight="1">
      <c r="A128" s="204" t="str">
        <f>IF(B128&lt;&gt;"",IF(AND(B128&gt;=_TM1,B128&lt;=_TM2,OR(TH!L128="1111",TH!M128="1111")),TH!D128,""),"")</f>
        <v/>
      </c>
      <c r="B128" s="36">
        <f t="shared" si="19"/>
        <v>3</v>
      </c>
      <c r="C128" s="184">
        <f t="shared" si="20"/>
        <v>41720</v>
      </c>
      <c r="D128" s="184" t="s">
        <v>930</v>
      </c>
      <c r="E128" s="184">
        <v>41720</v>
      </c>
      <c r="F128" s="189" t="s">
        <v>420</v>
      </c>
      <c r="G128" s="623" t="s">
        <v>471</v>
      </c>
      <c r="H128" s="7" t="s">
        <v>472</v>
      </c>
      <c r="I128" s="251"/>
      <c r="J128" s="251"/>
      <c r="K128" s="563">
        <v>406600</v>
      </c>
      <c r="L128" s="564" t="s">
        <v>253</v>
      </c>
      <c r="M128" s="564" t="s">
        <v>365</v>
      </c>
      <c r="N128" s="52" t="str">
        <f>IF(AND('331-CT'!$E$7=TH!H128,OR(L128="331",M128="331")),"331",IF(AND(OR(L128="131",M128="131"),H128='131-CT'!$E$7),"131",""))</f>
        <v/>
      </c>
      <c r="O128" s="89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09"/>
      <c r="AC128" s="555" t="str">
        <f>IF(VLOOKUP(H128,DS_131,1,0)&lt;&gt;"","","x")</f>
        <v/>
      </c>
    </row>
    <row r="129" spans="1:31" s="555" customFormat="1" ht="15.75" customHeight="1">
      <c r="A129" s="204" t="str">
        <f>IF(B129&lt;&gt;"",IF(AND(B129&gt;=_TM1,B129&lt;=_TM2,OR(TH!L129="1111",TH!M129="1111")),TH!D129,""),"")</f>
        <v/>
      </c>
      <c r="B129" s="36">
        <f t="shared" ref="B129" si="43">IF(C129&lt;&gt;"",MONTH(C129),"")</f>
        <v>3</v>
      </c>
      <c r="C129" s="184">
        <f t="shared" ref="C129" si="44">E129</f>
        <v>41720</v>
      </c>
      <c r="D129" s="184"/>
      <c r="E129" s="184">
        <v>41720</v>
      </c>
      <c r="F129" s="192" t="s">
        <v>894</v>
      </c>
      <c r="G129" s="623" t="s">
        <v>471</v>
      </c>
      <c r="H129" s="7" t="s">
        <v>472</v>
      </c>
      <c r="I129" s="251"/>
      <c r="J129" s="251"/>
      <c r="K129" s="563">
        <v>4472600</v>
      </c>
      <c r="L129" s="564" t="s">
        <v>47</v>
      </c>
      <c r="M129" s="564" t="s">
        <v>253</v>
      </c>
      <c r="N129" s="52" t="str">
        <f>IF(AND('331-CT'!$E$7=TH!H129,OR(L129="331",M129="331")),"331",IF(AND(OR(L129="131",M129="131"),H129='131-CT'!$E$7),"131",""))</f>
        <v/>
      </c>
      <c r="O129" s="89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>x</v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09"/>
      <c r="AC129" s="555" t="str">
        <f>IF(VLOOKUP(H129,DS_131,1,0)&lt;&gt;"","","x")</f>
        <v/>
      </c>
    </row>
    <row r="130" spans="1:31" s="555" customFormat="1" ht="15.75" customHeight="1">
      <c r="A130" s="204" t="str">
        <f>IF(B130&lt;&gt;"",IF(AND(B130&gt;=_TM1,B130&lt;=_TM2,OR(TH!L130="1111",TH!M130="1111")),TH!D130,""),"")</f>
        <v/>
      </c>
      <c r="B130" s="36">
        <f t="shared" si="19"/>
        <v>3</v>
      </c>
      <c r="C130" s="184">
        <f t="shared" si="20"/>
        <v>41724</v>
      </c>
      <c r="D130" s="184" t="s">
        <v>931</v>
      </c>
      <c r="E130" s="184">
        <v>41724</v>
      </c>
      <c r="F130" s="189" t="s">
        <v>473</v>
      </c>
      <c r="G130" s="565" t="s">
        <v>474</v>
      </c>
      <c r="H130" s="7" t="s">
        <v>908</v>
      </c>
      <c r="I130" s="251">
        <v>1029</v>
      </c>
      <c r="J130" s="251">
        <v>12000</v>
      </c>
      <c r="K130" s="563">
        <f>ROUND(I130*J130,0)</f>
        <v>12348000</v>
      </c>
      <c r="L130" s="564" t="s">
        <v>253</v>
      </c>
      <c r="M130" s="564" t="s">
        <v>177</v>
      </c>
      <c r="N130" s="52" t="str">
        <f>IF(AND('331-CT'!$E$7=TH!H130,OR(L130="331",M130="331")),"331",IF(AND(OR(L130="131",M130="131"),H130='131-CT'!$E$7),"131",""))</f>
        <v/>
      </c>
      <c r="O130" s="89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09"/>
      <c r="AC130" s="211" t="str">
        <f>IF(F130=VLOOKUP(F130,NXT!$C$12:$C$345,1,0),"","x")</f>
        <v/>
      </c>
    </row>
    <row r="131" spans="1:31" s="555" customFormat="1" ht="15.75" customHeight="1">
      <c r="A131" s="204" t="str">
        <f>IF(B131&lt;&gt;"",IF(AND(B131&gt;=_TM1,B131&lt;=_TM2,OR(TH!L131="1111",TH!M131="1111")),TH!D131,""),"")</f>
        <v/>
      </c>
      <c r="B131" s="36">
        <f t="shared" si="19"/>
        <v>3</v>
      </c>
      <c r="C131" s="184">
        <f t="shared" si="20"/>
        <v>41724</v>
      </c>
      <c r="D131" s="184" t="s">
        <v>931</v>
      </c>
      <c r="E131" s="37">
        <v>41724</v>
      </c>
      <c r="F131" s="189" t="s">
        <v>420</v>
      </c>
      <c r="G131" s="460" t="s">
        <v>474</v>
      </c>
      <c r="H131" s="7" t="s">
        <v>908</v>
      </c>
      <c r="I131" s="253"/>
      <c r="J131" s="251"/>
      <c r="K131" s="563">
        <v>1234800</v>
      </c>
      <c r="L131" s="564" t="s">
        <v>253</v>
      </c>
      <c r="M131" s="564" t="s">
        <v>365</v>
      </c>
      <c r="N131" s="52" t="str">
        <f>IF(AND('331-CT'!$E$7=TH!H131,OR(L131="331",M131="331")),"331",IF(AND(OR(L131="131",M131="131"),H131='131-CT'!$E$7),"131",""))</f>
        <v/>
      </c>
      <c r="O131" s="89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09"/>
      <c r="AC131" s="555" t="str">
        <f>IF(VLOOKUP(H131,DS_131,1,0)&lt;&gt;"","","x")</f>
        <v/>
      </c>
      <c r="AD131" s="211"/>
      <c r="AE131" s="211"/>
    </row>
    <row r="132" spans="1:31" s="555" customFormat="1" ht="15.75" customHeight="1">
      <c r="A132" s="204" t="str">
        <f>IF(B132&lt;&gt;"",IF(AND(B132&gt;=_TM1,B132&lt;=_TM2,OR(TH!L132="1111",TH!M132="1111")),TH!D132,""),"")</f>
        <v/>
      </c>
      <c r="B132" s="36">
        <f t="shared" si="19"/>
        <v>3</v>
      </c>
      <c r="C132" s="184">
        <f t="shared" si="20"/>
        <v>41728</v>
      </c>
      <c r="D132" s="184" t="s">
        <v>932</v>
      </c>
      <c r="E132" s="37">
        <v>41728</v>
      </c>
      <c r="F132" s="189" t="s">
        <v>475</v>
      </c>
      <c r="G132" s="460" t="s">
        <v>476</v>
      </c>
      <c r="H132" s="7" t="s">
        <v>477</v>
      </c>
      <c r="I132" s="251">
        <v>400</v>
      </c>
      <c r="J132" s="253">
        <v>1260</v>
      </c>
      <c r="K132" s="563">
        <f>ROUND(I132*J132,0)</f>
        <v>504000</v>
      </c>
      <c r="L132" s="564" t="s">
        <v>253</v>
      </c>
      <c r="M132" s="564" t="s">
        <v>177</v>
      </c>
      <c r="N132" s="52" t="str">
        <f>IF(AND('331-CT'!$E$7=TH!H132,OR(L132="331",M132="331")),"331",IF(AND(OR(L132="131",M132="131"),H132='131-CT'!$E$7),"131",""))</f>
        <v/>
      </c>
      <c r="O132" s="89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09"/>
      <c r="AC132" s="211" t="str">
        <f>IF(F132=VLOOKUP(F132,NXT!$C$12:$C$345,1,0),"","x")</f>
        <v/>
      </c>
      <c r="AD132" s="211"/>
      <c r="AE132" s="211"/>
    </row>
    <row r="133" spans="1:31" s="555" customFormat="1" ht="15.75" customHeight="1">
      <c r="A133" s="204" t="str">
        <f>IF(B133&lt;&gt;"",IF(AND(B133&gt;=_TM1,B133&lt;=_TM2,OR(TH!L133="1111",TH!M133="1111")),TH!D133,""),"")</f>
        <v/>
      </c>
      <c r="B133" s="36">
        <f t="shared" si="19"/>
        <v>3</v>
      </c>
      <c r="C133" s="184">
        <f t="shared" si="20"/>
        <v>41728</v>
      </c>
      <c r="D133" s="184" t="s">
        <v>932</v>
      </c>
      <c r="E133" s="37">
        <v>41728</v>
      </c>
      <c r="F133" s="189" t="s">
        <v>478</v>
      </c>
      <c r="G133" s="460" t="s">
        <v>476</v>
      </c>
      <c r="H133" s="7" t="s">
        <v>477</v>
      </c>
      <c r="I133" s="251">
        <v>600</v>
      </c>
      <c r="J133" s="253">
        <v>1300</v>
      </c>
      <c r="K133" s="563">
        <f>ROUND(I133*J133,0)</f>
        <v>780000</v>
      </c>
      <c r="L133" s="564" t="s">
        <v>253</v>
      </c>
      <c r="M133" s="564" t="s">
        <v>177</v>
      </c>
      <c r="N133" s="52" t="str">
        <f>IF(AND('331-CT'!$E$7=TH!H133,OR(L133="331",M133="331")),"331",IF(AND(OR(L133="131",M133="131"),H133='131-CT'!$E$7),"131",""))</f>
        <v/>
      </c>
      <c r="O133" s="89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09"/>
      <c r="AC133" s="211" t="str">
        <f>IF(F133=VLOOKUP(F133,NXT!$C$12:$C$345,1,0),"","x")</f>
        <v/>
      </c>
      <c r="AD133" s="211"/>
      <c r="AE133" s="211"/>
    </row>
    <row r="134" spans="1:31" s="555" customFormat="1" ht="15.75" customHeight="1">
      <c r="A134" s="204" t="str">
        <f>IF(B134&lt;&gt;"",IF(AND(B134&gt;=_TM1,B134&lt;=_TM2,OR(TH!L134="1111",TH!M134="1111")),TH!D134,""),"")</f>
        <v/>
      </c>
      <c r="B134" s="36">
        <f t="shared" si="19"/>
        <v>3</v>
      </c>
      <c r="C134" s="184">
        <f t="shared" si="20"/>
        <v>41728</v>
      </c>
      <c r="D134" s="184" t="s">
        <v>932</v>
      </c>
      <c r="E134" s="37">
        <v>41728</v>
      </c>
      <c r="F134" s="189" t="s">
        <v>479</v>
      </c>
      <c r="G134" s="460" t="s">
        <v>476</v>
      </c>
      <c r="H134" s="7" t="s">
        <v>477</v>
      </c>
      <c r="I134" s="251">
        <v>400</v>
      </c>
      <c r="J134" s="253">
        <v>760</v>
      </c>
      <c r="K134" s="563">
        <f>ROUND(I134*J134,0)</f>
        <v>304000</v>
      </c>
      <c r="L134" s="564" t="s">
        <v>253</v>
      </c>
      <c r="M134" s="564" t="s">
        <v>177</v>
      </c>
      <c r="N134" s="52" t="str">
        <f>IF(AND('331-CT'!$E$7=TH!H134,OR(L134="331",M134="331")),"331",IF(AND(OR(L134="131",M134="131"),H134='131-CT'!$E$7),"131",""))</f>
        <v/>
      </c>
      <c r="O134" s="89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09"/>
      <c r="AC134" s="211" t="str">
        <f>IF(F134=VLOOKUP(F134,NXT!$C$12:$C$345,1,0),"","x")</f>
        <v/>
      </c>
      <c r="AD134" s="211"/>
      <c r="AE134" s="211"/>
    </row>
    <row r="135" spans="1:31" s="555" customFormat="1" ht="15.75" customHeight="1">
      <c r="A135" s="204" t="str">
        <f>IF(B135&lt;&gt;"",IF(AND(B135&gt;=_TM1,B135&lt;=_TM2,OR(TH!L135="1111",TH!M135="1111")),TH!D135,""),"")</f>
        <v/>
      </c>
      <c r="B135" s="36">
        <f t="shared" si="19"/>
        <v>3</v>
      </c>
      <c r="C135" s="184">
        <f t="shared" si="20"/>
        <v>41728</v>
      </c>
      <c r="D135" s="184" t="s">
        <v>932</v>
      </c>
      <c r="E135" s="37">
        <v>41728</v>
      </c>
      <c r="F135" s="189" t="s">
        <v>480</v>
      </c>
      <c r="G135" s="460" t="s">
        <v>476</v>
      </c>
      <c r="H135" s="7" t="s">
        <v>477</v>
      </c>
      <c r="I135" s="251">
        <v>50</v>
      </c>
      <c r="J135" s="253">
        <v>11000</v>
      </c>
      <c r="K135" s="563">
        <f>ROUND(I135*J135,0)</f>
        <v>550000</v>
      </c>
      <c r="L135" s="564" t="s">
        <v>253</v>
      </c>
      <c r="M135" s="564" t="s">
        <v>177</v>
      </c>
      <c r="N135" s="52" t="str">
        <f>IF(AND('331-CT'!$E$7=TH!H135,OR(L135="331",M135="331")),"331",IF(AND(OR(L135="131",M135="131"),H135='131-CT'!$E$7),"131",""))</f>
        <v/>
      </c>
      <c r="O135" s="89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09"/>
      <c r="AC135" s="211" t="str">
        <f>IF(F135=VLOOKUP(F135,NXT!$C$12:$C$345,1,0),"","x")</f>
        <v/>
      </c>
      <c r="AD135" s="211"/>
      <c r="AE135" s="211"/>
    </row>
    <row r="136" spans="1:31" s="555" customFormat="1" ht="15.75" customHeight="1">
      <c r="A136" s="204" t="str">
        <f>IF(B136&lt;&gt;"",IF(AND(B136&gt;=_TM1,B136&lt;=_TM2,OR(TH!L136="1111",TH!M136="1111")),TH!D136,""),"")</f>
        <v/>
      </c>
      <c r="B136" s="36">
        <f t="shared" si="19"/>
        <v>3</v>
      </c>
      <c r="C136" s="184">
        <f t="shared" si="20"/>
        <v>41728</v>
      </c>
      <c r="D136" s="184" t="s">
        <v>932</v>
      </c>
      <c r="E136" s="37">
        <v>41728</v>
      </c>
      <c r="F136" s="189" t="s">
        <v>420</v>
      </c>
      <c r="G136" s="460" t="s">
        <v>476</v>
      </c>
      <c r="H136" s="7" t="s">
        <v>477</v>
      </c>
      <c r="I136" s="251"/>
      <c r="J136" s="253"/>
      <c r="K136" s="563">
        <v>213800</v>
      </c>
      <c r="L136" s="564" t="s">
        <v>253</v>
      </c>
      <c r="M136" s="564" t="s">
        <v>365</v>
      </c>
      <c r="N136" s="52" t="str">
        <f>IF(AND('331-CT'!$E$7=TH!H136,OR(L136="331",M136="331")),"331",IF(AND(OR(L136="131",M136="131"),H136='131-CT'!$E$7),"131",""))</f>
        <v/>
      </c>
      <c r="O136" s="89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09"/>
      <c r="AC136" s="555" t="str">
        <f>IF(VLOOKUP(H136,DS_131,1,0)&lt;&gt;"","","x")</f>
        <v/>
      </c>
      <c r="AD136" s="211"/>
      <c r="AE136" s="211"/>
    </row>
    <row r="137" spans="1:31" s="555" customFormat="1" ht="15.75" customHeight="1">
      <c r="A137" s="204" t="str">
        <f>IF(B137&lt;&gt;"",IF(AND(B137&gt;=_TM1,B137&lt;=_TM2,OR(TH!L137="1111",TH!M137="1111")),TH!D137,""),"")</f>
        <v/>
      </c>
      <c r="B137" s="36">
        <f t="shared" ref="B137" si="45">IF(C137&lt;&gt;"",MONTH(C137),"")</f>
        <v>3</v>
      </c>
      <c r="C137" s="184">
        <f t="shared" ref="C137" si="46">E137</f>
        <v>41728</v>
      </c>
      <c r="D137" s="184"/>
      <c r="E137" s="37">
        <v>41728</v>
      </c>
      <c r="F137" s="192" t="s">
        <v>894</v>
      </c>
      <c r="G137" s="460" t="s">
        <v>476</v>
      </c>
      <c r="H137" s="7" t="s">
        <v>477</v>
      </c>
      <c r="I137" s="251"/>
      <c r="J137" s="253"/>
      <c r="K137" s="563">
        <v>2351800</v>
      </c>
      <c r="L137" s="564" t="s">
        <v>47</v>
      </c>
      <c r="M137" s="564" t="s">
        <v>253</v>
      </c>
      <c r="N137" s="52" t="str">
        <f>IF(AND('331-CT'!$E$7=TH!H137,OR(L137="331",M137="331")),"331",IF(AND(OR(L137="131",M137="131"),H137='131-CT'!$E$7),"131",""))</f>
        <v/>
      </c>
      <c r="O137" s="89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>x</v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09"/>
      <c r="AC137" s="555" t="str">
        <f>IF(VLOOKUP(H137,DS_131,1,0)&lt;&gt;"","","x")</f>
        <v/>
      </c>
      <c r="AD137" s="211"/>
      <c r="AE137" s="211"/>
    </row>
    <row r="138" spans="1:31" s="555" customFormat="1" ht="15.75" customHeight="1">
      <c r="A138" s="204" t="str">
        <f>IF(B138&lt;&gt;"",IF(AND(B138&gt;=_TM1,B138&lt;=_TM2,OR(TH!L138="1111",TH!M138="1111")),TH!D138,""),"")</f>
        <v/>
      </c>
      <c r="B138" s="36">
        <f t="shared" si="19"/>
        <v>3</v>
      </c>
      <c r="C138" s="184">
        <f t="shared" si="20"/>
        <v>41728</v>
      </c>
      <c r="D138" s="184" t="s">
        <v>933</v>
      </c>
      <c r="E138" s="37">
        <v>41728</v>
      </c>
      <c r="F138" s="189" t="s">
        <v>481</v>
      </c>
      <c r="G138" s="460" t="s">
        <v>482</v>
      </c>
      <c r="H138" s="7" t="s">
        <v>906</v>
      </c>
      <c r="I138" s="251">
        <v>500</v>
      </c>
      <c r="J138" s="253">
        <v>17800</v>
      </c>
      <c r="K138" s="563">
        <f>ROUND(I138*J138,0)</f>
        <v>8900000</v>
      </c>
      <c r="L138" s="564" t="s">
        <v>253</v>
      </c>
      <c r="M138" s="564" t="s">
        <v>177</v>
      </c>
      <c r="N138" s="52" t="str">
        <f>IF(AND('331-CT'!$E$7=TH!H138,OR(L138="331",M138="331")),"331",IF(AND(OR(L138="131",M138="131"),H138='131-CT'!$E$7),"131",""))</f>
        <v/>
      </c>
      <c r="O138" s="89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09"/>
      <c r="AC138" s="211" t="str">
        <f>IF(F138=VLOOKUP(F138,NXT!$C$12:$C$345,1,0),"","x")</f>
        <v/>
      </c>
      <c r="AD138" s="211"/>
      <c r="AE138" s="211"/>
    </row>
    <row r="139" spans="1:31" s="555" customFormat="1" ht="15.75" customHeight="1">
      <c r="A139" s="204" t="str">
        <f>IF(B139&lt;&gt;"",IF(AND(B139&gt;=_TM1,B139&lt;=_TM2,OR(TH!L139="1111",TH!M139="1111")),TH!D139,""),"")</f>
        <v/>
      </c>
      <c r="B139" s="36">
        <f t="shared" ref="B139:B212" si="47">IF(C139&lt;&gt;"",MONTH(C139),"")</f>
        <v>3</v>
      </c>
      <c r="C139" s="184">
        <f t="shared" ref="C139:C212" si="48">E139</f>
        <v>41728</v>
      </c>
      <c r="D139" s="184" t="s">
        <v>933</v>
      </c>
      <c r="E139" s="724">
        <v>41728</v>
      </c>
      <c r="F139" s="40" t="s">
        <v>445</v>
      </c>
      <c r="G139" s="40" t="s">
        <v>482</v>
      </c>
      <c r="H139" s="7" t="s">
        <v>906</v>
      </c>
      <c r="I139" s="251">
        <v>1000</v>
      </c>
      <c r="J139" s="251">
        <v>1500</v>
      </c>
      <c r="K139" s="563">
        <f>ROUND(I139*J139,0)</f>
        <v>1500000</v>
      </c>
      <c r="L139" s="564" t="s">
        <v>253</v>
      </c>
      <c r="M139" s="564" t="s">
        <v>177</v>
      </c>
      <c r="N139" s="52" t="str">
        <f>IF(AND('331-CT'!$E$7=TH!H139,OR(L139="331",M139="331")),"331",IF(AND(OR(L139="131",M139="131"),H139='131-CT'!$E$7),"131",""))</f>
        <v/>
      </c>
      <c r="O139" s="89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09"/>
      <c r="AC139" s="211" t="str">
        <f>IF(F139=VLOOKUP(F139,NXT!$C$12:$C$345,1,0),"","x")</f>
        <v/>
      </c>
      <c r="AD139" s="211"/>
      <c r="AE139" s="211"/>
    </row>
    <row r="140" spans="1:31" s="555" customFormat="1" ht="15.75" customHeight="1">
      <c r="A140" s="204" t="str">
        <f>IF(B140&lt;&gt;"",IF(AND(B140&gt;=_TM1,B140&lt;=_TM2,OR(TH!L140="1111",TH!M140="1111")),TH!D140,""),"")</f>
        <v/>
      </c>
      <c r="B140" s="36">
        <f t="shared" si="47"/>
        <v>3</v>
      </c>
      <c r="C140" s="184">
        <f t="shared" si="48"/>
        <v>41728</v>
      </c>
      <c r="D140" s="184" t="s">
        <v>933</v>
      </c>
      <c r="E140" s="37">
        <v>41728</v>
      </c>
      <c r="F140" s="189" t="s">
        <v>420</v>
      </c>
      <c r="G140" s="460" t="s">
        <v>482</v>
      </c>
      <c r="H140" s="7" t="s">
        <v>906</v>
      </c>
      <c r="I140" s="251"/>
      <c r="J140" s="253"/>
      <c r="K140" s="563">
        <v>1015000</v>
      </c>
      <c r="L140" s="564" t="s">
        <v>253</v>
      </c>
      <c r="M140" s="564" t="s">
        <v>365</v>
      </c>
      <c r="N140" s="52" t="str">
        <f>IF(AND('331-CT'!$E$7=TH!H140,OR(L140="331",M140="331")),"331",IF(AND(OR(L140="131",M140="131"),H140='131-CT'!$E$7),"131",""))</f>
        <v/>
      </c>
      <c r="O140" s="89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09"/>
      <c r="AC140" s="555" t="str">
        <f>IF(VLOOKUP(H140,DS_131,1,0)&lt;&gt;"","","x")</f>
        <v/>
      </c>
      <c r="AD140" s="211"/>
      <c r="AE140" s="211"/>
    </row>
    <row r="141" spans="1:31" s="555" customFormat="1" ht="15.75" customHeight="1">
      <c r="A141" s="204" t="str">
        <f>IF(B141&lt;&gt;"",IF(AND(B141&gt;=_TM1,B141&lt;=_TM2,OR(TH!L141="1111",TH!M141="1111")),TH!D141,""),"")</f>
        <v/>
      </c>
      <c r="B141" s="36">
        <f t="shared" si="47"/>
        <v>4</v>
      </c>
      <c r="C141" s="184">
        <f t="shared" si="48"/>
        <v>41730</v>
      </c>
      <c r="D141" s="184" t="s">
        <v>910</v>
      </c>
      <c r="E141" s="37">
        <v>41730</v>
      </c>
      <c r="F141" s="189" t="s">
        <v>483</v>
      </c>
      <c r="G141" s="460" t="s">
        <v>484</v>
      </c>
      <c r="H141" s="7" t="s">
        <v>472</v>
      </c>
      <c r="I141" s="251">
        <v>302</v>
      </c>
      <c r="J141" s="253">
        <v>12900</v>
      </c>
      <c r="K141" s="563">
        <f>ROUND(I141*J141,0)</f>
        <v>3895800</v>
      </c>
      <c r="L141" s="564" t="s">
        <v>253</v>
      </c>
      <c r="M141" s="564" t="s">
        <v>177</v>
      </c>
      <c r="N141" s="52" t="str">
        <f>IF(AND('331-CT'!$E$7=TH!H141,OR(L141="331",M141="331")),"331",IF(AND(OR(L141="131",M141="131"),H141='131-CT'!$E$7),"131",""))</f>
        <v/>
      </c>
      <c r="O141" s="89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09"/>
      <c r="AC141" s="211" t="str">
        <f>IF(F141=VLOOKUP(F141,NXT!$C$12:$C$345,1,0),"","x")</f>
        <v/>
      </c>
      <c r="AD141" s="211"/>
      <c r="AE141" s="211"/>
    </row>
    <row r="142" spans="1:31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47"/>
        <v>4</v>
      </c>
      <c r="C142" s="184">
        <f t="shared" si="48"/>
        <v>41730</v>
      </c>
      <c r="D142" s="184" t="s">
        <v>910</v>
      </c>
      <c r="E142" s="37">
        <v>41730</v>
      </c>
      <c r="F142" s="189" t="s">
        <v>485</v>
      </c>
      <c r="G142" s="460" t="s">
        <v>484</v>
      </c>
      <c r="H142" s="7" t="s">
        <v>472</v>
      </c>
      <c r="I142" s="251">
        <v>300</v>
      </c>
      <c r="J142" s="253">
        <v>7000</v>
      </c>
      <c r="K142" s="563">
        <f>ROUND(I142*J142,0)</f>
        <v>2100000</v>
      </c>
      <c r="L142" s="564" t="s">
        <v>253</v>
      </c>
      <c r="M142" s="564" t="s">
        <v>177</v>
      </c>
      <c r="N142" s="52" t="str">
        <f>IF(AND('331-CT'!$E$7=TH!H142,OR(L142="331",M142="331")),"331",IF(AND(OR(L142="131",M142="131"),H142='131-CT'!$E$7),"131",""))</f>
        <v/>
      </c>
      <c r="O142" s="89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09"/>
      <c r="AC142" s="211" t="str">
        <f>IF(F142=VLOOKUP(F142,NXT!$C$12:$C$345,1,0),"","x")</f>
        <v/>
      </c>
    </row>
    <row r="143" spans="1:31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47"/>
        <v>4</v>
      </c>
      <c r="C143" s="184">
        <f t="shared" si="48"/>
        <v>41730</v>
      </c>
      <c r="D143" s="184" t="s">
        <v>910</v>
      </c>
      <c r="E143" s="37">
        <v>41730</v>
      </c>
      <c r="F143" s="189" t="s">
        <v>486</v>
      </c>
      <c r="G143" s="460" t="s">
        <v>484</v>
      </c>
      <c r="H143" s="7" t="s">
        <v>472</v>
      </c>
      <c r="I143" s="251">
        <v>402</v>
      </c>
      <c r="J143" s="253">
        <v>9900</v>
      </c>
      <c r="K143" s="563">
        <f>ROUND(I143*J143,0)</f>
        <v>3979800</v>
      </c>
      <c r="L143" s="564" t="s">
        <v>253</v>
      </c>
      <c r="M143" s="564" t="s">
        <v>177</v>
      </c>
      <c r="N143" s="52" t="str">
        <f>IF(AND('331-CT'!$E$7=TH!H143,OR(L143="331",M143="331")),"331",IF(AND(OR(L143="131",M143="131"),H143='131-CT'!$E$7),"131",""))</f>
        <v/>
      </c>
      <c r="O143" s="89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09"/>
      <c r="AC143" s="211" t="str">
        <f>IF(F143=VLOOKUP(F143,NXT!$C$12:$C$345,1,0),"","x")</f>
        <v/>
      </c>
    </row>
    <row r="144" spans="1:31" s="2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47"/>
        <v>4</v>
      </c>
      <c r="C144" s="184">
        <f t="shared" si="48"/>
        <v>41730</v>
      </c>
      <c r="D144" s="184" t="s">
        <v>910</v>
      </c>
      <c r="E144" s="37">
        <v>41730</v>
      </c>
      <c r="F144" s="189" t="s">
        <v>487</v>
      </c>
      <c r="G144" s="460" t="s">
        <v>484</v>
      </c>
      <c r="H144" s="7" t="s">
        <v>472</v>
      </c>
      <c r="I144" s="251">
        <v>550</v>
      </c>
      <c r="J144" s="253">
        <v>6400</v>
      </c>
      <c r="K144" s="563">
        <f>ROUND(I144*J144,0)</f>
        <v>3520000</v>
      </c>
      <c r="L144" s="564" t="s">
        <v>253</v>
      </c>
      <c r="M144" s="564" t="s">
        <v>177</v>
      </c>
      <c r="N144" s="52" t="str">
        <f>IF(AND('331-CT'!$E$7=TH!H144,OR(L144="331",M144="331")),"331",IF(AND(OR(L144="131",M144="131"),H144='131-CT'!$E$7),"131",""))</f>
        <v/>
      </c>
      <c r="O144" s="89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09"/>
      <c r="AC144" s="211" t="str">
        <f>IF(F144=VLOOKUP(F144,NXT!$C$12:$C$345,1,0),"","x")</f>
        <v/>
      </c>
    </row>
    <row r="145" spans="1:31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47"/>
        <v>4</v>
      </c>
      <c r="C145" s="184">
        <f t="shared" si="48"/>
        <v>41730</v>
      </c>
      <c r="D145" s="184" t="s">
        <v>910</v>
      </c>
      <c r="E145" s="37">
        <v>41730</v>
      </c>
      <c r="F145" s="776" t="s">
        <v>420</v>
      </c>
      <c r="G145" s="460" t="s">
        <v>484</v>
      </c>
      <c r="H145" s="7" t="s">
        <v>472</v>
      </c>
      <c r="I145" s="252"/>
      <c r="J145" s="253"/>
      <c r="K145" s="563">
        <v>1349560</v>
      </c>
      <c r="L145" s="564" t="s">
        <v>253</v>
      </c>
      <c r="M145" s="564" t="s">
        <v>365</v>
      </c>
      <c r="N145" s="52" t="str">
        <f>IF(AND('331-CT'!$E$7=TH!H145,OR(L145="331",M145="331")),"331",IF(AND(OR(L145="131",M145="131"),H145='131-CT'!$E$7),"131",""))</f>
        <v/>
      </c>
      <c r="O145" s="89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09"/>
      <c r="AC145" s="555" t="str">
        <f>IF(VLOOKUP(H145,DS_131,1,0)&lt;&gt;"","","x")</f>
        <v/>
      </c>
      <c r="AD145" s="555"/>
      <c r="AE145" s="555"/>
    </row>
    <row r="146" spans="1:31" s="211" customFormat="1" ht="15.75" customHeight="1">
      <c r="A146" s="204" t="str">
        <f>IF(B146&lt;&gt;"",IF(AND(B146&gt;=_TM1,B146&lt;=_TM2,OR(TH!L146="1111",TH!M146="1111")),TH!D146,""),"")</f>
        <v/>
      </c>
      <c r="B146" s="36">
        <f t="shared" ref="B146" si="49">IF(C146&lt;&gt;"",MONTH(C146),"")</f>
        <v>4</v>
      </c>
      <c r="C146" s="184">
        <f t="shared" ref="C146" si="50">E146</f>
        <v>41730</v>
      </c>
      <c r="D146" s="184"/>
      <c r="E146" s="37">
        <v>41730</v>
      </c>
      <c r="F146" s="192" t="s">
        <v>894</v>
      </c>
      <c r="G146" s="460" t="s">
        <v>484</v>
      </c>
      <c r="H146" s="7" t="s">
        <v>472</v>
      </c>
      <c r="I146" s="252"/>
      <c r="J146" s="253"/>
      <c r="K146" s="563">
        <v>14845160</v>
      </c>
      <c r="L146" s="564" t="s">
        <v>47</v>
      </c>
      <c r="M146" s="564" t="s">
        <v>253</v>
      </c>
      <c r="N146" s="52" t="str">
        <f>IF(AND('331-CT'!$E$7=TH!H146,OR(L146="331",M146="331")),"331",IF(AND(OR(L146="131",M146="131"),H146='131-CT'!$E$7),"131",""))</f>
        <v/>
      </c>
      <c r="O146" s="89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09"/>
      <c r="AC146" s="555" t="str">
        <f>IF(VLOOKUP(H146,DS_131,1,0)&lt;&gt;"","","x")</f>
        <v/>
      </c>
      <c r="AD146" s="555"/>
      <c r="AE146" s="555"/>
    </row>
    <row r="147" spans="1:31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47"/>
        <v>4</v>
      </c>
      <c r="C147" s="184">
        <f t="shared" si="48"/>
        <v>41730</v>
      </c>
      <c r="D147" s="184" t="s">
        <v>911</v>
      </c>
      <c r="E147" s="37">
        <v>41730</v>
      </c>
      <c r="F147" s="189" t="s">
        <v>488</v>
      </c>
      <c r="G147" s="460" t="s">
        <v>489</v>
      </c>
      <c r="H147" s="7" t="s">
        <v>490</v>
      </c>
      <c r="I147" s="252">
        <v>260</v>
      </c>
      <c r="J147" s="253">
        <v>14300</v>
      </c>
      <c r="K147" s="563">
        <f>ROUND(I147*J147,0)</f>
        <v>3718000</v>
      </c>
      <c r="L147" s="564" t="s">
        <v>253</v>
      </c>
      <c r="M147" s="564" t="s">
        <v>177</v>
      </c>
      <c r="N147" s="52" t="str">
        <f>IF(AND('331-CT'!$E$7=TH!H147,OR(L147="331",M147="331")),"331",IF(AND(OR(L147="131",M147="131"),H147='131-CT'!$E$7),"131",""))</f>
        <v/>
      </c>
      <c r="O147" s="89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09"/>
      <c r="AC147" s="211" t="str">
        <f>IF(F147=VLOOKUP(F147,NXT!$C$12:$C$345,1,0),"","x")</f>
        <v/>
      </c>
      <c r="AD147" s="555"/>
      <c r="AE147" s="555"/>
    </row>
    <row r="148" spans="1:31" s="55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7"/>
        <v>4</v>
      </c>
      <c r="C148" s="184">
        <f t="shared" si="48"/>
        <v>41730</v>
      </c>
      <c r="D148" s="184" t="s">
        <v>911</v>
      </c>
      <c r="E148" s="37">
        <v>41730</v>
      </c>
      <c r="F148" s="189" t="s">
        <v>491</v>
      </c>
      <c r="G148" s="460" t="s">
        <v>489</v>
      </c>
      <c r="H148" s="7" t="s">
        <v>490</v>
      </c>
      <c r="I148" s="251">
        <v>2100</v>
      </c>
      <c r="J148" s="253">
        <v>2300</v>
      </c>
      <c r="K148" s="563">
        <f>ROUND(I148*J148,0)</f>
        <v>4830000</v>
      </c>
      <c r="L148" s="564" t="s">
        <v>253</v>
      </c>
      <c r="M148" s="564" t="s">
        <v>177</v>
      </c>
      <c r="N148" s="52" t="str">
        <f>IF(AND('331-CT'!$E$7=TH!H148,OR(L148="331",M148="331")),"331",IF(AND(OR(L148="131",M148="131"),H148='131-CT'!$E$7),"131",""))</f>
        <v/>
      </c>
      <c r="O148" s="89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09"/>
      <c r="AC148" s="211" t="str">
        <f>IF(F148=VLOOKUP(F148,NXT!$C$12:$C$345,1,0),"","x")</f>
        <v/>
      </c>
    </row>
    <row r="149" spans="1:31" s="55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7"/>
        <v>4</v>
      </c>
      <c r="C149" s="184">
        <f t="shared" si="48"/>
        <v>41730</v>
      </c>
      <c r="D149" s="184" t="s">
        <v>911</v>
      </c>
      <c r="E149" s="37">
        <v>41730</v>
      </c>
      <c r="F149" s="189" t="s">
        <v>420</v>
      </c>
      <c r="G149" s="460" t="s">
        <v>489</v>
      </c>
      <c r="H149" s="7" t="s">
        <v>490</v>
      </c>
      <c r="I149" s="253"/>
      <c r="J149" s="253"/>
      <c r="K149" s="38">
        <v>854800</v>
      </c>
      <c r="L149" s="564" t="s">
        <v>253</v>
      </c>
      <c r="M149" s="564" t="s">
        <v>365</v>
      </c>
      <c r="N149" s="52" t="str">
        <f>IF(AND('331-CT'!$E$7=TH!H149,OR(L149="331",M149="331")),"331",IF(AND(OR(L149="131",M149="131"),H149='131-CT'!$E$7),"131",""))</f>
        <v/>
      </c>
      <c r="O149" s="89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09"/>
      <c r="AC149" s="555" t="str">
        <f>IF(VLOOKUP(H149,DS_131,1,0)&lt;&gt;"","","x")</f>
        <v/>
      </c>
      <c r="AD149" s="211"/>
      <c r="AE149" s="211"/>
    </row>
    <row r="150" spans="1:31" s="555" customFormat="1" ht="15.75" customHeight="1">
      <c r="A150" s="204" t="str">
        <f>IF(B150&lt;&gt;"",IF(AND(B150&gt;=_TM1,B150&lt;=_TM2,OR(TH!L150="1111",TH!M150="1111")),TH!D150,""),"")</f>
        <v/>
      </c>
      <c r="B150" s="36">
        <f t="shared" si="47"/>
        <v>4</v>
      </c>
      <c r="C150" s="184">
        <f t="shared" si="48"/>
        <v>41733</v>
      </c>
      <c r="D150" s="184" t="s">
        <v>912</v>
      </c>
      <c r="E150" s="37">
        <v>41733</v>
      </c>
      <c r="F150" s="189" t="s">
        <v>492</v>
      </c>
      <c r="G150" s="565" t="s">
        <v>493</v>
      </c>
      <c r="H150" s="7" t="s">
        <v>907</v>
      </c>
      <c r="I150" s="251">
        <v>325</v>
      </c>
      <c r="J150" s="251">
        <v>8300</v>
      </c>
      <c r="K150" s="563">
        <f>ROUND(I150*J150,0)</f>
        <v>2697500</v>
      </c>
      <c r="L150" s="564" t="s">
        <v>253</v>
      </c>
      <c r="M150" s="564" t="s">
        <v>177</v>
      </c>
      <c r="N150" s="52" t="str">
        <f>IF(AND('331-CT'!$E$7=TH!H150,OR(L150="331",M150="331")),"331",IF(AND(OR(L150="131",M150="131"),H150='131-CT'!$E$7),"131",""))</f>
        <v/>
      </c>
      <c r="O150" s="89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09"/>
      <c r="AC150" s="211" t="str">
        <f>IF(F150=VLOOKUP(F150,NXT!$C$12:$C$345,1,0),"","x")</f>
        <v/>
      </c>
    </row>
    <row r="151" spans="1:31" s="555" customFormat="1" ht="15.75" customHeight="1">
      <c r="A151" s="204" t="str">
        <f>IF(B151&lt;&gt;"",IF(AND(B151&gt;=_TM1,B151&lt;=_TM2,OR(TH!L151="1111",TH!M151="1111")),TH!D151,""),"")</f>
        <v/>
      </c>
      <c r="B151" s="36">
        <f t="shared" si="47"/>
        <v>4</v>
      </c>
      <c r="C151" s="184">
        <f t="shared" si="48"/>
        <v>41733</v>
      </c>
      <c r="D151" s="184" t="s">
        <v>912</v>
      </c>
      <c r="E151" s="37">
        <v>41733</v>
      </c>
      <c r="F151" s="189" t="s">
        <v>494</v>
      </c>
      <c r="G151" s="565" t="s">
        <v>493</v>
      </c>
      <c r="H151" s="7" t="s">
        <v>907</v>
      </c>
      <c r="I151" s="251">
        <v>577</v>
      </c>
      <c r="J151" s="251">
        <v>8600</v>
      </c>
      <c r="K151" s="563">
        <f>ROUND(I151*J151,0)</f>
        <v>4962200</v>
      </c>
      <c r="L151" s="564" t="s">
        <v>253</v>
      </c>
      <c r="M151" s="564" t="s">
        <v>177</v>
      </c>
      <c r="N151" s="52" t="str">
        <f>IF(AND('331-CT'!$E$7=TH!H151,OR(L151="331",M151="331")),"331",IF(AND(OR(L151="131",M151="131"),H151='131-CT'!$E$7),"131",""))</f>
        <v/>
      </c>
      <c r="O151" s="89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09"/>
      <c r="AC151" s="211" t="str">
        <f>IF(F151=VLOOKUP(F151,NXT!$C$12:$C$345,1,0),"","x")</f>
        <v/>
      </c>
    </row>
    <row r="152" spans="1:31" s="555" customFormat="1" ht="15.75" customHeight="1">
      <c r="A152" s="204" t="str">
        <f>IF(B152&lt;&gt;"",IF(AND(B152&gt;=_TM1,B152&lt;=_TM2,OR(TH!L152="1111",TH!M152="1111")),TH!D152,""),"")</f>
        <v/>
      </c>
      <c r="B152" s="36">
        <f t="shared" si="47"/>
        <v>4</v>
      </c>
      <c r="C152" s="184">
        <f t="shared" si="48"/>
        <v>41733</v>
      </c>
      <c r="D152" s="184" t="s">
        <v>912</v>
      </c>
      <c r="E152" s="37">
        <v>41733</v>
      </c>
      <c r="F152" s="40" t="s">
        <v>420</v>
      </c>
      <c r="G152" s="460" t="s">
        <v>493</v>
      </c>
      <c r="H152" s="7" t="s">
        <v>907</v>
      </c>
      <c r="I152" s="251"/>
      <c r="J152" s="251"/>
      <c r="K152" s="563">
        <v>765970</v>
      </c>
      <c r="L152" s="564" t="s">
        <v>253</v>
      </c>
      <c r="M152" s="564" t="s">
        <v>365</v>
      </c>
      <c r="N152" s="52" t="str">
        <f>IF(AND('331-CT'!$E$7=TH!H152,OR(L152="331",M152="331")),"331",IF(AND(OR(L152="131",M152="131"),H152='131-CT'!$E$7),"131",""))</f>
        <v/>
      </c>
      <c r="O152" s="89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09"/>
      <c r="AC152" s="555" t="str">
        <f>IF(VLOOKUP(H152,DS_131,1,0)&lt;&gt;"","","x")</f>
        <v/>
      </c>
    </row>
    <row r="153" spans="1:31" s="555" customFormat="1" ht="15.75" customHeight="1">
      <c r="A153" s="204" t="str">
        <f>IF(B153&lt;&gt;"",IF(AND(B153&gt;=_TM1,B153&lt;=_TM2,OR(TH!L153="1111",TH!M153="1111")),TH!D153,""),"")</f>
        <v/>
      </c>
      <c r="B153" s="36">
        <f t="shared" si="47"/>
        <v>4</v>
      </c>
      <c r="C153" s="184">
        <f t="shared" si="48"/>
        <v>41740</v>
      </c>
      <c r="D153" s="184" t="s">
        <v>913</v>
      </c>
      <c r="E153" s="37">
        <v>41740</v>
      </c>
      <c r="F153" s="40" t="s">
        <v>436</v>
      </c>
      <c r="G153" s="460" t="s">
        <v>495</v>
      </c>
      <c r="H153" s="45" t="s">
        <v>438</v>
      </c>
      <c r="I153" s="251">
        <v>720</v>
      </c>
      <c r="J153" s="251">
        <v>10500</v>
      </c>
      <c r="K153" s="563">
        <f>ROUND(I153*J153,0)</f>
        <v>7560000</v>
      </c>
      <c r="L153" s="564" t="s">
        <v>253</v>
      </c>
      <c r="M153" s="564" t="s">
        <v>177</v>
      </c>
      <c r="N153" s="52" t="str">
        <f>IF(AND('331-CT'!$E$7=TH!H153,OR(L153="331",M153="331")),"331",IF(AND(OR(L153="131",M153="131"),H153='131-CT'!$E$7),"131",""))</f>
        <v/>
      </c>
      <c r="O153" s="89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09"/>
      <c r="AC153" s="211" t="str">
        <f>IF(F153=VLOOKUP(F153,NXT!$C$12:$C$345,1,0),"","x")</f>
        <v/>
      </c>
    </row>
    <row r="154" spans="1:31" s="555" customFormat="1" ht="15.75" customHeight="1">
      <c r="A154" s="204" t="str">
        <f>IF(B154&lt;&gt;"",IF(AND(B154&gt;=_TM1,B154&lt;=_TM2,OR(TH!L154="1111",TH!M154="1111")),TH!D154,""),"")</f>
        <v/>
      </c>
      <c r="B154" s="36">
        <f t="shared" si="47"/>
        <v>4</v>
      </c>
      <c r="C154" s="184">
        <f t="shared" si="48"/>
        <v>41740</v>
      </c>
      <c r="D154" s="184" t="s">
        <v>913</v>
      </c>
      <c r="E154" s="37">
        <v>41740</v>
      </c>
      <c r="F154" s="40" t="s">
        <v>496</v>
      </c>
      <c r="G154" s="460" t="s">
        <v>495</v>
      </c>
      <c r="H154" s="45" t="s">
        <v>438</v>
      </c>
      <c r="I154" s="251">
        <v>340</v>
      </c>
      <c r="J154" s="251">
        <v>8500</v>
      </c>
      <c r="K154" s="563">
        <f>ROUND(I154*J154,0)</f>
        <v>2890000</v>
      </c>
      <c r="L154" s="564" t="s">
        <v>253</v>
      </c>
      <c r="M154" s="564" t="s">
        <v>177</v>
      </c>
      <c r="N154" s="52" t="str">
        <f>IF(AND('331-CT'!$E$7=TH!H154,OR(L154="331",M154="331")),"331",IF(AND(OR(L154="131",M154="131"),H154='131-CT'!$E$7),"131",""))</f>
        <v/>
      </c>
      <c r="O154" s="89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09"/>
      <c r="AC154" s="211" t="str">
        <f>IF(F154=VLOOKUP(F154,NXT!$C$12:$C$345,1,0),"","x")</f>
        <v/>
      </c>
    </row>
    <row r="155" spans="1:31" s="555" customFormat="1" ht="15.75" customHeight="1">
      <c r="A155" s="204" t="str">
        <f>IF(B155&lt;&gt;"",IF(AND(B155&gt;=_TM1,B155&lt;=_TM2,OR(TH!L155="1111",TH!M155="1111")),TH!D155,""),"")</f>
        <v/>
      </c>
      <c r="B155" s="36">
        <f t="shared" si="47"/>
        <v>4</v>
      </c>
      <c r="C155" s="184">
        <f t="shared" si="48"/>
        <v>41740</v>
      </c>
      <c r="D155" s="184" t="s">
        <v>913</v>
      </c>
      <c r="E155" s="37">
        <v>41740</v>
      </c>
      <c r="F155" s="291" t="s">
        <v>420</v>
      </c>
      <c r="G155" s="460" t="s">
        <v>495</v>
      </c>
      <c r="H155" s="7" t="s">
        <v>438</v>
      </c>
      <c r="I155" s="251"/>
      <c r="J155" s="253"/>
      <c r="K155" s="563">
        <v>1045000</v>
      </c>
      <c r="L155" s="564" t="s">
        <v>253</v>
      </c>
      <c r="M155" s="564" t="s">
        <v>365</v>
      </c>
      <c r="N155" s="52" t="str">
        <f>IF(AND('331-CT'!$E$7=TH!H155,OR(L155="331",M155="331")),"331",IF(AND(OR(L155="131",M155="131"),H155='131-CT'!$E$7),"131",""))</f>
        <v/>
      </c>
      <c r="O155" s="89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09"/>
      <c r="AC155" s="555" t="str">
        <f>IF(VLOOKUP(H155,DS_131,1,0)&lt;&gt;"","","x")</f>
        <v/>
      </c>
    </row>
    <row r="156" spans="1:31" s="555" customFormat="1" ht="15.75" customHeight="1">
      <c r="A156" s="204" t="str">
        <f>IF(B156&lt;&gt;"",IF(AND(B156&gt;=_TM1,B156&lt;=_TM2,OR(TH!L156="1111",TH!M156="1111")),TH!D156,""),"")</f>
        <v/>
      </c>
      <c r="B156" s="36">
        <f t="shared" ref="B156" si="51">IF(C156&lt;&gt;"",MONTH(C156),"")</f>
        <v>4</v>
      </c>
      <c r="C156" s="184">
        <f t="shared" ref="C156" si="52">E156</f>
        <v>41740</v>
      </c>
      <c r="D156" s="184"/>
      <c r="E156" s="37">
        <v>41740</v>
      </c>
      <c r="F156" s="192" t="s">
        <v>894</v>
      </c>
      <c r="G156" s="460" t="s">
        <v>495</v>
      </c>
      <c r="H156" s="7" t="s">
        <v>438</v>
      </c>
      <c r="I156" s="251"/>
      <c r="J156" s="253"/>
      <c r="K156" s="563">
        <v>11495000</v>
      </c>
      <c r="L156" s="564" t="s">
        <v>47</v>
      </c>
      <c r="M156" s="564" t="s">
        <v>253</v>
      </c>
      <c r="N156" s="52" t="str">
        <f>IF(AND('331-CT'!$E$7=TH!H156,OR(L156="331",M156="331")),"331",IF(AND(OR(L156="131",M156="131"),H156='131-CT'!$E$7),"131",""))</f>
        <v/>
      </c>
      <c r="O156" s="89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>x</v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09"/>
      <c r="AC156" s="555" t="str">
        <f>IF(VLOOKUP(H156,DS_131,1,0)&lt;&gt;"","","x")</f>
        <v/>
      </c>
    </row>
    <row r="157" spans="1:31" s="555" customFormat="1" ht="15.75" customHeight="1">
      <c r="A157" s="204" t="str">
        <f>IF(B157&lt;&gt;"",IF(AND(B157&gt;=_TM1,B157&lt;=_TM2,OR(TH!L157="1111",TH!M157="1111")),TH!D157,""),"")</f>
        <v/>
      </c>
      <c r="B157" s="36">
        <f t="shared" si="47"/>
        <v>4</v>
      </c>
      <c r="C157" s="184">
        <f t="shared" si="48"/>
        <v>41744</v>
      </c>
      <c r="D157" s="184" t="s">
        <v>914</v>
      </c>
      <c r="E157" s="37">
        <v>41744</v>
      </c>
      <c r="F157" s="189" t="s">
        <v>497</v>
      </c>
      <c r="G157" s="460" t="s">
        <v>498</v>
      </c>
      <c r="H157" s="7" t="s">
        <v>469</v>
      </c>
      <c r="I157" s="253">
        <v>100</v>
      </c>
      <c r="J157" s="253">
        <v>6100</v>
      </c>
      <c r="K157" s="563">
        <f>ROUND(I157*J157,0)</f>
        <v>610000</v>
      </c>
      <c r="L157" s="564" t="s">
        <v>253</v>
      </c>
      <c r="M157" s="564" t="s">
        <v>177</v>
      </c>
      <c r="N157" s="52" t="str">
        <f>IF(AND('331-CT'!$E$7=TH!H157,OR(L157="331",M157="331")),"331",IF(AND(OR(L157="131",M157="131"),H157='131-CT'!$E$7),"131",""))</f>
        <v/>
      </c>
      <c r="O157" s="89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09"/>
      <c r="AC157" s="211" t="str">
        <f>IF(F157=VLOOKUP(F157,NXT!$C$12:$C$345,1,0),"","x")</f>
        <v/>
      </c>
      <c r="AD157" s="211"/>
      <c r="AE157" s="211"/>
    </row>
    <row r="158" spans="1:31" s="555" customFormat="1" ht="15.75" customHeight="1">
      <c r="A158" s="204" t="str">
        <f>IF(B158&lt;&gt;"",IF(AND(B158&gt;=_TM1,B158&lt;=_TM2,OR(TH!L158="1111",TH!M158="1111")),TH!D158,""),"")</f>
        <v/>
      </c>
      <c r="B158" s="36">
        <f t="shared" si="47"/>
        <v>4</v>
      </c>
      <c r="C158" s="184">
        <f t="shared" si="48"/>
        <v>41744</v>
      </c>
      <c r="D158" s="184" t="s">
        <v>914</v>
      </c>
      <c r="E158" s="191">
        <v>41744</v>
      </c>
      <c r="F158" s="189" t="s">
        <v>420</v>
      </c>
      <c r="G158" s="565" t="s">
        <v>498</v>
      </c>
      <c r="H158" s="7" t="s">
        <v>469</v>
      </c>
      <c r="I158" s="251"/>
      <c r="J158" s="251"/>
      <c r="K158" s="563">
        <v>61000</v>
      </c>
      <c r="L158" s="564" t="s">
        <v>253</v>
      </c>
      <c r="M158" s="564" t="s">
        <v>365</v>
      </c>
      <c r="N158" s="52" t="str">
        <f>IF(AND('331-CT'!$E$7=TH!H158,OR(L158="331",M158="331")),"331",IF(AND(OR(L158="131",M158="131"),H158='131-CT'!$E$7),"131",""))</f>
        <v/>
      </c>
      <c r="O158" s="89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09"/>
      <c r="AC158" s="555" t="str">
        <f>IF(VLOOKUP(H158,DS_131,1,0)&lt;&gt;"","","x")</f>
        <v/>
      </c>
      <c r="AD158" s="211"/>
      <c r="AE158" s="211"/>
    </row>
    <row r="159" spans="1:31" s="555" customFormat="1" ht="15.75" customHeight="1">
      <c r="A159" s="204" t="str">
        <f>IF(B159&lt;&gt;"",IF(AND(B159&gt;=_TM1,B159&lt;=_TM2,OR(TH!L159="1111",TH!M159="1111")),TH!D159,""),"")</f>
        <v/>
      </c>
      <c r="B159" s="36">
        <f t="shared" si="47"/>
        <v>4</v>
      </c>
      <c r="C159" s="184">
        <f t="shared" si="48"/>
        <v>41746</v>
      </c>
      <c r="D159" s="184" t="s">
        <v>915</v>
      </c>
      <c r="E159" s="191">
        <v>41746</v>
      </c>
      <c r="F159" s="189" t="s">
        <v>459</v>
      </c>
      <c r="G159" s="565" t="s">
        <v>499</v>
      </c>
      <c r="H159" s="7" t="s">
        <v>461</v>
      </c>
      <c r="I159" s="251">
        <v>1015</v>
      </c>
      <c r="J159" s="251">
        <v>8740</v>
      </c>
      <c r="K159" s="563">
        <f>ROUND(I159*J159,0)</f>
        <v>8871100</v>
      </c>
      <c r="L159" s="564" t="s">
        <v>253</v>
      </c>
      <c r="M159" s="564" t="s">
        <v>177</v>
      </c>
      <c r="N159" s="52" t="str">
        <f>IF(AND('331-CT'!$E$7=TH!H159,OR(L159="331",M159="331")),"331",IF(AND(OR(L159="131",M159="131"),H159='131-CT'!$E$7),"131",""))</f>
        <v/>
      </c>
      <c r="O159" s="89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09"/>
      <c r="AC159" s="211" t="str">
        <f>IF(F159=VLOOKUP(F159,NXT!$C$12:$C$345,1,0),"","x")</f>
        <v/>
      </c>
      <c r="AD159" s="211"/>
      <c r="AE159" s="211"/>
    </row>
    <row r="160" spans="1:31" s="555" customFormat="1" ht="15.75" customHeight="1">
      <c r="A160" s="204" t="str">
        <f>IF(B160&lt;&gt;"",IF(AND(B160&gt;=_TM1,B160&lt;=_TM2,OR(TH!L160="1111",TH!M160="1111")),TH!D160,""),"")</f>
        <v/>
      </c>
      <c r="B160" s="36">
        <f t="shared" si="47"/>
        <v>4</v>
      </c>
      <c r="C160" s="184">
        <f t="shared" si="48"/>
        <v>41746</v>
      </c>
      <c r="D160" s="184" t="s">
        <v>915</v>
      </c>
      <c r="E160" s="191">
        <v>41746</v>
      </c>
      <c r="F160" s="291" t="s">
        <v>420</v>
      </c>
      <c r="G160" s="565" t="s">
        <v>499</v>
      </c>
      <c r="H160" s="7" t="s">
        <v>461</v>
      </c>
      <c r="I160" s="251"/>
      <c r="J160" s="251"/>
      <c r="K160" s="563">
        <v>887110</v>
      </c>
      <c r="L160" s="564" t="s">
        <v>253</v>
      </c>
      <c r="M160" s="564" t="s">
        <v>365</v>
      </c>
      <c r="N160" s="52" t="str">
        <f>IF(AND('331-CT'!$E$7=TH!H160,OR(L160="331",M160="331")),"331",IF(AND(OR(L160="131",M160="131"),H160='131-CT'!$E$7),"131",""))</f>
        <v/>
      </c>
      <c r="O160" s="89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09"/>
      <c r="AC160" s="555" t="str">
        <f>IF(VLOOKUP(H160,DS_131,1,0)&lt;&gt;"","","x")</f>
        <v/>
      </c>
      <c r="AD160" s="211"/>
      <c r="AE160" s="211"/>
    </row>
    <row r="161" spans="1:31" s="555" customFormat="1" ht="15.75" customHeight="1">
      <c r="A161" s="204" t="str">
        <f>IF(B161&lt;&gt;"",IF(AND(B161&gt;=_TM1,B161&lt;=_TM2,OR(TH!L161="1111",TH!M161="1111")),TH!D161,""),"")</f>
        <v/>
      </c>
      <c r="B161" s="36">
        <f t="shared" ref="B161" si="53">IF(C161&lt;&gt;"",MONTH(C161),"")</f>
        <v>4</v>
      </c>
      <c r="C161" s="184">
        <f t="shared" ref="C161" si="54">E161</f>
        <v>41746</v>
      </c>
      <c r="D161" s="184"/>
      <c r="E161" s="191">
        <v>41746</v>
      </c>
      <c r="F161" s="192" t="s">
        <v>894</v>
      </c>
      <c r="G161" s="565" t="s">
        <v>499</v>
      </c>
      <c r="H161" s="7" t="s">
        <v>461</v>
      </c>
      <c r="I161" s="251"/>
      <c r="J161" s="251"/>
      <c r="K161" s="563">
        <v>9758210</v>
      </c>
      <c r="L161" s="564" t="s">
        <v>47</v>
      </c>
      <c r="M161" s="564" t="s">
        <v>253</v>
      </c>
      <c r="N161" s="52" t="str">
        <f>IF(AND('331-CT'!$E$7=TH!H161,OR(L161="331",M161="331")),"331",IF(AND(OR(L161="131",M161="131"),H161='131-CT'!$E$7),"131",""))</f>
        <v/>
      </c>
      <c r="O161" s="89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09"/>
      <c r="AC161" s="555" t="str">
        <f>IF(VLOOKUP(H161,DS_131,1,0)&lt;&gt;"","","x")</f>
        <v/>
      </c>
      <c r="AD161" s="211"/>
      <c r="AE161" s="211"/>
    </row>
    <row r="162" spans="1:31" s="555" customFormat="1" ht="15.75" customHeight="1">
      <c r="A162" s="204" t="str">
        <f>IF(B162&lt;&gt;"",IF(AND(B162&gt;=_TM1,B162&lt;=_TM2,OR(TH!L162="1111",TH!M162="1111")),TH!D162,""),"")</f>
        <v/>
      </c>
      <c r="B162" s="36">
        <f t="shared" si="47"/>
        <v>4</v>
      </c>
      <c r="C162" s="184">
        <f t="shared" si="48"/>
        <v>41746</v>
      </c>
      <c r="D162" s="184" t="s">
        <v>916</v>
      </c>
      <c r="E162" s="191">
        <v>41746</v>
      </c>
      <c r="F162" s="189" t="s">
        <v>500</v>
      </c>
      <c r="G162" s="565" t="s">
        <v>501</v>
      </c>
      <c r="H162" s="7" t="s">
        <v>502</v>
      </c>
      <c r="I162" s="251">
        <v>436</v>
      </c>
      <c r="J162" s="251">
        <v>5900</v>
      </c>
      <c r="K162" s="563">
        <f>ROUND(I162*J162,0)</f>
        <v>2572400</v>
      </c>
      <c r="L162" s="564" t="s">
        <v>253</v>
      </c>
      <c r="M162" s="564" t="s">
        <v>177</v>
      </c>
      <c r="N162" s="52" t="str">
        <f>IF(AND('331-CT'!$E$7=TH!H162,OR(L162="331",M162="331")),"331",IF(AND(OR(L162="131",M162="131"),H162='131-CT'!$E$7),"131",""))</f>
        <v/>
      </c>
      <c r="O162" s="89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09"/>
      <c r="AC162" s="211" t="str">
        <f>IF(F162=VLOOKUP(F162,NXT!$C$12:$C$345,1,0),"","x")</f>
        <v/>
      </c>
      <c r="AD162" s="211"/>
      <c r="AE162" s="211"/>
    </row>
    <row r="163" spans="1:31" s="555" customFormat="1" ht="15.75" customHeight="1">
      <c r="A163" s="204" t="str">
        <f>IF(B163&lt;&gt;"",IF(AND(B163&gt;=_TM1,B163&lt;=_TM2,OR(TH!L163="1111",TH!M163="1111")),TH!D163,""),"")</f>
        <v/>
      </c>
      <c r="B163" s="36">
        <f t="shared" si="47"/>
        <v>4</v>
      </c>
      <c r="C163" s="184">
        <f t="shared" si="48"/>
        <v>41746</v>
      </c>
      <c r="D163" s="184" t="s">
        <v>916</v>
      </c>
      <c r="E163" s="191">
        <v>41746</v>
      </c>
      <c r="F163" s="189" t="s">
        <v>503</v>
      </c>
      <c r="G163" s="565" t="s">
        <v>501</v>
      </c>
      <c r="H163" s="7" t="s">
        <v>502</v>
      </c>
      <c r="I163" s="251">
        <v>302</v>
      </c>
      <c r="J163" s="251">
        <v>6250</v>
      </c>
      <c r="K163" s="563">
        <f>ROUND(I163*J163,0)</f>
        <v>1887500</v>
      </c>
      <c r="L163" s="564" t="s">
        <v>253</v>
      </c>
      <c r="M163" s="564" t="s">
        <v>177</v>
      </c>
      <c r="N163" s="52" t="str">
        <f>IF(AND('331-CT'!$E$7=TH!H163,OR(L163="331",M163="331")),"331",IF(AND(OR(L163="131",M163="131"),H163='131-CT'!$E$7),"131",""))</f>
        <v/>
      </c>
      <c r="O163" s="89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09"/>
      <c r="AC163" s="211" t="str">
        <f>IF(F163=VLOOKUP(F163,NXT!$C$12:$C$345,1,0),"","x")</f>
        <v/>
      </c>
      <c r="AD163" s="211"/>
      <c r="AE163" s="211"/>
    </row>
    <row r="164" spans="1:31" s="555" customFormat="1" ht="15.75" customHeight="1">
      <c r="A164" s="204" t="str">
        <f>IF(B164&lt;&gt;"",IF(AND(B164&gt;=_TM1,B164&lt;=_TM2,OR(TH!L164="1111",TH!M164="1111")),TH!D164,""),"")</f>
        <v/>
      </c>
      <c r="B164" s="36">
        <f t="shared" si="47"/>
        <v>4</v>
      </c>
      <c r="C164" s="184">
        <f t="shared" si="48"/>
        <v>41746</v>
      </c>
      <c r="D164" s="184" t="s">
        <v>916</v>
      </c>
      <c r="E164" s="191">
        <v>41746</v>
      </c>
      <c r="F164" s="189" t="s">
        <v>504</v>
      </c>
      <c r="G164" s="565" t="s">
        <v>501</v>
      </c>
      <c r="H164" s="7" t="s">
        <v>502</v>
      </c>
      <c r="I164" s="251">
        <v>303</v>
      </c>
      <c r="J164" s="251">
        <v>6550</v>
      </c>
      <c r="K164" s="563">
        <f>ROUND(I164*J164,0)</f>
        <v>1984650</v>
      </c>
      <c r="L164" s="564" t="s">
        <v>253</v>
      </c>
      <c r="M164" s="564" t="s">
        <v>177</v>
      </c>
      <c r="N164" s="52" t="str">
        <f>IF(AND('331-CT'!$E$7=TH!H164,OR(L164="331",M164="331")),"331",IF(AND(OR(L164="131",M164="131"),H164='131-CT'!$E$7),"131",""))</f>
        <v/>
      </c>
      <c r="O164" s="89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09"/>
      <c r="AC164" s="211" t="str">
        <f>IF(F164=VLOOKUP(F164,NXT!$C$12:$C$345,1,0),"","x")</f>
        <v/>
      </c>
      <c r="AD164" s="211"/>
      <c r="AE164" s="211"/>
    </row>
    <row r="165" spans="1:31" s="555" customFormat="1" ht="15.75" customHeight="1">
      <c r="A165" s="204" t="str">
        <f>IF(B165&lt;&gt;"",IF(AND(B165&gt;=_TM1,B165&lt;=_TM2,OR(TH!L165="1111",TH!M165="1111")),TH!D165,""),"")</f>
        <v/>
      </c>
      <c r="B165" s="36">
        <f t="shared" si="47"/>
        <v>4</v>
      </c>
      <c r="C165" s="184">
        <f t="shared" si="48"/>
        <v>41746</v>
      </c>
      <c r="D165" s="184" t="s">
        <v>916</v>
      </c>
      <c r="E165" s="191">
        <v>41746</v>
      </c>
      <c r="F165" s="189" t="s">
        <v>406</v>
      </c>
      <c r="G165" s="565" t="s">
        <v>501</v>
      </c>
      <c r="H165" s="7" t="s">
        <v>502</v>
      </c>
      <c r="I165" s="251">
        <v>200</v>
      </c>
      <c r="J165" s="251">
        <v>6800</v>
      </c>
      <c r="K165" s="563">
        <f>ROUND(I165*J165,0)</f>
        <v>1360000</v>
      </c>
      <c r="L165" s="564" t="s">
        <v>253</v>
      </c>
      <c r="M165" s="564" t="s">
        <v>177</v>
      </c>
      <c r="N165" s="52" t="str">
        <f>IF(AND('331-CT'!$E$7=TH!H165,OR(L165="331",M165="331")),"331",IF(AND(OR(L165="131",M165="131"),H165='131-CT'!$E$7),"131",""))</f>
        <v/>
      </c>
      <c r="O165" s="89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09"/>
      <c r="AC165" s="211" t="str">
        <f>IF(F165=VLOOKUP(F165,NXT!$C$12:$C$345,1,0),"","x")</f>
        <v/>
      </c>
      <c r="AD165" s="211"/>
      <c r="AE165" s="211"/>
    </row>
    <row r="166" spans="1:31" s="555" customFormat="1" ht="15.75" customHeight="1">
      <c r="A166" s="204" t="str">
        <f>IF(B166&lt;&gt;"",IF(AND(B166&gt;=_TM1,B166&lt;=_TM2,OR(TH!L166="1111",TH!M166="1111")),TH!D166,""),"")</f>
        <v/>
      </c>
      <c r="B166" s="36">
        <f t="shared" si="47"/>
        <v>4</v>
      </c>
      <c r="C166" s="184">
        <f t="shared" si="48"/>
        <v>41746</v>
      </c>
      <c r="D166" s="184" t="s">
        <v>916</v>
      </c>
      <c r="E166" s="191">
        <v>41746</v>
      </c>
      <c r="F166" s="189" t="s">
        <v>420</v>
      </c>
      <c r="G166" s="565" t="s">
        <v>501</v>
      </c>
      <c r="H166" s="7" t="s">
        <v>502</v>
      </c>
      <c r="I166" s="251"/>
      <c r="J166" s="251"/>
      <c r="K166" s="563">
        <v>780455</v>
      </c>
      <c r="L166" s="564" t="s">
        <v>253</v>
      </c>
      <c r="M166" s="564" t="s">
        <v>365</v>
      </c>
      <c r="N166" s="52" t="str">
        <f>IF(AND('331-CT'!$E$7=TH!H166,OR(L166="331",M166="331")),"331",IF(AND(OR(L166="131",M166="131"),H166='131-CT'!$E$7),"131",""))</f>
        <v/>
      </c>
      <c r="O166" s="89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09"/>
      <c r="AC166" s="555" t="str">
        <f>IF(VLOOKUP(H166,DS_131,1,0)&lt;&gt;"","","x")</f>
        <v/>
      </c>
      <c r="AD166" s="211"/>
      <c r="AE166" s="211"/>
    </row>
    <row r="167" spans="1:31" s="555" customFormat="1" ht="15.75" customHeight="1">
      <c r="A167" s="204" t="str">
        <f>IF(B167&lt;&gt;"",IF(AND(B167&gt;=_TM1,B167&lt;=_TM2,OR(TH!L167="1111",TH!M167="1111")),TH!D167,""),"")</f>
        <v/>
      </c>
      <c r="B167" s="36">
        <f t="shared" ref="B167" si="55">IF(C167&lt;&gt;"",MONTH(C167),"")</f>
        <v>4</v>
      </c>
      <c r="C167" s="184">
        <f t="shared" ref="C167" si="56">E167</f>
        <v>41746</v>
      </c>
      <c r="D167" s="184"/>
      <c r="E167" s="191">
        <v>41746</v>
      </c>
      <c r="F167" s="192" t="s">
        <v>894</v>
      </c>
      <c r="G167" s="565" t="s">
        <v>501</v>
      </c>
      <c r="H167" s="7" t="s">
        <v>502</v>
      </c>
      <c r="I167" s="251"/>
      <c r="J167" s="251"/>
      <c r="K167" s="563">
        <v>8585005</v>
      </c>
      <c r="L167" s="564" t="s">
        <v>47</v>
      </c>
      <c r="M167" s="564" t="s">
        <v>253</v>
      </c>
      <c r="N167" s="52" t="str">
        <f>IF(AND('331-CT'!$E$7=TH!H167,OR(L167="331",M167="331")),"331",IF(AND(OR(L167="131",M167="131"),H167='131-CT'!$E$7),"131",""))</f>
        <v/>
      </c>
      <c r="O167" s="89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09"/>
      <c r="AC167" s="555" t="str">
        <f>IF(VLOOKUP(H167,DS_131,1,0)&lt;&gt;"","","x")</f>
        <v/>
      </c>
      <c r="AD167" s="211"/>
      <c r="AE167" s="211"/>
    </row>
    <row r="168" spans="1:31" s="555" customFormat="1" ht="15.75" customHeight="1">
      <c r="A168" s="204" t="str">
        <f>IF(B168&lt;&gt;"",IF(AND(B168&gt;=_TM1,B168&lt;=_TM2,OR(TH!L168="1111",TH!M168="1111")),TH!D168,""),"")</f>
        <v/>
      </c>
      <c r="B168" s="36">
        <f t="shared" si="47"/>
        <v>4</v>
      </c>
      <c r="C168" s="184">
        <f t="shared" si="48"/>
        <v>41748</v>
      </c>
      <c r="D168" s="184" t="s">
        <v>917</v>
      </c>
      <c r="E168" s="191">
        <v>41748</v>
      </c>
      <c r="F168" s="189" t="s">
        <v>417</v>
      </c>
      <c r="G168" s="565" t="s">
        <v>505</v>
      </c>
      <c r="H168" s="7" t="s">
        <v>419</v>
      </c>
      <c r="I168" s="251">
        <v>1856</v>
      </c>
      <c r="J168" s="251">
        <v>5500</v>
      </c>
      <c r="K168" s="563">
        <f>ROUND(I168*J168,0)</f>
        <v>10208000</v>
      </c>
      <c r="L168" s="564" t="s">
        <v>253</v>
      </c>
      <c r="M168" s="564" t="s">
        <v>177</v>
      </c>
      <c r="N168" s="52" t="str">
        <f>IF(AND('331-CT'!$E$7=TH!H168,OR(L168="331",M168="331")),"331",IF(AND(OR(L168="131",M168="131"),H168='131-CT'!$E$7),"131",""))</f>
        <v/>
      </c>
      <c r="O168" s="89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09"/>
      <c r="AC168" s="211" t="str">
        <f>IF(F168=VLOOKUP(F168,NXT!$C$12:$C$345,1,0),"","x")</f>
        <v/>
      </c>
      <c r="AD168" s="211"/>
      <c r="AE168" s="211"/>
    </row>
    <row r="169" spans="1:31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47"/>
        <v>4</v>
      </c>
      <c r="C169" s="184">
        <f t="shared" si="48"/>
        <v>41748</v>
      </c>
      <c r="D169" s="184" t="s">
        <v>917</v>
      </c>
      <c r="E169" s="184">
        <v>41748</v>
      </c>
      <c r="F169" s="189" t="s">
        <v>420</v>
      </c>
      <c r="G169" s="565" t="s">
        <v>505</v>
      </c>
      <c r="H169" s="44" t="s">
        <v>419</v>
      </c>
      <c r="I169" s="251"/>
      <c r="J169" s="251"/>
      <c r="K169" s="563">
        <v>1020800</v>
      </c>
      <c r="L169" s="564" t="s">
        <v>253</v>
      </c>
      <c r="M169" s="564" t="s">
        <v>365</v>
      </c>
      <c r="N169" s="52" t="str">
        <f>IF(AND('331-CT'!$E$7=TH!H169,OR(L169="331",M169="331")),"331",IF(AND(OR(L169="131",M169="131"),H169='131-CT'!$E$7),"131",""))</f>
        <v/>
      </c>
      <c r="O169" s="89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09"/>
      <c r="AC169" s="555" t="str">
        <f>IF(VLOOKUP(H169,DS_131,1,0)&lt;&gt;"","","x")</f>
        <v/>
      </c>
      <c r="AD169" s="555"/>
      <c r="AE169" s="555"/>
    </row>
    <row r="170" spans="1:31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ref="B170" si="57">IF(C170&lt;&gt;"",MONTH(C170),"")</f>
        <v>4</v>
      </c>
      <c r="C170" s="184">
        <f t="shared" ref="C170" si="58">E170</f>
        <v>41748</v>
      </c>
      <c r="D170" s="184"/>
      <c r="E170" s="184">
        <v>41748</v>
      </c>
      <c r="F170" s="192" t="s">
        <v>894</v>
      </c>
      <c r="G170" s="565" t="s">
        <v>505</v>
      </c>
      <c r="H170" s="44" t="s">
        <v>419</v>
      </c>
      <c r="I170" s="251"/>
      <c r="J170" s="251"/>
      <c r="K170" s="563">
        <v>11228800</v>
      </c>
      <c r="L170" s="564" t="s">
        <v>47</v>
      </c>
      <c r="M170" s="564" t="s">
        <v>253</v>
      </c>
      <c r="N170" s="52" t="str">
        <f>IF(AND('331-CT'!$E$7=TH!H170,OR(L170="331",M170="331")),"331",IF(AND(OR(L170="131",M170="131"),H170='131-CT'!$E$7),"131",""))</f>
        <v/>
      </c>
      <c r="O170" s="89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>x</v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09"/>
      <c r="AC170" s="555" t="str">
        <f>IF(VLOOKUP(H170,DS_131,1,0)&lt;&gt;"","","x")</f>
        <v/>
      </c>
      <c r="AD170" s="555"/>
      <c r="AE170" s="555"/>
    </row>
    <row r="171" spans="1:31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47"/>
        <v>4</v>
      </c>
      <c r="C171" s="184">
        <f t="shared" si="48"/>
        <v>41750</v>
      </c>
      <c r="D171" s="184" t="s">
        <v>918</v>
      </c>
      <c r="E171" s="184">
        <v>41750</v>
      </c>
      <c r="F171" s="189" t="s">
        <v>421</v>
      </c>
      <c r="G171" s="565" t="s">
        <v>506</v>
      </c>
      <c r="H171" s="7" t="s">
        <v>906</v>
      </c>
      <c r="I171" s="251">
        <v>500</v>
      </c>
      <c r="J171" s="251">
        <v>17300</v>
      </c>
      <c r="K171" s="563">
        <f>ROUND(I171*J171,0)</f>
        <v>8650000</v>
      </c>
      <c r="L171" s="564" t="s">
        <v>253</v>
      </c>
      <c r="M171" s="564" t="s">
        <v>177</v>
      </c>
      <c r="N171" s="52" t="str">
        <f>IF(AND('331-CT'!$E$7=TH!H171,OR(L171="331",M171="331")),"331",IF(AND(OR(L171="131",M171="131"),H171='131-CT'!$E$7),"131",""))</f>
        <v/>
      </c>
      <c r="O171" s="89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09"/>
      <c r="AC171" s="211" t="str">
        <f>IF(F171=VLOOKUP(F171,NXT!$C$12:$C$345,1,0),"","x")</f>
        <v/>
      </c>
      <c r="AD171" s="555"/>
      <c r="AE171" s="555"/>
    </row>
    <row r="172" spans="1:31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47"/>
        <v>4</v>
      </c>
      <c r="C172" s="184">
        <f t="shared" si="48"/>
        <v>41750</v>
      </c>
      <c r="D172" s="184" t="s">
        <v>918</v>
      </c>
      <c r="E172" s="191">
        <v>41750</v>
      </c>
      <c r="F172" s="40" t="s">
        <v>445</v>
      </c>
      <c r="G172" s="565" t="s">
        <v>506</v>
      </c>
      <c r="H172" s="7" t="s">
        <v>906</v>
      </c>
      <c r="I172" s="251">
        <v>1000</v>
      </c>
      <c r="J172" s="251">
        <v>1500</v>
      </c>
      <c r="K172" s="563">
        <f>ROUND(I172*J172,0)</f>
        <v>1500000</v>
      </c>
      <c r="L172" s="564" t="s">
        <v>253</v>
      </c>
      <c r="M172" s="564" t="s">
        <v>177</v>
      </c>
      <c r="N172" s="52" t="str">
        <f>IF(AND('331-CT'!$E$7=TH!H172,OR(L172="331",M172="331")),"331",IF(AND(OR(L172="131",M172="131"),H172='131-CT'!$E$7),"131",""))</f>
        <v/>
      </c>
      <c r="O172" s="89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09"/>
      <c r="AC172" s="211" t="str">
        <f>IF(F172=VLOOKUP(F172,NXT!$C$12:$C$345,1,0),"","x")</f>
        <v/>
      </c>
    </row>
    <row r="173" spans="1:31" s="850" customFormat="1" ht="15.75" customHeight="1">
      <c r="A173" s="838" t="str">
        <f>IF(B173&lt;&gt;"",IF(AND(B173&gt;=_TM1,B173&lt;=_TM2,OR(TH!L173="1111",TH!M173="1111")),TH!D173,""),"")</f>
        <v/>
      </c>
      <c r="B173" s="839">
        <f t="shared" si="47"/>
        <v>4</v>
      </c>
      <c r="C173" s="840">
        <f t="shared" si="48"/>
        <v>41750</v>
      </c>
      <c r="D173" s="840" t="s">
        <v>918</v>
      </c>
      <c r="E173" s="841">
        <v>41750</v>
      </c>
      <c r="F173" s="842" t="s">
        <v>420</v>
      </c>
      <c r="G173" s="843" t="s">
        <v>506</v>
      </c>
      <c r="H173" s="844" t="s">
        <v>906</v>
      </c>
      <c r="I173" s="845"/>
      <c r="J173" s="845"/>
      <c r="K173" s="846">
        <v>1015000</v>
      </c>
      <c r="L173" s="847" t="s">
        <v>253</v>
      </c>
      <c r="M173" s="564" t="s">
        <v>365</v>
      </c>
      <c r="N173" s="52" t="str">
        <f>IF(AND('331-CT'!$E$7=TH!H173,OR(L173="331",M173="331")),"331",IF(AND(OR(L173="131",M173="131"),H173='131-CT'!$E$7),"131",""))</f>
        <v/>
      </c>
      <c r="O173" s="89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8"/>
      <c r="AC173" s="849" t="str">
        <f>IF(VLOOKUP(H173,DS_131,1,0)&lt;&gt;"","","x")</f>
        <v/>
      </c>
    </row>
    <row r="174" spans="1:31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47"/>
        <v>4</v>
      </c>
      <c r="C174" s="184">
        <f t="shared" si="48"/>
        <v>41752</v>
      </c>
      <c r="D174" s="184" t="s">
        <v>919</v>
      </c>
      <c r="E174" s="191">
        <v>41752</v>
      </c>
      <c r="F174" s="291" t="s">
        <v>423</v>
      </c>
      <c r="G174" s="463" t="s">
        <v>507</v>
      </c>
      <c r="H174" s="7" t="s">
        <v>425</v>
      </c>
      <c r="I174" s="251">
        <v>500</v>
      </c>
      <c r="J174" s="251">
        <v>8200</v>
      </c>
      <c r="K174" s="563">
        <f>ROUND(I174*J174,0)</f>
        <v>4100000</v>
      </c>
      <c r="L174" s="564" t="s">
        <v>253</v>
      </c>
      <c r="M174" s="564" t="s">
        <v>177</v>
      </c>
      <c r="N174" s="52" t="str">
        <f>IF(AND('331-CT'!$E$7=TH!H174,OR(L174="331",M174="331")),"331",IF(AND(OR(L174="131",M174="131"),H174='131-CT'!$E$7),"131",""))</f>
        <v/>
      </c>
      <c r="O174" s="89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09"/>
      <c r="AC174" s="211" t="str">
        <f>IF(F174=VLOOKUP(F174,NXT!$C$12:$C$345,1,0),"","x")</f>
        <v/>
      </c>
    </row>
    <row r="175" spans="1:31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7"/>
        <v>4</v>
      </c>
      <c r="C175" s="184">
        <f t="shared" si="48"/>
        <v>41752</v>
      </c>
      <c r="D175" s="184" t="s">
        <v>919</v>
      </c>
      <c r="E175" s="191">
        <v>41752</v>
      </c>
      <c r="F175" s="291" t="s">
        <v>423</v>
      </c>
      <c r="G175" s="463" t="s">
        <v>507</v>
      </c>
      <c r="H175" s="7" t="s">
        <v>425</v>
      </c>
      <c r="I175" s="251">
        <v>504</v>
      </c>
      <c r="J175" s="251">
        <v>10200</v>
      </c>
      <c r="K175" s="563">
        <f>ROUND(I175*J175,0)</f>
        <v>5140800</v>
      </c>
      <c r="L175" s="564" t="s">
        <v>253</v>
      </c>
      <c r="M175" s="564" t="s">
        <v>177</v>
      </c>
      <c r="N175" s="52" t="str">
        <f>IF(AND('331-CT'!$E$7=TH!H175,OR(L175="331",M175="331")),"331",IF(AND(OR(L175="131",M175="131"),H175='131-CT'!$E$7),"131",""))</f>
        <v/>
      </c>
      <c r="O175" s="89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09"/>
      <c r="AC175" s="211" t="str">
        <f>IF(F175=VLOOKUP(F175,NXT!$C$12:$C$345,1,0),"","x")</f>
        <v/>
      </c>
    </row>
    <row r="176" spans="1:31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47"/>
        <v>4</v>
      </c>
      <c r="C176" s="184">
        <f t="shared" si="48"/>
        <v>41752</v>
      </c>
      <c r="D176" s="184" t="s">
        <v>919</v>
      </c>
      <c r="E176" s="191">
        <v>41752</v>
      </c>
      <c r="F176" s="189" t="s">
        <v>420</v>
      </c>
      <c r="G176" s="565" t="s">
        <v>507</v>
      </c>
      <c r="H176" s="7" t="s">
        <v>425</v>
      </c>
      <c r="I176" s="251"/>
      <c r="J176" s="251"/>
      <c r="K176" s="563">
        <v>924080</v>
      </c>
      <c r="L176" s="564" t="s">
        <v>253</v>
      </c>
      <c r="M176" s="564" t="s">
        <v>365</v>
      </c>
      <c r="N176" s="52" t="str">
        <f>IF(AND('331-CT'!$E$7=TH!H176,OR(L176="331",M176="331")),"331",IF(AND(OR(L176="131",M176="131"),H176='131-CT'!$E$7),"131",""))</f>
        <v/>
      </c>
      <c r="O176" s="89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09"/>
      <c r="AC176" s="555" t="str">
        <f>IF(VLOOKUP(H176,DS_131,1,0)&lt;&gt;"","","x")</f>
        <v/>
      </c>
    </row>
    <row r="177" spans="1:31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ref="B177" si="59">IF(C177&lt;&gt;"",MONTH(C177),"")</f>
        <v>4</v>
      </c>
      <c r="C177" s="184">
        <f t="shared" ref="C177" si="60">E177</f>
        <v>41752</v>
      </c>
      <c r="D177" s="184"/>
      <c r="E177" s="191">
        <v>41752</v>
      </c>
      <c r="F177" s="192" t="s">
        <v>894</v>
      </c>
      <c r="G177" s="565" t="s">
        <v>507</v>
      </c>
      <c r="H177" s="7" t="s">
        <v>425</v>
      </c>
      <c r="I177" s="251"/>
      <c r="J177" s="251"/>
      <c r="K177" s="563">
        <v>10164880</v>
      </c>
      <c r="L177" s="564" t="s">
        <v>47</v>
      </c>
      <c r="M177" s="564" t="s">
        <v>253</v>
      </c>
      <c r="N177" s="52" t="str">
        <f>IF(AND('331-CT'!$E$7=TH!H177,OR(L177="331",M177="331")),"331",IF(AND(OR(L177="131",M177="131"),H177='131-CT'!$E$7),"131",""))</f>
        <v/>
      </c>
      <c r="O177" s="89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>x</v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09"/>
      <c r="AC177" s="555" t="str">
        <f>IF(VLOOKUP(H177,DS_131,1,0)&lt;&gt;"","","x")</f>
        <v/>
      </c>
    </row>
    <row r="178" spans="1:31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47"/>
        <v>4</v>
      </c>
      <c r="C178" s="184">
        <f t="shared" si="48"/>
        <v>41755</v>
      </c>
      <c r="D178" s="184" t="s">
        <v>920</v>
      </c>
      <c r="E178" s="191">
        <v>41755</v>
      </c>
      <c r="F178" s="291" t="s">
        <v>508</v>
      </c>
      <c r="G178" s="565" t="s">
        <v>509</v>
      </c>
      <c r="H178" s="7" t="s">
        <v>907</v>
      </c>
      <c r="I178" s="702">
        <v>305</v>
      </c>
      <c r="J178" s="251">
        <v>9400</v>
      </c>
      <c r="K178" s="563">
        <f>ROUND(I178*J178,0)</f>
        <v>2867000</v>
      </c>
      <c r="L178" s="564" t="s">
        <v>253</v>
      </c>
      <c r="M178" s="564" t="s">
        <v>177</v>
      </c>
      <c r="N178" s="52" t="str">
        <f>IF(AND('331-CT'!$E$7=TH!H178,OR(L178="331",M178="331")),"331",IF(AND(OR(L178="131",M178="131"),H178='131-CT'!$E$7),"131",""))</f>
        <v/>
      </c>
      <c r="O178" s="89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09"/>
      <c r="AC178" s="211" t="str">
        <f>IF(F178=VLOOKUP(F178,NXT!$C$12:$C$345,1,0),"","x")</f>
        <v/>
      </c>
    </row>
    <row r="179" spans="1:31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47"/>
        <v>4</v>
      </c>
      <c r="C179" s="184">
        <f t="shared" si="48"/>
        <v>41755</v>
      </c>
      <c r="D179" s="184" t="s">
        <v>920</v>
      </c>
      <c r="E179" s="191">
        <v>41755</v>
      </c>
      <c r="F179" s="189" t="s">
        <v>494</v>
      </c>
      <c r="G179" s="565" t="s">
        <v>509</v>
      </c>
      <c r="H179" s="7" t="s">
        <v>907</v>
      </c>
      <c r="I179" s="702">
        <v>530</v>
      </c>
      <c r="J179" s="702">
        <v>8600</v>
      </c>
      <c r="K179" s="563">
        <f>ROUND(I179*J179,0)</f>
        <v>4558000</v>
      </c>
      <c r="L179" s="564" t="s">
        <v>253</v>
      </c>
      <c r="M179" s="564" t="s">
        <v>177</v>
      </c>
      <c r="N179" s="52" t="str">
        <f>IF(AND('331-CT'!$E$7=TH!H179,OR(L179="331",M179="331")),"331",IF(AND(OR(L179="131",M179="131"),H179='131-CT'!$E$7),"131",""))</f>
        <v/>
      </c>
      <c r="O179" s="89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09"/>
      <c r="AC179" s="211" t="str">
        <f>IF(F179=VLOOKUP(F179,NXT!$C$12:$C$345,1,0),"","x")</f>
        <v/>
      </c>
    </row>
    <row r="180" spans="1:31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47"/>
        <v>4</v>
      </c>
      <c r="C180" s="184">
        <f t="shared" si="48"/>
        <v>41755</v>
      </c>
      <c r="D180" s="184" t="s">
        <v>920</v>
      </c>
      <c r="E180" s="191">
        <v>41755</v>
      </c>
      <c r="F180" s="189" t="s">
        <v>420</v>
      </c>
      <c r="G180" s="565" t="s">
        <v>509</v>
      </c>
      <c r="H180" s="7" t="s">
        <v>907</v>
      </c>
      <c r="I180" s="702"/>
      <c r="J180" s="251"/>
      <c r="K180" s="563">
        <v>742500</v>
      </c>
      <c r="L180" s="564" t="s">
        <v>253</v>
      </c>
      <c r="M180" s="564" t="s">
        <v>365</v>
      </c>
      <c r="N180" s="52" t="str">
        <f>IF(AND('331-CT'!$E$7=TH!H180,OR(L180="331",M180="331")),"331",IF(AND(OR(L180="131",M180="131"),H180='131-CT'!$E$7),"131",""))</f>
        <v/>
      </c>
      <c r="O180" s="89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09"/>
      <c r="AC180" s="555" t="str">
        <f>IF(VLOOKUP(H180,DS_131,1,0)&lt;&gt;"","","x")</f>
        <v/>
      </c>
    </row>
    <row r="181" spans="1:31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47"/>
        <v>5</v>
      </c>
      <c r="C181" s="184">
        <f t="shared" si="48"/>
        <v>41762</v>
      </c>
      <c r="D181" s="184" t="s">
        <v>921</v>
      </c>
      <c r="E181" s="191">
        <v>41762</v>
      </c>
      <c r="F181" s="189" t="s">
        <v>421</v>
      </c>
      <c r="G181" s="565" t="s">
        <v>510</v>
      </c>
      <c r="H181" s="7" t="s">
        <v>906</v>
      </c>
      <c r="I181" s="702">
        <v>500</v>
      </c>
      <c r="J181" s="251">
        <v>17300</v>
      </c>
      <c r="K181" s="563">
        <f>ROUND(I181*J181,0)</f>
        <v>8650000</v>
      </c>
      <c r="L181" s="564" t="s">
        <v>253</v>
      </c>
      <c r="M181" s="564" t="s">
        <v>177</v>
      </c>
      <c r="N181" s="52" t="str">
        <f>IF(AND('331-CT'!$E$7=TH!H181,OR(L181="331",M181="331")),"331",IF(AND(OR(L181="131",M181="131"),H181='131-CT'!$E$7),"131",""))</f>
        <v/>
      </c>
      <c r="O181" s="89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09"/>
      <c r="AC181" s="211" t="str">
        <f>IF(F181=VLOOKUP(F181,NXT!$C$12:$C$345,1,0),"","x")</f>
        <v/>
      </c>
    </row>
    <row r="182" spans="1:31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47"/>
        <v>5</v>
      </c>
      <c r="C182" s="184">
        <f t="shared" si="48"/>
        <v>41762</v>
      </c>
      <c r="D182" s="184" t="s">
        <v>921</v>
      </c>
      <c r="E182" s="37">
        <v>41762</v>
      </c>
      <c r="F182" s="40" t="s">
        <v>445</v>
      </c>
      <c r="G182" s="462" t="s">
        <v>510</v>
      </c>
      <c r="H182" s="7" t="s">
        <v>906</v>
      </c>
      <c r="I182" s="543">
        <v>1000</v>
      </c>
      <c r="J182" s="253">
        <v>1500</v>
      </c>
      <c r="K182" s="563">
        <f>ROUND(I182*J182,0)</f>
        <v>1500000</v>
      </c>
      <c r="L182" s="564" t="s">
        <v>253</v>
      </c>
      <c r="M182" s="564" t="s">
        <v>177</v>
      </c>
      <c r="N182" s="52" t="str">
        <f>IF(AND('331-CT'!$E$7=TH!H182,OR(L182="331",M182="331")),"331",IF(AND(OR(L182="131",M182="131"),H182='131-CT'!$E$7),"131",""))</f>
        <v/>
      </c>
      <c r="O182" s="89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09"/>
      <c r="AC182" s="211" t="str">
        <f>IF(F182=VLOOKUP(F182,NXT!$C$12:$C$345,1,0),"","x")</f>
        <v/>
      </c>
    </row>
    <row r="183" spans="1:31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47"/>
        <v>5</v>
      </c>
      <c r="C183" s="184">
        <f t="shared" si="48"/>
        <v>41762</v>
      </c>
      <c r="D183" s="184" t="s">
        <v>921</v>
      </c>
      <c r="E183" s="37">
        <v>41762</v>
      </c>
      <c r="F183" s="40" t="s">
        <v>420</v>
      </c>
      <c r="G183" s="462" t="s">
        <v>510</v>
      </c>
      <c r="H183" s="7" t="s">
        <v>906</v>
      </c>
      <c r="I183" s="702"/>
      <c r="J183" s="253"/>
      <c r="K183" s="563">
        <v>1015000</v>
      </c>
      <c r="L183" s="564" t="s">
        <v>253</v>
      </c>
      <c r="M183" s="564" t="s">
        <v>365</v>
      </c>
      <c r="N183" s="52" t="str">
        <f>IF(AND('331-CT'!$E$7=TH!H183,OR(L183="331",M183="331")),"331",IF(AND(OR(L183="131",M183="131"),H183='131-CT'!$E$7),"131",""))</f>
        <v/>
      </c>
      <c r="O183" s="89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09"/>
      <c r="AC183" s="555" t="str">
        <f>IF(VLOOKUP(H183,DS_131,1,0)&lt;&gt;"","","x")</f>
        <v/>
      </c>
    </row>
    <row r="184" spans="1:31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47"/>
        <v>5</v>
      </c>
      <c r="C184" s="184">
        <f t="shared" si="48"/>
        <v>41765</v>
      </c>
      <c r="D184" s="184" t="s">
        <v>922</v>
      </c>
      <c r="E184" s="37">
        <v>41765</v>
      </c>
      <c r="F184" s="40" t="s">
        <v>494</v>
      </c>
      <c r="G184" s="462" t="s">
        <v>511</v>
      </c>
      <c r="H184" s="7" t="s">
        <v>907</v>
      </c>
      <c r="I184" s="702">
        <v>500</v>
      </c>
      <c r="J184" s="253">
        <v>8600</v>
      </c>
      <c r="K184" s="563">
        <f>ROUND(I184*J184,0)</f>
        <v>4300000</v>
      </c>
      <c r="L184" s="564" t="s">
        <v>253</v>
      </c>
      <c r="M184" s="564" t="s">
        <v>177</v>
      </c>
      <c r="N184" s="52" t="str">
        <f>IF(AND('331-CT'!$E$7=TH!H184,OR(L184="331",M184="331")),"331",IF(AND(OR(L184="131",M184="131"),H184='131-CT'!$E$7),"131",""))</f>
        <v/>
      </c>
      <c r="O184" s="89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09"/>
      <c r="AC184" s="211" t="str">
        <f>IF(F184=VLOOKUP(F184,NXT!$C$12:$C$345,1,0),"","x")</f>
        <v/>
      </c>
    </row>
    <row r="185" spans="1:31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47"/>
        <v>5</v>
      </c>
      <c r="C185" s="184">
        <f t="shared" si="48"/>
        <v>41765</v>
      </c>
      <c r="D185" s="184" t="s">
        <v>922</v>
      </c>
      <c r="E185" s="184">
        <v>41765</v>
      </c>
      <c r="F185" s="189" t="s">
        <v>512</v>
      </c>
      <c r="G185" s="565" t="s">
        <v>511</v>
      </c>
      <c r="H185" s="7" t="s">
        <v>907</v>
      </c>
      <c r="I185" s="251">
        <v>200</v>
      </c>
      <c r="J185" s="251">
        <v>7000</v>
      </c>
      <c r="K185" s="563">
        <f>ROUND(I185*J185,0)</f>
        <v>1400000</v>
      </c>
      <c r="L185" s="564" t="s">
        <v>253</v>
      </c>
      <c r="M185" s="564" t="s">
        <v>177</v>
      </c>
      <c r="N185" s="52" t="str">
        <f>IF(AND('331-CT'!$E$7=TH!H185,OR(L185="331",M185="331")),"331",IF(AND(OR(L185="131",M185="131"),H185='131-CT'!$E$7),"131",""))</f>
        <v/>
      </c>
      <c r="O185" s="89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09"/>
      <c r="AC185" s="211" t="str">
        <f>IF(F185=VLOOKUP(F185,NXT!$C$12:$C$345,1,0),"","x")</f>
        <v/>
      </c>
      <c r="AD185" s="555"/>
      <c r="AE185" s="555"/>
    </row>
    <row r="186" spans="1:31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47"/>
        <v>5</v>
      </c>
      <c r="C186" s="184">
        <f t="shared" si="48"/>
        <v>41765</v>
      </c>
      <c r="D186" s="184" t="s">
        <v>922</v>
      </c>
      <c r="E186" s="184">
        <v>41765</v>
      </c>
      <c r="F186" s="189" t="s">
        <v>420</v>
      </c>
      <c r="G186" s="565" t="s">
        <v>511</v>
      </c>
      <c r="H186" s="7" t="s">
        <v>907</v>
      </c>
      <c r="I186" s="251"/>
      <c r="J186" s="251"/>
      <c r="K186" s="563">
        <v>570000</v>
      </c>
      <c r="L186" s="564" t="s">
        <v>253</v>
      </c>
      <c r="M186" s="564" t="s">
        <v>365</v>
      </c>
      <c r="N186" s="52" t="str">
        <f>IF(AND('331-CT'!$E$7=TH!H186,OR(L186="331",M186="331")),"331",IF(AND(OR(L186="131",M186="131"),H186='131-CT'!$E$7),"131",""))</f>
        <v/>
      </c>
      <c r="O186" s="89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09"/>
      <c r="AC186" s="555" t="str">
        <f>IF(VLOOKUP(H186,DS_131,1,0)&lt;&gt;"","","x")</f>
        <v/>
      </c>
      <c r="AD186" s="555"/>
      <c r="AE186" s="555"/>
    </row>
    <row r="187" spans="1:31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47"/>
        <v>5</v>
      </c>
      <c r="C187" s="184">
        <f t="shared" si="48"/>
        <v>41772</v>
      </c>
      <c r="D187" s="184" t="s">
        <v>923</v>
      </c>
      <c r="E187" s="37">
        <v>41772</v>
      </c>
      <c r="F187" s="189" t="s">
        <v>446</v>
      </c>
      <c r="G187" s="462" t="s">
        <v>513</v>
      </c>
      <c r="H187" s="7" t="s">
        <v>472</v>
      </c>
      <c r="I187" s="251">
        <v>200</v>
      </c>
      <c r="J187" s="253">
        <v>19000</v>
      </c>
      <c r="K187" s="563">
        <f>ROUND(I187*J187,0)</f>
        <v>3800000</v>
      </c>
      <c r="L187" s="564" t="s">
        <v>253</v>
      </c>
      <c r="M187" s="564" t="s">
        <v>177</v>
      </c>
      <c r="N187" s="52" t="str">
        <f>IF(AND('331-CT'!$E$7=TH!H187,OR(L187="331",M187="331")),"331",IF(AND(OR(L187="131",M187="131"),H187='131-CT'!$E$7),"131",""))</f>
        <v/>
      </c>
      <c r="O187" s="89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09"/>
      <c r="AC187" s="211" t="str">
        <f>IF(F187=VLOOKUP(F187,NXT!$C$12:$C$345,1,0),"","x")</f>
        <v/>
      </c>
    </row>
    <row r="188" spans="1:31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47"/>
        <v>5</v>
      </c>
      <c r="C188" s="184">
        <f t="shared" si="48"/>
        <v>41772</v>
      </c>
      <c r="D188" s="184" t="s">
        <v>923</v>
      </c>
      <c r="E188" s="37">
        <v>41772</v>
      </c>
      <c r="F188" s="189" t="s">
        <v>420</v>
      </c>
      <c r="G188" s="462" t="s">
        <v>513</v>
      </c>
      <c r="H188" s="7" t="s">
        <v>472</v>
      </c>
      <c r="I188" s="251"/>
      <c r="J188" s="253"/>
      <c r="K188" s="563">
        <v>380000</v>
      </c>
      <c r="L188" s="564" t="s">
        <v>253</v>
      </c>
      <c r="M188" s="564" t="s">
        <v>365</v>
      </c>
      <c r="N188" s="52" t="str">
        <f>IF(AND('331-CT'!$E$7=TH!H188,OR(L188="331",M188="331")),"331",IF(AND(OR(L188="131",M188="131"),H188='131-CT'!$E$7),"131",""))</f>
        <v/>
      </c>
      <c r="O188" s="89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09"/>
      <c r="AC188" s="555" t="str">
        <f>IF(VLOOKUP(H188,DS_131,1,0)&lt;&gt;"","","x")</f>
        <v/>
      </c>
    </row>
    <row r="189" spans="1:31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ref="B189" si="61">IF(C189&lt;&gt;"",MONTH(C189),"")</f>
        <v>5</v>
      </c>
      <c r="C189" s="184">
        <f t="shared" ref="C189" si="62">E189</f>
        <v>41772</v>
      </c>
      <c r="D189" s="184"/>
      <c r="E189" s="37">
        <v>41772</v>
      </c>
      <c r="F189" s="192" t="s">
        <v>894</v>
      </c>
      <c r="G189" s="462" t="s">
        <v>513</v>
      </c>
      <c r="H189" s="7" t="s">
        <v>472</v>
      </c>
      <c r="I189" s="251"/>
      <c r="J189" s="253"/>
      <c r="K189" s="563">
        <v>4180000</v>
      </c>
      <c r="L189" s="564" t="s">
        <v>47</v>
      </c>
      <c r="M189" s="564" t="s">
        <v>253</v>
      </c>
      <c r="N189" s="52" t="str">
        <f>IF(AND('331-CT'!$E$7=TH!H189,OR(L189="331",M189="331")),"331",IF(AND(OR(L189="131",M189="131"),H189='131-CT'!$E$7),"131",""))</f>
        <v/>
      </c>
      <c r="O189" s="89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>x</v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09"/>
      <c r="AC189" s="555" t="str">
        <f>IF(VLOOKUP(H189,DS_131,1,0)&lt;&gt;"","","x")</f>
        <v/>
      </c>
    </row>
    <row r="190" spans="1:31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si="47"/>
        <v>5</v>
      </c>
      <c r="C190" s="184">
        <f t="shared" si="48"/>
        <v>41774</v>
      </c>
      <c r="D190" s="184" t="s">
        <v>924</v>
      </c>
      <c r="E190" s="37">
        <v>41774</v>
      </c>
      <c r="F190" s="189" t="s">
        <v>436</v>
      </c>
      <c r="G190" s="462" t="s">
        <v>514</v>
      </c>
      <c r="H190" s="7" t="s">
        <v>438</v>
      </c>
      <c r="I190" s="251">
        <v>300</v>
      </c>
      <c r="J190" s="253">
        <v>10500</v>
      </c>
      <c r="K190" s="563">
        <f>ROUND(I190*J190,0)</f>
        <v>3150000</v>
      </c>
      <c r="L190" s="564" t="s">
        <v>253</v>
      </c>
      <c r="M190" s="564" t="s">
        <v>177</v>
      </c>
      <c r="N190" s="52" t="str">
        <f>IF(AND('331-CT'!$E$7=TH!H190,OR(L190="331",M190="331")),"331",IF(AND(OR(L190="131",M190="131"),H190='131-CT'!$E$7),"131",""))</f>
        <v/>
      </c>
      <c r="O190" s="89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09"/>
      <c r="AC190" s="211" t="str">
        <f>IF(F190=VLOOKUP(F190,NXT!$C$12:$C$345,1,0),"","x")</f>
        <v/>
      </c>
    </row>
    <row r="191" spans="1:31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47"/>
        <v>5</v>
      </c>
      <c r="C191" s="184">
        <f t="shared" si="48"/>
        <v>41774</v>
      </c>
      <c r="D191" s="184" t="s">
        <v>924</v>
      </c>
      <c r="E191" s="37">
        <v>41774</v>
      </c>
      <c r="F191" s="189" t="s">
        <v>420</v>
      </c>
      <c r="G191" s="462" t="s">
        <v>514</v>
      </c>
      <c r="H191" s="7" t="s">
        <v>438</v>
      </c>
      <c r="I191" s="251"/>
      <c r="J191" s="253"/>
      <c r="K191" s="563">
        <v>315000</v>
      </c>
      <c r="L191" s="564" t="s">
        <v>253</v>
      </c>
      <c r="M191" s="564" t="s">
        <v>365</v>
      </c>
      <c r="N191" s="52" t="str">
        <f>IF(AND('331-CT'!$E$7=TH!H191,OR(L191="331",M191="331")),"331",IF(AND(OR(L191="131",M191="131"),H191='131-CT'!$E$7),"131",""))</f>
        <v/>
      </c>
      <c r="O191" s="89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09"/>
      <c r="AC191" s="555" t="str">
        <f>IF(VLOOKUP(H191,DS_131,1,0)&lt;&gt;"","","x")</f>
        <v/>
      </c>
    </row>
    <row r="192" spans="1:31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ref="B192" si="63">IF(C192&lt;&gt;"",MONTH(C192),"")</f>
        <v>5</v>
      </c>
      <c r="C192" s="184">
        <f t="shared" ref="C192" si="64">E192</f>
        <v>41774</v>
      </c>
      <c r="D192" s="184"/>
      <c r="E192" s="37">
        <v>41774</v>
      </c>
      <c r="F192" s="192" t="s">
        <v>894</v>
      </c>
      <c r="G192" s="462" t="s">
        <v>514</v>
      </c>
      <c r="H192" s="7" t="s">
        <v>438</v>
      </c>
      <c r="I192" s="251"/>
      <c r="J192" s="253"/>
      <c r="K192" s="563">
        <v>3465000</v>
      </c>
      <c r="L192" s="564" t="s">
        <v>47</v>
      </c>
      <c r="M192" s="564" t="s">
        <v>253</v>
      </c>
      <c r="N192" s="52" t="str">
        <f>IF(AND('331-CT'!$E$7=TH!H192,OR(L192="331",M192="331")),"331",IF(AND(OR(L192="131",M192="131"),H192='131-CT'!$E$7),"131",""))</f>
        <v/>
      </c>
      <c r="O192" s="89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>x</v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09"/>
      <c r="AC192" s="555" t="str">
        <f>IF(VLOOKUP(H192,DS_131,1,0)&lt;&gt;"","","x")</f>
        <v/>
      </c>
    </row>
    <row r="193" spans="1:31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47"/>
        <v>5</v>
      </c>
      <c r="C193" s="184">
        <f t="shared" si="48"/>
        <v>41774</v>
      </c>
      <c r="D193" s="184" t="s">
        <v>925</v>
      </c>
      <c r="E193" s="37">
        <v>41774</v>
      </c>
      <c r="F193" s="189" t="s">
        <v>515</v>
      </c>
      <c r="G193" s="462" t="s">
        <v>516</v>
      </c>
      <c r="H193" s="7" t="s">
        <v>908</v>
      </c>
      <c r="I193" s="251">
        <v>987</v>
      </c>
      <c r="J193" s="253">
        <v>12000</v>
      </c>
      <c r="K193" s="563">
        <f>ROUND(I193*J193,0)</f>
        <v>11844000</v>
      </c>
      <c r="L193" s="564" t="s">
        <v>253</v>
      </c>
      <c r="M193" s="564" t="s">
        <v>177</v>
      </c>
      <c r="N193" s="52" t="str">
        <f>IF(AND('331-CT'!$E$7=TH!H193,OR(L193="331",M193="331")),"331",IF(AND(OR(L193="131",M193="131"),H193='131-CT'!$E$7),"131",""))</f>
        <v/>
      </c>
      <c r="O193" s="89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09"/>
      <c r="AC193" s="211" t="str">
        <f>IF(F193=VLOOKUP(F193,NXT!$C$12:$C$345,1,0),"","x")</f>
        <v/>
      </c>
    </row>
    <row r="194" spans="1:31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47"/>
        <v>5</v>
      </c>
      <c r="C194" s="184">
        <f t="shared" si="48"/>
        <v>41774</v>
      </c>
      <c r="D194" s="184" t="s">
        <v>925</v>
      </c>
      <c r="E194" s="37">
        <v>41774</v>
      </c>
      <c r="F194" s="189" t="s">
        <v>420</v>
      </c>
      <c r="G194" s="462" t="s">
        <v>516</v>
      </c>
      <c r="H194" s="7" t="s">
        <v>908</v>
      </c>
      <c r="I194" s="251"/>
      <c r="J194" s="253"/>
      <c r="K194" s="38">
        <v>1184400</v>
      </c>
      <c r="L194" s="564" t="s">
        <v>253</v>
      </c>
      <c r="M194" s="564" t="s">
        <v>365</v>
      </c>
      <c r="N194" s="52" t="str">
        <f>IF(AND('331-CT'!$E$7=TH!H194,OR(L194="331",M194="331")),"331",IF(AND(OR(L194="131",M194="131"),H194='131-CT'!$E$7),"131",""))</f>
        <v/>
      </c>
      <c r="O194" s="89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09"/>
      <c r="AC194" s="555" t="str">
        <f>IF(VLOOKUP(H194,DS_131,1,0)&lt;&gt;"","","x")</f>
        <v/>
      </c>
    </row>
    <row r="195" spans="1:31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47"/>
        <v>5</v>
      </c>
      <c r="C195" s="184">
        <f t="shared" si="48"/>
        <v>41774</v>
      </c>
      <c r="D195" s="184" t="s">
        <v>926</v>
      </c>
      <c r="E195" s="37">
        <v>41774</v>
      </c>
      <c r="F195" s="189" t="s">
        <v>517</v>
      </c>
      <c r="G195" s="462" t="s">
        <v>518</v>
      </c>
      <c r="H195" s="7" t="s">
        <v>425</v>
      </c>
      <c r="I195" s="252">
        <v>995</v>
      </c>
      <c r="J195" s="253">
        <v>11300</v>
      </c>
      <c r="K195" s="563">
        <f>ROUND(I195*J195,0)</f>
        <v>11243500</v>
      </c>
      <c r="L195" s="564" t="s">
        <v>253</v>
      </c>
      <c r="M195" s="564" t="s">
        <v>177</v>
      </c>
      <c r="N195" s="52" t="str">
        <f>IF(AND('331-CT'!$E$7=TH!H195,OR(L195="331",M195="331")),"331",IF(AND(OR(L195="131",M195="131"),H195='131-CT'!$E$7),"131",""))</f>
        <v/>
      </c>
      <c r="O195" s="89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09"/>
      <c r="AC195" s="211" t="str">
        <f>IF(F195=VLOOKUP(F195,NXT!$C$12:$C$345,1,0),"","x")</f>
        <v/>
      </c>
      <c r="AD195" s="555"/>
      <c r="AE195" s="555"/>
    </row>
    <row r="196" spans="1:31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47"/>
        <v>5</v>
      </c>
      <c r="C196" s="184">
        <f t="shared" si="48"/>
        <v>41774</v>
      </c>
      <c r="D196" s="184" t="s">
        <v>926</v>
      </c>
      <c r="E196" s="37">
        <v>41774</v>
      </c>
      <c r="F196" s="189" t="s">
        <v>519</v>
      </c>
      <c r="G196" s="462" t="s">
        <v>518</v>
      </c>
      <c r="H196" s="7" t="s">
        <v>425</v>
      </c>
      <c r="I196" s="252">
        <v>497</v>
      </c>
      <c r="J196" s="253">
        <v>10500</v>
      </c>
      <c r="K196" s="563">
        <f>ROUND(I196*J196,0)</f>
        <v>5218500</v>
      </c>
      <c r="L196" s="564" t="s">
        <v>253</v>
      </c>
      <c r="M196" s="564" t="s">
        <v>177</v>
      </c>
      <c r="N196" s="52" t="str">
        <f>IF(AND('331-CT'!$E$7=TH!H196,OR(L196="331",M196="331")),"331",IF(AND(OR(L196="131",M196="131"),H196='131-CT'!$E$7),"131",""))</f>
        <v/>
      </c>
      <c r="O196" s="89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09"/>
      <c r="AC196" s="211" t="str">
        <f>IF(F196=VLOOKUP(F196,NXT!$C$12:$C$345,1,0),"","x")</f>
        <v/>
      </c>
      <c r="AD196" s="555"/>
      <c r="AE196" s="555"/>
    </row>
    <row r="197" spans="1:31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47"/>
        <v>5</v>
      </c>
      <c r="C197" s="184">
        <f t="shared" si="48"/>
        <v>41774</v>
      </c>
      <c r="D197" s="184" t="s">
        <v>926</v>
      </c>
      <c r="E197" s="37">
        <v>41774</v>
      </c>
      <c r="F197" s="189" t="s">
        <v>420</v>
      </c>
      <c r="G197" s="462" t="s">
        <v>518</v>
      </c>
      <c r="H197" s="7" t="s">
        <v>425</v>
      </c>
      <c r="I197" s="251"/>
      <c r="J197" s="253"/>
      <c r="K197" s="563">
        <v>1646200</v>
      </c>
      <c r="L197" s="564" t="s">
        <v>253</v>
      </c>
      <c r="M197" s="564" t="s">
        <v>365</v>
      </c>
      <c r="N197" s="52" t="str">
        <f>IF(AND('331-CT'!$E$7=TH!H197,OR(L197="331",M197="331")),"331",IF(AND(OR(L197="131",M197="131"),H197='131-CT'!$E$7),"131",""))</f>
        <v/>
      </c>
      <c r="O197" s="89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09"/>
      <c r="AC197" s="555" t="str">
        <f>IF(VLOOKUP(H197,DS_131,1,0)&lt;&gt;"","","x")</f>
        <v/>
      </c>
      <c r="AD197" s="555"/>
      <c r="AE197" s="555"/>
    </row>
    <row r="198" spans="1:31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ref="B198" si="65">IF(C198&lt;&gt;"",MONTH(C198),"")</f>
        <v>5</v>
      </c>
      <c r="C198" s="184">
        <f t="shared" ref="C198" si="66">E198</f>
        <v>41774</v>
      </c>
      <c r="D198" s="184"/>
      <c r="E198" s="37">
        <v>41774</v>
      </c>
      <c r="F198" s="192" t="s">
        <v>894</v>
      </c>
      <c r="G198" s="462" t="s">
        <v>518</v>
      </c>
      <c r="H198" s="7" t="s">
        <v>425</v>
      </c>
      <c r="I198" s="251"/>
      <c r="J198" s="253"/>
      <c r="K198" s="563">
        <v>18108200</v>
      </c>
      <c r="L198" s="564" t="s">
        <v>47</v>
      </c>
      <c r="M198" s="564" t="s">
        <v>253</v>
      </c>
      <c r="N198" s="52" t="str">
        <f>IF(AND('331-CT'!$E$7=TH!H198,OR(L198="331",M198="331")),"331",IF(AND(OR(L198="131",M198="131"),H198='131-CT'!$E$7),"131",""))</f>
        <v/>
      </c>
      <c r="O198" s="89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>x</v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09"/>
      <c r="AC198" s="555" t="str">
        <f>IF(VLOOKUP(H198,DS_131,1,0)&lt;&gt;"","","x")</f>
        <v/>
      </c>
      <c r="AD198" s="555"/>
      <c r="AE198" s="555"/>
    </row>
    <row r="199" spans="1:31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47"/>
        <v>5</v>
      </c>
      <c r="C199" s="184">
        <f t="shared" si="48"/>
        <v>41778</v>
      </c>
      <c r="D199" s="184" t="s">
        <v>927</v>
      </c>
      <c r="E199" s="37">
        <v>41778</v>
      </c>
      <c r="F199" s="189" t="s">
        <v>483</v>
      </c>
      <c r="G199" s="462" t="s">
        <v>520</v>
      </c>
      <c r="H199" s="7" t="s">
        <v>907</v>
      </c>
      <c r="I199" s="253">
        <v>205</v>
      </c>
      <c r="J199" s="253">
        <v>12900</v>
      </c>
      <c r="K199" s="563">
        <f>ROUND(I199*J199,0)</f>
        <v>2644500</v>
      </c>
      <c r="L199" s="564" t="s">
        <v>253</v>
      </c>
      <c r="M199" s="564" t="s">
        <v>177</v>
      </c>
      <c r="N199" s="52" t="str">
        <f>IF(AND('331-CT'!$E$7=TH!H199,OR(L199="331",M199="331")),"331",IF(AND(OR(L199="131",M199="131"),H199='131-CT'!$E$7),"131",""))</f>
        <v/>
      </c>
      <c r="O199" s="89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09"/>
      <c r="AC199" s="211" t="str">
        <f>IF(F199=VLOOKUP(F199,NXT!$C$12:$C$345,1,0),"","x")</f>
        <v/>
      </c>
    </row>
    <row r="200" spans="1:31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47"/>
        <v>5</v>
      </c>
      <c r="C200" s="184">
        <f t="shared" si="48"/>
        <v>41778</v>
      </c>
      <c r="D200" s="184" t="s">
        <v>927</v>
      </c>
      <c r="E200" s="37">
        <v>41778</v>
      </c>
      <c r="F200" s="40" t="s">
        <v>487</v>
      </c>
      <c r="G200" s="460" t="s">
        <v>520</v>
      </c>
      <c r="H200" s="7" t="s">
        <v>907</v>
      </c>
      <c r="I200" s="251">
        <v>297</v>
      </c>
      <c r="J200" s="251">
        <v>6400</v>
      </c>
      <c r="K200" s="563">
        <f>ROUND(I200*J200,0)</f>
        <v>1900800</v>
      </c>
      <c r="L200" s="564" t="s">
        <v>253</v>
      </c>
      <c r="M200" s="564" t="s">
        <v>177</v>
      </c>
      <c r="N200" s="52" t="str">
        <f>IF(AND('331-CT'!$E$7=TH!H200,OR(L200="331",M200="331")),"331",IF(AND(OR(L200="131",M200="131"),H200='131-CT'!$E$7),"131",""))</f>
        <v/>
      </c>
      <c r="O200" s="89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09"/>
      <c r="AC200" s="211" t="str">
        <f>IF(F200=VLOOKUP(F200,NXT!$C$12:$C$345,1,0),"","x")</f>
        <v/>
      </c>
    </row>
    <row r="201" spans="1:31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47"/>
        <v>5</v>
      </c>
      <c r="C201" s="184">
        <f t="shared" si="48"/>
        <v>41778</v>
      </c>
      <c r="D201" s="184" t="s">
        <v>927</v>
      </c>
      <c r="E201" s="37">
        <v>41778</v>
      </c>
      <c r="F201" s="40" t="s">
        <v>486</v>
      </c>
      <c r="G201" s="460" t="s">
        <v>520</v>
      </c>
      <c r="H201" s="7" t="s">
        <v>907</v>
      </c>
      <c r="I201" s="251">
        <v>374</v>
      </c>
      <c r="J201" s="251">
        <v>9300</v>
      </c>
      <c r="K201" s="563">
        <f>ROUND(I201*J201,0)</f>
        <v>3478200</v>
      </c>
      <c r="L201" s="564" t="s">
        <v>253</v>
      </c>
      <c r="M201" s="564" t="s">
        <v>177</v>
      </c>
      <c r="N201" s="52" t="str">
        <f>IF(AND('331-CT'!$E$7=TH!H201,OR(L201="331",M201="331")),"331",IF(AND(OR(L201="131",M201="131"),H201='131-CT'!$E$7),"131",""))</f>
        <v/>
      </c>
      <c r="O201" s="89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09"/>
      <c r="AC201" s="211" t="str">
        <f>IF(F201=VLOOKUP(F201,NXT!$C$12:$C$345,1,0),"","x")</f>
        <v/>
      </c>
    </row>
    <row r="202" spans="1:31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47"/>
        <v>5</v>
      </c>
      <c r="C202" s="184">
        <f t="shared" si="48"/>
        <v>41778</v>
      </c>
      <c r="D202" s="184" t="s">
        <v>927</v>
      </c>
      <c r="E202" s="184">
        <v>41778</v>
      </c>
      <c r="F202" s="189" t="s">
        <v>494</v>
      </c>
      <c r="G202" s="565" t="s">
        <v>520</v>
      </c>
      <c r="H202" s="7" t="s">
        <v>907</v>
      </c>
      <c r="I202" s="251">
        <v>399</v>
      </c>
      <c r="J202" s="251">
        <v>8500</v>
      </c>
      <c r="K202" s="563">
        <f>ROUND(I202*J202,0)</f>
        <v>3391500</v>
      </c>
      <c r="L202" s="564" t="s">
        <v>253</v>
      </c>
      <c r="M202" s="564" t="s">
        <v>177</v>
      </c>
      <c r="N202" s="52" t="str">
        <f>IF(AND('331-CT'!$E$7=TH!H202,OR(L202="331",M202="331")),"331",IF(AND(OR(L202="131",M202="131"),H202='131-CT'!$E$7),"131",""))</f>
        <v/>
      </c>
      <c r="O202" s="89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09"/>
      <c r="AC202" s="211" t="str">
        <f>IF(F202=VLOOKUP(F202,NXT!$C$12:$C$345,1,0),"","x")</f>
        <v/>
      </c>
    </row>
    <row r="203" spans="1:31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47"/>
        <v>5</v>
      </c>
      <c r="C203" s="184">
        <f t="shared" si="48"/>
        <v>41778</v>
      </c>
      <c r="D203" s="184" t="s">
        <v>927</v>
      </c>
      <c r="E203" s="184">
        <v>41778</v>
      </c>
      <c r="F203" s="189" t="s">
        <v>420</v>
      </c>
      <c r="G203" s="565" t="s">
        <v>520</v>
      </c>
      <c r="H203" s="7" t="s">
        <v>907</v>
      </c>
      <c r="I203" s="251"/>
      <c r="J203" s="251"/>
      <c r="K203" s="563">
        <v>1141500</v>
      </c>
      <c r="L203" s="564" t="s">
        <v>253</v>
      </c>
      <c r="M203" s="564" t="s">
        <v>365</v>
      </c>
      <c r="N203" s="52" t="str">
        <f>IF(AND('331-CT'!$E$7=TH!H203,OR(L203="331",M203="331")),"331",IF(AND(OR(L203="131",M203="131"),H203='131-CT'!$E$7),"131",""))</f>
        <v/>
      </c>
      <c r="O203" s="89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09"/>
      <c r="AC203" s="555" t="str">
        <f>IF(VLOOKUP(H203,DS_131,1,0)&lt;&gt;"","","x")</f>
        <v/>
      </c>
    </row>
    <row r="204" spans="1:31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47"/>
        <v>5</v>
      </c>
      <c r="C204" s="184">
        <f t="shared" si="48"/>
        <v>41779</v>
      </c>
      <c r="D204" s="184" t="s">
        <v>928</v>
      </c>
      <c r="E204" s="184">
        <v>41779</v>
      </c>
      <c r="F204" s="189" t="s">
        <v>521</v>
      </c>
      <c r="G204" s="463" t="s">
        <v>522</v>
      </c>
      <c r="H204" s="7" t="s">
        <v>469</v>
      </c>
      <c r="I204" s="253">
        <v>150</v>
      </c>
      <c r="J204" s="253">
        <v>4000</v>
      </c>
      <c r="K204" s="563">
        <f>ROUND(I204*J204,0)</f>
        <v>600000</v>
      </c>
      <c r="L204" s="564" t="s">
        <v>253</v>
      </c>
      <c r="M204" s="564" t="s">
        <v>177</v>
      </c>
      <c r="N204" s="52" t="str">
        <f>IF(AND('331-CT'!$E$7=TH!H204,OR(L204="331",M204="331")),"331",IF(AND(OR(L204="131",M204="131"),H204='131-CT'!$E$7),"131",""))</f>
        <v/>
      </c>
      <c r="O204" s="89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09"/>
      <c r="AC204" s="211" t="str">
        <f>IF(F204=VLOOKUP(F204,NXT!$C$12:$C$345,1,0),"","x")</f>
        <v/>
      </c>
    </row>
    <row r="205" spans="1:31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47"/>
        <v>5</v>
      </c>
      <c r="C205" s="184">
        <f t="shared" si="48"/>
        <v>41779</v>
      </c>
      <c r="D205" s="184" t="s">
        <v>928</v>
      </c>
      <c r="E205" s="184">
        <v>41779</v>
      </c>
      <c r="F205" s="291" t="s">
        <v>523</v>
      </c>
      <c r="G205" s="463" t="s">
        <v>522</v>
      </c>
      <c r="H205" s="7" t="s">
        <v>469</v>
      </c>
      <c r="I205" s="253">
        <v>1250</v>
      </c>
      <c r="J205" s="251">
        <v>4600</v>
      </c>
      <c r="K205" s="563">
        <f>ROUND(I205*J205,0)</f>
        <v>5750000</v>
      </c>
      <c r="L205" s="564" t="s">
        <v>253</v>
      </c>
      <c r="M205" s="564" t="s">
        <v>177</v>
      </c>
      <c r="N205" s="52" t="str">
        <f>IF(AND('331-CT'!$E$7=TH!H205,OR(L205="331",M205="331")),"331",IF(AND(OR(L205="131",M205="131"),H205='131-CT'!$E$7),"131",""))</f>
        <v/>
      </c>
      <c r="O205" s="89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09"/>
      <c r="AC205" s="211" t="str">
        <f>IF(F205=VLOOKUP(F205,NXT!$C$12:$C$345,1,0),"","x")</f>
        <v/>
      </c>
    </row>
    <row r="206" spans="1:31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47"/>
        <v>5</v>
      </c>
      <c r="C206" s="184">
        <f t="shared" si="48"/>
        <v>41779</v>
      </c>
      <c r="D206" s="184" t="s">
        <v>928</v>
      </c>
      <c r="E206" s="184">
        <v>41779</v>
      </c>
      <c r="F206" s="189" t="s">
        <v>420</v>
      </c>
      <c r="G206" s="565" t="s">
        <v>522</v>
      </c>
      <c r="H206" s="7" t="s">
        <v>469</v>
      </c>
      <c r="I206" s="251"/>
      <c r="J206" s="251"/>
      <c r="K206" s="563">
        <v>635000</v>
      </c>
      <c r="L206" s="564" t="s">
        <v>253</v>
      </c>
      <c r="M206" s="564" t="s">
        <v>365</v>
      </c>
      <c r="N206" s="52" t="str">
        <f>IF(AND('331-CT'!$E$7=TH!H206,OR(L206="331",M206="331")),"331",IF(AND(OR(L206="131",M206="131"),H206='131-CT'!$E$7),"131",""))</f>
        <v/>
      </c>
      <c r="O206" s="89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09"/>
      <c r="AC206" s="555" t="str">
        <f>IF(VLOOKUP(H206,DS_131,1,0)&lt;&gt;"","","x")</f>
        <v/>
      </c>
    </row>
    <row r="207" spans="1:31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47"/>
        <v>5</v>
      </c>
      <c r="C207" s="184">
        <f t="shared" si="48"/>
        <v>41780</v>
      </c>
      <c r="D207" s="184" t="s">
        <v>929</v>
      </c>
      <c r="E207" s="184">
        <v>41780</v>
      </c>
      <c r="F207" s="189" t="s">
        <v>524</v>
      </c>
      <c r="G207" s="565" t="s">
        <v>525</v>
      </c>
      <c r="H207" s="7" t="s">
        <v>477</v>
      </c>
      <c r="I207" s="251">
        <v>1200</v>
      </c>
      <c r="J207" s="251">
        <v>1500</v>
      </c>
      <c r="K207" s="563">
        <f>ROUND(I207*J207,0)</f>
        <v>1800000</v>
      </c>
      <c r="L207" s="564" t="s">
        <v>253</v>
      </c>
      <c r="M207" s="564" t="s">
        <v>177</v>
      </c>
      <c r="N207" s="52" t="str">
        <f>IF(AND('331-CT'!$E$7=TH!H207,OR(L207="331",M207="331")),"331",IF(AND(OR(L207="131",M207="131"),H207='131-CT'!$E$7),"131",""))</f>
        <v/>
      </c>
      <c r="O207" s="89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09"/>
      <c r="AC207" s="211" t="str">
        <f>IF(F207=VLOOKUP(F207,NXT!$C$12:$C$345,1,0),"","x")</f>
        <v/>
      </c>
    </row>
    <row r="208" spans="1:31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47"/>
        <v>5</v>
      </c>
      <c r="C208" s="184">
        <f t="shared" si="48"/>
        <v>41780</v>
      </c>
      <c r="D208" s="184" t="s">
        <v>929</v>
      </c>
      <c r="E208" s="184">
        <v>41780</v>
      </c>
      <c r="F208" s="189" t="s">
        <v>420</v>
      </c>
      <c r="G208" s="565" t="s">
        <v>525</v>
      </c>
      <c r="H208" s="7" t="s">
        <v>477</v>
      </c>
      <c r="I208" s="251"/>
      <c r="J208" s="251"/>
      <c r="K208" s="563">
        <v>180000</v>
      </c>
      <c r="L208" s="564" t="s">
        <v>253</v>
      </c>
      <c r="M208" s="564" t="s">
        <v>365</v>
      </c>
      <c r="N208" s="52" t="str">
        <f>IF(AND('331-CT'!$E$7=TH!H208,OR(L208="331",M208="331")),"331",IF(AND(OR(L208="131",M208="131"),H208='131-CT'!$E$7),"131",""))</f>
        <v/>
      </c>
      <c r="O208" s="89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09"/>
      <c r="AC208" s="555" t="str">
        <f>IF(VLOOKUP(H208,DS_131,1,0)&lt;&gt;"","","x")</f>
        <v/>
      </c>
    </row>
    <row r="209" spans="1:29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ref="B209" si="67">IF(C209&lt;&gt;"",MONTH(C209),"")</f>
        <v>5</v>
      </c>
      <c r="C209" s="184">
        <f t="shared" ref="C209" si="68">E209</f>
        <v>41780</v>
      </c>
      <c r="D209" s="184"/>
      <c r="E209" s="184">
        <v>41780</v>
      </c>
      <c r="F209" s="192" t="s">
        <v>894</v>
      </c>
      <c r="G209" s="565" t="s">
        <v>525</v>
      </c>
      <c r="H209" s="7" t="s">
        <v>477</v>
      </c>
      <c r="I209" s="251"/>
      <c r="J209" s="251"/>
      <c r="K209" s="563">
        <v>1980000</v>
      </c>
      <c r="L209" s="564" t="s">
        <v>47</v>
      </c>
      <c r="M209" s="564" t="s">
        <v>253</v>
      </c>
      <c r="N209" s="52" t="str">
        <f>IF(AND('331-CT'!$E$7=TH!H209,OR(L209="331",M209="331")),"331",IF(AND(OR(L209="131",M209="131"),H209='131-CT'!$E$7),"131",""))</f>
        <v/>
      </c>
      <c r="O209" s="89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>x</v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09"/>
      <c r="AC209" s="555" t="str">
        <f>IF(VLOOKUP(H209,DS_131,1,0)&lt;&gt;"","","x")</f>
        <v/>
      </c>
    </row>
    <row r="210" spans="1:29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47"/>
        <v>5</v>
      </c>
      <c r="C210" s="184">
        <f t="shared" si="48"/>
        <v>41780</v>
      </c>
      <c r="D210" s="184" t="s">
        <v>930</v>
      </c>
      <c r="E210" s="184">
        <v>41780</v>
      </c>
      <c r="F210" s="189" t="s">
        <v>466</v>
      </c>
      <c r="G210" s="463" t="s">
        <v>526</v>
      </c>
      <c r="H210" s="7" t="s">
        <v>908</v>
      </c>
      <c r="I210" s="251">
        <v>1305</v>
      </c>
      <c r="J210" s="251">
        <v>4650</v>
      </c>
      <c r="K210" s="563">
        <f>ROUND(I210*J210,0)</f>
        <v>6068250</v>
      </c>
      <c r="L210" s="564" t="s">
        <v>253</v>
      </c>
      <c r="M210" s="564" t="s">
        <v>177</v>
      </c>
      <c r="N210" s="52" t="str">
        <f>IF(AND('331-CT'!$E$7=TH!H210,OR(L210="331",M210="331")),"331",IF(AND(OR(L210="131",M210="131"),H210='131-CT'!$E$7),"131",""))</f>
        <v/>
      </c>
      <c r="O210" s="89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09"/>
      <c r="AC210" s="211" t="str">
        <f>IF(F210=VLOOKUP(F210,NXT!$C$12:$C$345,1,0),"","x")</f>
        <v/>
      </c>
    </row>
    <row r="211" spans="1:29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47"/>
        <v>5</v>
      </c>
      <c r="C211" s="184">
        <f t="shared" si="48"/>
        <v>41780</v>
      </c>
      <c r="D211" s="184" t="s">
        <v>930</v>
      </c>
      <c r="E211" s="184">
        <v>41780</v>
      </c>
      <c r="F211" s="189" t="s">
        <v>420</v>
      </c>
      <c r="G211" s="463" t="s">
        <v>526</v>
      </c>
      <c r="H211" s="7" t="s">
        <v>908</v>
      </c>
      <c r="I211" s="251"/>
      <c r="J211" s="251"/>
      <c r="K211" s="563">
        <v>606825</v>
      </c>
      <c r="L211" s="564" t="s">
        <v>253</v>
      </c>
      <c r="M211" s="564" t="s">
        <v>365</v>
      </c>
      <c r="N211" s="52" t="str">
        <f>IF(AND('331-CT'!$E$7=TH!H211,OR(L211="331",M211="331")),"331",IF(AND(OR(L211="131",M211="131"),H211='131-CT'!$E$7),"131",""))</f>
        <v/>
      </c>
      <c r="O211" s="89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09"/>
      <c r="AC211" s="555" t="str">
        <f>IF(VLOOKUP(H211,DS_131,1,0)&lt;&gt;"","","x")</f>
        <v/>
      </c>
    </row>
    <row r="212" spans="1:29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47"/>
        <v>5</v>
      </c>
      <c r="C212" s="184">
        <f t="shared" si="48"/>
        <v>41781</v>
      </c>
      <c r="D212" s="184" t="s">
        <v>931</v>
      </c>
      <c r="E212" s="37">
        <v>41781</v>
      </c>
      <c r="F212" s="40" t="s">
        <v>527</v>
      </c>
      <c r="G212" s="460" t="s">
        <v>528</v>
      </c>
      <c r="H212" s="45" t="s">
        <v>425</v>
      </c>
      <c r="I212" s="251">
        <v>497</v>
      </c>
      <c r="J212" s="251">
        <v>17800</v>
      </c>
      <c r="K212" s="563">
        <f>ROUND(I212*J212,0)</f>
        <v>8846600</v>
      </c>
      <c r="L212" s="564" t="s">
        <v>253</v>
      </c>
      <c r="M212" s="564" t="s">
        <v>177</v>
      </c>
      <c r="N212" s="52" t="str">
        <f>IF(AND('331-CT'!$E$7=TH!H212,OR(L212="331",M212="331")),"331",IF(AND(OR(L212="131",M212="131"),H212='131-CT'!$E$7),"131",""))</f>
        <v/>
      </c>
      <c r="O212" s="89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09"/>
      <c r="AC212" s="211" t="str">
        <f>IF(F212=VLOOKUP(F212,NXT!$C$12:$C$345,1,0),"","x")</f>
        <v/>
      </c>
    </row>
    <row r="213" spans="1:29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ref="B213:B289" si="69">IF(C213&lt;&gt;"",MONTH(C213),"")</f>
        <v>5</v>
      </c>
      <c r="C213" s="184">
        <f t="shared" ref="C213:C289" si="70">E213</f>
        <v>41781</v>
      </c>
      <c r="D213" s="184" t="s">
        <v>931</v>
      </c>
      <c r="E213" s="37">
        <v>41781</v>
      </c>
      <c r="F213" s="40" t="s">
        <v>420</v>
      </c>
      <c r="G213" s="460" t="s">
        <v>528</v>
      </c>
      <c r="H213" s="45" t="s">
        <v>425</v>
      </c>
      <c r="I213" s="251"/>
      <c r="J213" s="251"/>
      <c r="K213" s="38">
        <v>884660</v>
      </c>
      <c r="L213" s="564" t="s">
        <v>253</v>
      </c>
      <c r="M213" s="564" t="s">
        <v>365</v>
      </c>
      <c r="N213" s="52" t="str">
        <f>IF(AND('331-CT'!$E$7=TH!H213,OR(L213="331",M213="331")),"331",IF(AND(OR(L213="131",M213="131"),H213='131-CT'!$E$7),"131",""))</f>
        <v/>
      </c>
      <c r="O213" s="89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09"/>
      <c r="AC213" s="555" t="str">
        <f>IF(VLOOKUP(H213,DS_131,1,0)&lt;&gt;"","","x")</f>
        <v/>
      </c>
    </row>
    <row r="214" spans="1:29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ref="B214" si="71">IF(C214&lt;&gt;"",MONTH(C214),"")</f>
        <v>5</v>
      </c>
      <c r="C214" s="184">
        <f t="shared" ref="C214" si="72">E214</f>
        <v>41781</v>
      </c>
      <c r="D214" s="184"/>
      <c r="E214" s="37">
        <v>41781</v>
      </c>
      <c r="F214" s="192" t="s">
        <v>894</v>
      </c>
      <c r="G214" s="460" t="s">
        <v>528</v>
      </c>
      <c r="H214" s="45" t="s">
        <v>425</v>
      </c>
      <c r="I214" s="251"/>
      <c r="J214" s="251"/>
      <c r="K214" s="38">
        <v>9731260</v>
      </c>
      <c r="L214" s="564" t="s">
        <v>47</v>
      </c>
      <c r="M214" s="564" t="s">
        <v>253</v>
      </c>
      <c r="N214" s="52" t="str">
        <f>IF(AND('331-CT'!$E$7=TH!H214,OR(L214="331",M214="331")),"331",IF(AND(OR(L214="131",M214="131"),H214='131-CT'!$E$7),"131",""))</f>
        <v/>
      </c>
      <c r="O214" s="89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>x</v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09"/>
      <c r="AC214" s="555" t="str">
        <f>IF(VLOOKUP(H214,DS_131,1,0)&lt;&gt;"","","x")</f>
        <v/>
      </c>
    </row>
    <row r="215" spans="1:29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69"/>
        <v>5</v>
      </c>
      <c r="C215" s="184">
        <f t="shared" si="70"/>
        <v>41786</v>
      </c>
      <c r="D215" s="184" t="s">
        <v>932</v>
      </c>
      <c r="E215" s="37">
        <v>41786</v>
      </c>
      <c r="F215" s="40" t="s">
        <v>463</v>
      </c>
      <c r="G215" s="460" t="s">
        <v>529</v>
      </c>
      <c r="H215" s="45" t="s">
        <v>425</v>
      </c>
      <c r="I215" s="251">
        <v>998</v>
      </c>
      <c r="J215" s="251">
        <v>12300</v>
      </c>
      <c r="K215" s="563">
        <f>ROUND(I215*J215,0)</f>
        <v>12275400</v>
      </c>
      <c r="L215" s="564" t="s">
        <v>253</v>
      </c>
      <c r="M215" s="564" t="s">
        <v>177</v>
      </c>
      <c r="N215" s="52" t="str">
        <f>IF(AND('331-CT'!$E$7=TH!H215,OR(L215="331",M215="331")),"331",IF(AND(OR(L215="131",M215="131"),H215='131-CT'!$E$7),"131",""))</f>
        <v/>
      </c>
      <c r="O215" s="89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09"/>
      <c r="AC215" s="211" t="str">
        <f>IF(F215=VLOOKUP(F215,NXT!$C$12:$C$345,1,0),"","x")</f>
        <v/>
      </c>
    </row>
    <row r="216" spans="1:29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69"/>
        <v>5</v>
      </c>
      <c r="C216" s="184">
        <f t="shared" si="70"/>
        <v>41786</v>
      </c>
      <c r="D216" s="184" t="s">
        <v>932</v>
      </c>
      <c r="E216" s="743">
        <v>41786</v>
      </c>
      <c r="F216" s="189" t="s">
        <v>420</v>
      </c>
      <c r="G216" s="463" t="s">
        <v>529</v>
      </c>
      <c r="H216" s="7" t="s">
        <v>425</v>
      </c>
      <c r="I216" s="251"/>
      <c r="J216" s="251"/>
      <c r="K216" s="563">
        <v>1227540</v>
      </c>
      <c r="L216" s="564" t="s">
        <v>253</v>
      </c>
      <c r="M216" s="564" t="s">
        <v>365</v>
      </c>
      <c r="N216" s="52" t="str">
        <f>IF(AND('331-CT'!$E$7=TH!H216,OR(L216="331",M216="331")),"331",IF(AND(OR(L216="131",M216="131"),H216='131-CT'!$E$7),"131",""))</f>
        <v/>
      </c>
      <c r="O216" s="89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09"/>
      <c r="AC216" s="555" t="str">
        <f>IF(VLOOKUP(H216,DS_131,1,0)&lt;&gt;"","","x")</f>
        <v/>
      </c>
    </row>
    <row r="217" spans="1:29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" si="73">IF(C217&lt;&gt;"",MONTH(C217),"")</f>
        <v>5</v>
      </c>
      <c r="C217" s="184">
        <f t="shared" ref="C217" si="74">E217</f>
        <v>41786</v>
      </c>
      <c r="D217" s="184"/>
      <c r="E217" s="743">
        <v>41786</v>
      </c>
      <c r="F217" s="192" t="s">
        <v>894</v>
      </c>
      <c r="G217" s="463" t="s">
        <v>529</v>
      </c>
      <c r="H217" s="7" t="s">
        <v>425</v>
      </c>
      <c r="I217" s="251"/>
      <c r="J217" s="251"/>
      <c r="K217" s="38">
        <v>13502940</v>
      </c>
      <c r="L217" s="564" t="s">
        <v>47</v>
      </c>
      <c r="M217" s="564" t="s">
        <v>253</v>
      </c>
      <c r="N217" s="52" t="str">
        <f>IF(AND('331-CT'!$E$7=TH!H217,OR(L217="331",M217="331")),"331",IF(AND(OR(L217="131",M217="131"),H217='131-CT'!$E$7),"131",""))</f>
        <v/>
      </c>
      <c r="O217" s="89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>x</v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09"/>
      <c r="AC217" s="555" t="str">
        <f>IF(VLOOKUP(H217,DS_131,1,0)&lt;&gt;"","","x")</f>
        <v/>
      </c>
    </row>
    <row r="218" spans="1:29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69"/>
        <v>5</v>
      </c>
      <c r="C218" s="184">
        <f t="shared" si="70"/>
        <v>41788</v>
      </c>
      <c r="D218" s="184" t="s">
        <v>933</v>
      </c>
      <c r="E218" s="743">
        <v>41788</v>
      </c>
      <c r="F218" s="189" t="s">
        <v>436</v>
      </c>
      <c r="G218" s="463" t="s">
        <v>530</v>
      </c>
      <c r="H218" s="7" t="s">
        <v>438</v>
      </c>
      <c r="I218" s="251">
        <v>496</v>
      </c>
      <c r="J218" s="251">
        <v>10500</v>
      </c>
      <c r="K218" s="563">
        <f>ROUND(I218*J218,0)</f>
        <v>5208000</v>
      </c>
      <c r="L218" s="564" t="s">
        <v>253</v>
      </c>
      <c r="M218" s="564" t="s">
        <v>177</v>
      </c>
      <c r="N218" s="52" t="str">
        <f>IF(AND('331-CT'!$E$7=TH!H218,OR(L218="331",M218="331")),"331",IF(AND(OR(L218="131",M218="131"),H218='131-CT'!$E$7),"131",""))</f>
        <v/>
      </c>
      <c r="O218" s="89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09"/>
      <c r="AC218" s="211" t="str">
        <f>IF(F218=VLOOKUP(F218,NXT!$C$12:$C$345,1,0),"","x")</f>
        <v/>
      </c>
    </row>
    <row r="219" spans="1:29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69"/>
        <v>5</v>
      </c>
      <c r="C219" s="184">
        <f t="shared" si="70"/>
        <v>41788</v>
      </c>
      <c r="D219" s="184" t="s">
        <v>933</v>
      </c>
      <c r="E219" s="743">
        <v>41788</v>
      </c>
      <c r="F219" s="291" t="s">
        <v>420</v>
      </c>
      <c r="G219" s="463" t="s">
        <v>530</v>
      </c>
      <c r="H219" s="7" t="s">
        <v>438</v>
      </c>
      <c r="I219" s="252"/>
      <c r="J219" s="252"/>
      <c r="K219" s="563">
        <v>520800</v>
      </c>
      <c r="L219" s="564" t="s">
        <v>253</v>
      </c>
      <c r="M219" s="564" t="s">
        <v>365</v>
      </c>
      <c r="N219" s="52" t="str">
        <f>IF(AND('331-CT'!$E$7=TH!H219,OR(L219="331",M219="331")),"331",IF(AND(OR(L219="131",M219="131"),H219='131-CT'!$E$7),"131",""))</f>
        <v/>
      </c>
      <c r="O219" s="89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09"/>
      <c r="AC219" s="555" t="str">
        <f>IF(VLOOKUP(H219,DS_131,1,0)&lt;&gt;"","","x")</f>
        <v/>
      </c>
    </row>
    <row r="220" spans="1:29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ref="B220" si="75">IF(C220&lt;&gt;"",MONTH(C220),"")</f>
        <v>5</v>
      </c>
      <c r="C220" s="184">
        <f t="shared" ref="C220" si="76">E220</f>
        <v>41788</v>
      </c>
      <c r="D220" s="184"/>
      <c r="E220" s="743">
        <v>41788</v>
      </c>
      <c r="F220" s="192" t="s">
        <v>894</v>
      </c>
      <c r="G220" s="463" t="s">
        <v>530</v>
      </c>
      <c r="H220" s="7" t="s">
        <v>438</v>
      </c>
      <c r="I220" s="252"/>
      <c r="J220" s="252"/>
      <c r="K220" s="563">
        <v>5728800</v>
      </c>
      <c r="L220" s="564" t="s">
        <v>47</v>
      </c>
      <c r="M220" s="564" t="s">
        <v>253</v>
      </c>
      <c r="N220" s="52" t="str">
        <f>IF(AND('331-CT'!$E$7=TH!H220,OR(L220="331",M220="331")),"331",IF(AND(OR(L220="131",M220="131"),H220='131-CT'!$E$7),"131",""))</f>
        <v/>
      </c>
      <c r="O220" s="89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>x</v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09"/>
      <c r="AC220" s="555" t="str">
        <f>IF(VLOOKUP(H220,DS_131,1,0)&lt;&gt;"","","x")</f>
        <v/>
      </c>
    </row>
    <row r="221" spans="1:29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69"/>
        <v>5</v>
      </c>
      <c r="C221" s="184">
        <f t="shared" si="70"/>
        <v>41788</v>
      </c>
      <c r="D221" s="184" t="s">
        <v>934</v>
      </c>
      <c r="E221" s="743">
        <v>41788</v>
      </c>
      <c r="F221" s="189" t="s">
        <v>508</v>
      </c>
      <c r="G221" s="565" t="s">
        <v>531</v>
      </c>
      <c r="H221" s="7" t="s">
        <v>907</v>
      </c>
      <c r="I221" s="251">
        <v>304</v>
      </c>
      <c r="J221" s="251">
        <v>9400</v>
      </c>
      <c r="K221" s="563">
        <f>ROUND(I221*J221,0)</f>
        <v>2857600</v>
      </c>
      <c r="L221" s="564" t="s">
        <v>253</v>
      </c>
      <c r="M221" s="564" t="s">
        <v>177</v>
      </c>
      <c r="N221" s="52" t="str">
        <f>IF(AND('331-CT'!$E$7=TH!H221,OR(L221="331",M221="331")),"331",IF(AND(OR(L221="131",M221="131"),H221='131-CT'!$E$7),"131",""))</f>
        <v/>
      </c>
      <c r="O221" s="89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09"/>
      <c r="AC221" s="211" t="str">
        <f>IF(F221=VLOOKUP(F221,NXT!$C$12:$C$345,1,0),"","x")</f>
        <v/>
      </c>
    </row>
    <row r="222" spans="1:29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69"/>
        <v>5</v>
      </c>
      <c r="C222" s="184">
        <f t="shared" si="70"/>
        <v>41788</v>
      </c>
      <c r="D222" s="184" t="s">
        <v>934</v>
      </c>
      <c r="E222" s="743">
        <v>41788</v>
      </c>
      <c r="F222" s="189" t="s">
        <v>532</v>
      </c>
      <c r="G222" s="463" t="s">
        <v>531</v>
      </c>
      <c r="H222" s="7" t="s">
        <v>907</v>
      </c>
      <c r="I222" s="251">
        <v>154</v>
      </c>
      <c r="J222" s="251">
        <v>11600</v>
      </c>
      <c r="K222" s="563">
        <f>ROUND(I222*J222,0)</f>
        <v>1786400</v>
      </c>
      <c r="L222" s="564" t="s">
        <v>253</v>
      </c>
      <c r="M222" s="564" t="s">
        <v>177</v>
      </c>
      <c r="N222" s="52" t="str">
        <f>IF(AND('331-CT'!$E$7=TH!H222,OR(L222="331",M222="331")),"331",IF(AND(OR(L222="131",M222="131"),H222='131-CT'!$E$7),"131",""))</f>
        <v/>
      </c>
      <c r="O222" s="89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09"/>
      <c r="AC222" s="211" t="str">
        <f>IF(F222=VLOOKUP(F222,NXT!$C$12:$C$345,1,0),"","x")</f>
        <v/>
      </c>
    </row>
    <row r="223" spans="1:29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9"/>
        <v>5</v>
      </c>
      <c r="C223" s="184">
        <f t="shared" si="70"/>
        <v>41788</v>
      </c>
      <c r="D223" s="184" t="s">
        <v>934</v>
      </c>
      <c r="E223" s="743">
        <v>41788</v>
      </c>
      <c r="F223" s="291" t="s">
        <v>494</v>
      </c>
      <c r="G223" s="463" t="s">
        <v>531</v>
      </c>
      <c r="H223" s="7" t="s">
        <v>907</v>
      </c>
      <c r="I223" s="251">
        <v>500</v>
      </c>
      <c r="J223" s="251">
        <v>8600</v>
      </c>
      <c r="K223" s="563">
        <f>ROUND(I223*J223,0)</f>
        <v>4300000</v>
      </c>
      <c r="L223" s="564" t="s">
        <v>253</v>
      </c>
      <c r="M223" s="564" t="s">
        <v>177</v>
      </c>
      <c r="N223" s="52" t="str">
        <f>IF(AND('331-CT'!$E$7=TH!H223,OR(L223="331",M223="331")),"331",IF(AND(OR(L223="131",M223="131"),H223='131-CT'!$E$7),"131",""))</f>
        <v/>
      </c>
      <c r="O223" s="89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09"/>
      <c r="AC223" s="211" t="str">
        <f>IF(F223=VLOOKUP(F223,NXT!$C$12:$C$345,1,0),"","x")</f>
        <v/>
      </c>
    </row>
    <row r="224" spans="1:29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69"/>
        <v>5</v>
      </c>
      <c r="C224" s="184">
        <f t="shared" si="70"/>
        <v>41788</v>
      </c>
      <c r="D224" s="184" t="s">
        <v>934</v>
      </c>
      <c r="E224" s="743">
        <v>41788</v>
      </c>
      <c r="F224" s="291" t="s">
        <v>420</v>
      </c>
      <c r="G224" s="463" t="s">
        <v>531</v>
      </c>
      <c r="H224" s="7" t="s">
        <v>907</v>
      </c>
      <c r="I224" s="251"/>
      <c r="J224" s="251"/>
      <c r="K224" s="563">
        <v>894400</v>
      </c>
      <c r="L224" s="564" t="s">
        <v>253</v>
      </c>
      <c r="M224" s="564" t="s">
        <v>365</v>
      </c>
      <c r="N224" s="52" t="str">
        <f>IF(AND('331-CT'!$E$7=TH!H224,OR(L224="331",M224="331")),"331",IF(AND(OR(L224="131",M224="131"),H224='131-CT'!$E$7),"131",""))</f>
        <v/>
      </c>
      <c r="O224" s="89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09"/>
      <c r="AC224" s="555" t="str">
        <f>IF(VLOOKUP(H224,DS_131,1,0)&lt;&gt;"","","x")</f>
        <v/>
      </c>
    </row>
    <row r="225" spans="1:31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69"/>
        <v>5</v>
      </c>
      <c r="C225" s="184">
        <f t="shared" si="70"/>
        <v>41788</v>
      </c>
      <c r="D225" s="184" t="s">
        <v>935</v>
      </c>
      <c r="E225" s="743">
        <v>41788</v>
      </c>
      <c r="F225" s="291" t="s">
        <v>533</v>
      </c>
      <c r="G225" s="463" t="s">
        <v>534</v>
      </c>
      <c r="H225" s="7" t="s">
        <v>535</v>
      </c>
      <c r="I225" s="251">
        <v>209</v>
      </c>
      <c r="J225" s="251">
        <v>8800</v>
      </c>
      <c r="K225" s="563">
        <f>ROUND(I225*J225,0)</f>
        <v>1839200</v>
      </c>
      <c r="L225" s="564" t="s">
        <v>253</v>
      </c>
      <c r="M225" s="564" t="s">
        <v>177</v>
      </c>
      <c r="N225" s="52" t="str">
        <f>IF(AND('331-CT'!$E$7=TH!H225,OR(L225="331",M225="331")),"331",IF(AND(OR(L225="131",M225="131"),H225='131-CT'!$E$7),"131",""))</f>
        <v/>
      </c>
      <c r="O225" s="89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09"/>
      <c r="AC225" s="211" t="str">
        <f>IF(F225=VLOOKUP(F225,NXT!$C$12:$C$345,1,0),"","x")</f>
        <v/>
      </c>
    </row>
    <row r="226" spans="1:31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69"/>
        <v>5</v>
      </c>
      <c r="C226" s="184">
        <f t="shared" si="70"/>
        <v>41788</v>
      </c>
      <c r="D226" s="184" t="s">
        <v>935</v>
      </c>
      <c r="E226" s="184">
        <v>41788</v>
      </c>
      <c r="F226" s="189" t="s">
        <v>420</v>
      </c>
      <c r="G226" s="565" t="s">
        <v>534</v>
      </c>
      <c r="H226" s="7" t="s">
        <v>535</v>
      </c>
      <c r="I226" s="251"/>
      <c r="J226" s="251"/>
      <c r="K226" s="563">
        <v>183920</v>
      </c>
      <c r="L226" s="564" t="s">
        <v>253</v>
      </c>
      <c r="M226" s="564" t="s">
        <v>365</v>
      </c>
      <c r="N226" s="52" t="str">
        <f>IF(AND('331-CT'!$E$7=TH!H226,OR(L226="331",M226="331")),"331",IF(AND(OR(L226="131",M226="131"),H226='131-CT'!$E$7),"131",""))</f>
        <v/>
      </c>
      <c r="O226" s="89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09"/>
      <c r="AC226" s="555" t="str">
        <f>IF(VLOOKUP(H226,DS_131,1,0)&lt;&gt;"","","x")</f>
        <v/>
      </c>
      <c r="AD226" s="555"/>
      <c r="AE226" s="55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ref="B227" si="77">IF(C227&lt;&gt;"",MONTH(C227),"")</f>
        <v>5</v>
      </c>
      <c r="C227" s="184">
        <f t="shared" ref="C227" si="78">E227</f>
        <v>41788</v>
      </c>
      <c r="D227" s="184"/>
      <c r="E227" s="184">
        <v>41788</v>
      </c>
      <c r="F227" s="192" t="s">
        <v>894</v>
      </c>
      <c r="G227" s="565" t="s">
        <v>534</v>
      </c>
      <c r="H227" s="7" t="s">
        <v>535</v>
      </c>
      <c r="I227" s="251"/>
      <c r="J227" s="251"/>
      <c r="K227" s="563">
        <v>2023120</v>
      </c>
      <c r="L227" s="564" t="s">
        <v>47</v>
      </c>
      <c r="M227" s="564" t="s">
        <v>253</v>
      </c>
      <c r="N227" s="52" t="str">
        <f>IF(AND('331-CT'!$E$7=TH!H227,OR(L227="331",M227="331")),"331",IF(AND(OR(L227="131",M227="131"),H227='131-CT'!$E$7),"131",""))</f>
        <v/>
      </c>
      <c r="O227" s="89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09"/>
      <c r="AC227" s="555" t="str">
        <f>IF(VLOOKUP(H227,DS_131,1,0)&lt;&gt;"","","x")</f>
        <v/>
      </c>
      <c r="AD227" s="555"/>
      <c r="AE227" s="55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9"/>
        <v>5</v>
      </c>
      <c r="C228" s="184">
        <f t="shared" si="70"/>
        <v>41789</v>
      </c>
      <c r="D228" s="184" t="s">
        <v>936</v>
      </c>
      <c r="E228" s="184">
        <v>41789</v>
      </c>
      <c r="F228" s="189" t="s">
        <v>417</v>
      </c>
      <c r="G228" s="565" t="s">
        <v>536</v>
      </c>
      <c r="H228" s="7" t="s">
        <v>419</v>
      </c>
      <c r="I228" s="251">
        <v>1983</v>
      </c>
      <c r="J228" s="251">
        <v>5500</v>
      </c>
      <c r="K228" s="563">
        <f>ROUND(I228*J228,0)</f>
        <v>10906500</v>
      </c>
      <c r="L228" s="564" t="s">
        <v>253</v>
      </c>
      <c r="M228" s="564" t="s">
        <v>177</v>
      </c>
      <c r="N228" s="52" t="str">
        <f>IF(AND('331-CT'!$E$7=TH!H228,OR(L228="331",M228="331")),"331",IF(AND(OR(L228="131",M228="131"),H228='131-CT'!$E$7),"131",""))</f>
        <v/>
      </c>
      <c r="O228" s="89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09"/>
      <c r="AC228" s="211" t="str">
        <f>IF(F228=VLOOKUP(F228,NXT!$C$12:$C$345,1,0),"","x")</f>
        <v/>
      </c>
      <c r="AD228" s="555"/>
    </row>
    <row r="229" spans="1:31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69"/>
        <v>5</v>
      </c>
      <c r="C229" s="184">
        <f t="shared" si="70"/>
        <v>41789</v>
      </c>
      <c r="D229" s="184" t="s">
        <v>936</v>
      </c>
      <c r="E229" s="37">
        <v>41789</v>
      </c>
      <c r="F229" s="189" t="s">
        <v>420</v>
      </c>
      <c r="G229" s="462" t="s">
        <v>536</v>
      </c>
      <c r="H229" s="7" t="s">
        <v>419</v>
      </c>
      <c r="I229" s="252"/>
      <c r="J229" s="253"/>
      <c r="K229" s="38">
        <v>1090650</v>
      </c>
      <c r="L229" s="564" t="s">
        <v>253</v>
      </c>
      <c r="M229" s="564" t="s">
        <v>365</v>
      </c>
      <c r="N229" s="52" t="str">
        <f>IF(AND('331-CT'!$E$7=TH!H229,OR(L229="331",M229="331")),"331",IF(AND(OR(L229="131",M229="131"),H229='131-CT'!$E$7),"131",""))</f>
        <v/>
      </c>
      <c r="O229" s="89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09"/>
      <c r="AC229" s="555" t="str">
        <f>IF(VLOOKUP(H229,DS_131,1,0)&lt;&gt;"","","x")</f>
        <v/>
      </c>
      <c r="AD229" s="555"/>
      <c r="AE229" s="555"/>
    </row>
    <row r="230" spans="1:31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ref="B230" si="79">IF(C230&lt;&gt;"",MONTH(C230),"")</f>
        <v>5</v>
      </c>
      <c r="C230" s="184">
        <f t="shared" ref="C230" si="80">E230</f>
        <v>41789</v>
      </c>
      <c r="D230" s="184"/>
      <c r="E230" s="37">
        <v>41789</v>
      </c>
      <c r="F230" s="192" t="s">
        <v>894</v>
      </c>
      <c r="G230" s="462" t="s">
        <v>536</v>
      </c>
      <c r="H230" s="7" t="s">
        <v>419</v>
      </c>
      <c r="I230" s="252"/>
      <c r="J230" s="253"/>
      <c r="K230" s="38">
        <v>11997150</v>
      </c>
      <c r="L230" s="564" t="s">
        <v>47</v>
      </c>
      <c r="M230" s="564" t="s">
        <v>253</v>
      </c>
      <c r="N230" s="52" t="str">
        <f>IF(AND('331-CT'!$E$7=TH!H230,OR(L230="331",M230="331")),"331",IF(AND(OR(L230="131",M230="131"),H230='131-CT'!$E$7),"131",""))</f>
        <v/>
      </c>
      <c r="O230" s="89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>x</v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09"/>
      <c r="AC230" s="555" t="str">
        <f>IF(VLOOKUP(H230,DS_131,1,0)&lt;&gt;"","","x")</f>
        <v/>
      </c>
      <c r="AD230" s="555"/>
      <c r="AE230" s="555"/>
    </row>
    <row r="231" spans="1:31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69"/>
        <v>6</v>
      </c>
      <c r="C231" s="184">
        <f t="shared" si="70"/>
        <v>41792</v>
      </c>
      <c r="D231" s="184" t="s">
        <v>937</v>
      </c>
      <c r="E231" s="37">
        <v>41792</v>
      </c>
      <c r="F231" s="189" t="s">
        <v>421</v>
      </c>
      <c r="G231" s="462" t="s">
        <v>539</v>
      </c>
      <c r="H231" s="7" t="s">
        <v>906</v>
      </c>
      <c r="I231" s="251">
        <v>1000</v>
      </c>
      <c r="J231" s="253">
        <v>17300</v>
      </c>
      <c r="K231" s="563">
        <f>ROUND(I231*J231,0)</f>
        <v>17300000</v>
      </c>
      <c r="L231" s="564" t="s">
        <v>253</v>
      </c>
      <c r="M231" s="564" t="s">
        <v>177</v>
      </c>
      <c r="N231" s="52" t="str">
        <f>IF(AND('331-CT'!$E$7=TH!H231,OR(L231="331",M231="331")),"331",IF(AND(OR(L231="131",M231="131"),H231='131-CT'!$E$7),"131",""))</f>
        <v/>
      </c>
      <c r="O231" s="89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09"/>
      <c r="AC231" s="211" t="str">
        <f>IF(F231=VLOOKUP(F231,NXT!$C$12:$C$345,1,0),"","x")</f>
        <v/>
      </c>
    </row>
    <row r="232" spans="1:31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69"/>
        <v>6</v>
      </c>
      <c r="C232" s="184">
        <f t="shared" si="70"/>
        <v>41792</v>
      </c>
      <c r="D232" s="184" t="s">
        <v>937</v>
      </c>
      <c r="E232" s="37">
        <v>41792</v>
      </c>
      <c r="F232" s="189" t="s">
        <v>420</v>
      </c>
      <c r="G232" s="462" t="s">
        <v>539</v>
      </c>
      <c r="H232" s="7" t="s">
        <v>906</v>
      </c>
      <c r="I232" s="252"/>
      <c r="J232" s="253"/>
      <c r="K232" s="38">
        <v>1730000</v>
      </c>
      <c r="L232" s="564" t="s">
        <v>253</v>
      </c>
      <c r="M232" s="564" t="s">
        <v>365</v>
      </c>
      <c r="N232" s="52" t="str">
        <f>IF(AND('331-CT'!$E$7=TH!H232,OR(L232="331",M232="331")),"331",IF(AND(OR(L232="131",M232="131"),H232='131-CT'!$E$7),"131",""))</f>
        <v/>
      </c>
      <c r="O232" s="89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09"/>
      <c r="AC232" s="555" t="str">
        <f>IF(VLOOKUP(H232,DS_131,1,0)&lt;&gt;"","","x")</f>
        <v/>
      </c>
      <c r="AD232" s="555"/>
      <c r="AE232" s="555"/>
    </row>
    <row r="233" spans="1:31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69"/>
        <v>6</v>
      </c>
      <c r="C233" s="184">
        <f t="shared" si="70"/>
        <v>41792</v>
      </c>
      <c r="D233" s="184" t="s">
        <v>938</v>
      </c>
      <c r="E233" s="191">
        <v>41792</v>
      </c>
      <c r="F233" s="189" t="s">
        <v>540</v>
      </c>
      <c r="G233" s="463" t="s">
        <v>541</v>
      </c>
      <c r="H233" s="7" t="s">
        <v>458</v>
      </c>
      <c r="I233" s="251">
        <v>910</v>
      </c>
      <c r="J233" s="251">
        <v>5700</v>
      </c>
      <c r="K233" s="563">
        <f>ROUND(I233*J233,0)</f>
        <v>5187000</v>
      </c>
      <c r="L233" s="564" t="s">
        <v>253</v>
      </c>
      <c r="M233" s="564" t="s">
        <v>177</v>
      </c>
      <c r="N233" s="52" t="str">
        <f>IF(AND('331-CT'!$E$7=TH!H233,OR(L233="331",M233="331")),"331",IF(AND(OR(L233="131",M233="131"),H233='131-CT'!$E$7),"131",""))</f>
        <v/>
      </c>
      <c r="O233" s="89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09"/>
      <c r="AC233" s="211" t="str">
        <f>IF(F233=VLOOKUP(F233,NXT!$C$12:$C$345,1,0),"","x")</f>
        <v/>
      </c>
    </row>
    <row r="234" spans="1:31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69"/>
        <v>6</v>
      </c>
      <c r="C234" s="184">
        <f t="shared" si="70"/>
        <v>41792</v>
      </c>
      <c r="D234" s="184" t="s">
        <v>938</v>
      </c>
      <c r="E234" s="191">
        <v>41792</v>
      </c>
      <c r="F234" s="189" t="s">
        <v>420</v>
      </c>
      <c r="G234" s="463" t="s">
        <v>541</v>
      </c>
      <c r="H234" s="7" t="s">
        <v>458</v>
      </c>
      <c r="I234" s="251"/>
      <c r="J234" s="251"/>
      <c r="K234" s="563">
        <v>518700</v>
      </c>
      <c r="L234" s="564" t="s">
        <v>253</v>
      </c>
      <c r="M234" s="564" t="s">
        <v>365</v>
      </c>
      <c r="N234" s="52" t="str">
        <f>IF(AND('331-CT'!$E$7=TH!H234,OR(L234="331",M234="331")),"331",IF(AND(OR(L234="131",M234="131"),H234='131-CT'!$E$7),"131",""))</f>
        <v/>
      </c>
      <c r="O234" s="89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09"/>
      <c r="AC234" s="555" t="str">
        <f>IF(VLOOKUP(H234,DS_131,1,0)&lt;&gt;"","","x")</f>
        <v/>
      </c>
    </row>
    <row r="235" spans="1:31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ref="B235" si="81">IF(C235&lt;&gt;"",MONTH(C235),"")</f>
        <v>6</v>
      </c>
      <c r="C235" s="184">
        <f t="shared" ref="C235" si="82">E235</f>
        <v>41792</v>
      </c>
      <c r="D235" s="184"/>
      <c r="E235" s="191">
        <v>41792</v>
      </c>
      <c r="F235" s="192" t="s">
        <v>894</v>
      </c>
      <c r="G235" s="463" t="s">
        <v>541</v>
      </c>
      <c r="H235" s="7" t="s">
        <v>458</v>
      </c>
      <c r="I235" s="251"/>
      <c r="J235" s="251"/>
      <c r="K235" s="563">
        <v>5705700</v>
      </c>
      <c r="L235" s="564" t="s">
        <v>47</v>
      </c>
      <c r="M235" s="564" t="s">
        <v>253</v>
      </c>
      <c r="N235" s="52" t="str">
        <f>IF(AND('331-CT'!$E$7=TH!H235,OR(L235="331",M235="331")),"331",IF(AND(OR(L235="131",M235="131"),H235='131-CT'!$E$7),"131",""))</f>
        <v/>
      </c>
      <c r="O235" s="89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>x</v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09"/>
      <c r="AC235" s="555" t="str">
        <f>IF(VLOOKUP(H235,DS_131,1,0)&lt;&gt;"","","x")</f>
        <v/>
      </c>
    </row>
    <row r="236" spans="1:31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69"/>
        <v>6</v>
      </c>
      <c r="C236" s="184">
        <f t="shared" si="70"/>
        <v>41792</v>
      </c>
      <c r="D236" s="184" t="s">
        <v>939</v>
      </c>
      <c r="E236" s="191">
        <v>41792</v>
      </c>
      <c r="F236" s="40" t="s">
        <v>445</v>
      </c>
      <c r="G236" s="565" t="s">
        <v>542</v>
      </c>
      <c r="H236" s="7" t="s">
        <v>906</v>
      </c>
      <c r="I236" s="251">
        <v>2000</v>
      </c>
      <c r="J236" s="251">
        <v>1500</v>
      </c>
      <c r="K236" s="563">
        <f>ROUND(I236*J236,0)</f>
        <v>3000000</v>
      </c>
      <c r="L236" s="564" t="s">
        <v>253</v>
      </c>
      <c r="M236" s="564" t="s">
        <v>177</v>
      </c>
      <c r="N236" s="52" t="str">
        <f>IF(AND('331-CT'!$E$7=TH!H236,OR(L236="331",M236="331")),"331",IF(AND(OR(L236="131",M236="131"),H236='131-CT'!$E$7),"131",""))</f>
        <v/>
      </c>
      <c r="O236" s="89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09"/>
      <c r="AC236" s="211" t="str">
        <f>IF(F236=VLOOKUP(F236,NXT!$C$12:$C$345,1,0),"","x")</f>
        <v/>
      </c>
    </row>
    <row r="237" spans="1:31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69"/>
        <v>6</v>
      </c>
      <c r="C237" s="184">
        <f t="shared" si="70"/>
        <v>41792</v>
      </c>
      <c r="D237" s="184" t="s">
        <v>939</v>
      </c>
      <c r="E237" s="191">
        <v>41792</v>
      </c>
      <c r="F237" s="189" t="s">
        <v>420</v>
      </c>
      <c r="G237" s="463" t="s">
        <v>542</v>
      </c>
      <c r="H237" s="7" t="s">
        <v>906</v>
      </c>
      <c r="I237" s="251"/>
      <c r="J237" s="251"/>
      <c r="K237" s="563">
        <v>300000</v>
      </c>
      <c r="L237" s="564" t="s">
        <v>253</v>
      </c>
      <c r="M237" s="564" t="s">
        <v>365</v>
      </c>
      <c r="N237" s="52" t="str">
        <f>IF(AND('331-CT'!$E$7=TH!H237,OR(L237="331",M237="331")),"331",IF(AND(OR(L237="131",M237="131"),H237='131-CT'!$E$7),"131",""))</f>
        <v/>
      </c>
      <c r="O237" s="89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09"/>
      <c r="AC237" s="555" t="str">
        <f>IF(VLOOKUP(H237,DS_131,1,0)&lt;&gt;"","","x")</f>
        <v/>
      </c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9"/>
        <v>6</v>
      </c>
      <c r="C238" s="184">
        <f t="shared" si="70"/>
        <v>41794</v>
      </c>
      <c r="D238" s="184" t="s">
        <v>940</v>
      </c>
      <c r="E238" s="191">
        <v>41794</v>
      </c>
      <c r="F238" s="189" t="s">
        <v>500</v>
      </c>
      <c r="G238" s="463" t="s">
        <v>543</v>
      </c>
      <c r="H238" s="7" t="s">
        <v>502</v>
      </c>
      <c r="I238" s="251">
        <v>500</v>
      </c>
      <c r="J238" s="251">
        <v>5900</v>
      </c>
      <c r="K238" s="563">
        <f>ROUND(I238*J238,0)</f>
        <v>2950000</v>
      </c>
      <c r="L238" s="564" t="s">
        <v>253</v>
      </c>
      <c r="M238" s="564" t="s">
        <v>177</v>
      </c>
      <c r="N238" s="52" t="str">
        <f>IF(AND('331-CT'!$E$7=TH!H238,OR(L238="331",M238="331")),"331",IF(AND(OR(L238="131",M238="131"),H238='131-CT'!$E$7),"131",""))</f>
        <v/>
      </c>
      <c r="O238" s="89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09"/>
      <c r="AC238" s="211" t="str">
        <f>IF(F238=VLOOKUP(F238,NXT!$C$12:$C$345,1,0),"","x")</f>
        <v/>
      </c>
    </row>
    <row r="239" spans="1:31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69"/>
        <v>6</v>
      </c>
      <c r="C239" s="184">
        <f t="shared" si="70"/>
        <v>41794</v>
      </c>
      <c r="D239" s="184" t="s">
        <v>940</v>
      </c>
      <c r="E239" s="191">
        <v>41794</v>
      </c>
      <c r="F239" s="189" t="s">
        <v>503</v>
      </c>
      <c r="G239" s="565" t="s">
        <v>543</v>
      </c>
      <c r="H239" s="7" t="s">
        <v>502</v>
      </c>
      <c r="I239" s="251">
        <v>397</v>
      </c>
      <c r="J239" s="251">
        <v>6250</v>
      </c>
      <c r="K239" s="563">
        <f>ROUND(I239*J239,0)</f>
        <v>2481250</v>
      </c>
      <c r="L239" s="564" t="s">
        <v>253</v>
      </c>
      <c r="M239" s="564" t="s">
        <v>177</v>
      </c>
      <c r="N239" s="52" t="str">
        <f>IF(AND('331-CT'!$E$7=TH!H239,OR(L239="331",M239="331")),"331",IF(AND(OR(L239="131",M239="131"),H239='131-CT'!$E$7),"131",""))</f>
        <v/>
      </c>
      <c r="O239" s="89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09"/>
      <c r="AC239" s="211" t="str">
        <f>IF(F239=VLOOKUP(F239,NXT!$C$12:$C$345,1,0),"","x")</f>
        <v/>
      </c>
    </row>
    <row r="240" spans="1:31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69"/>
        <v>6</v>
      </c>
      <c r="C240" s="184">
        <f t="shared" si="70"/>
        <v>41794</v>
      </c>
      <c r="D240" s="184" t="s">
        <v>940</v>
      </c>
      <c r="E240" s="191">
        <v>41794</v>
      </c>
      <c r="F240" s="189" t="s">
        <v>504</v>
      </c>
      <c r="G240" s="565" t="s">
        <v>543</v>
      </c>
      <c r="H240" s="7" t="s">
        <v>502</v>
      </c>
      <c r="I240" s="251">
        <v>200</v>
      </c>
      <c r="J240" s="251">
        <v>6550</v>
      </c>
      <c r="K240" s="563">
        <f>ROUND(I240*J240,0)</f>
        <v>1310000</v>
      </c>
      <c r="L240" s="564" t="s">
        <v>253</v>
      </c>
      <c r="M240" s="564" t="s">
        <v>177</v>
      </c>
      <c r="N240" s="52" t="str">
        <f>IF(AND('331-CT'!$E$7=TH!H240,OR(L240="331",M240="331")),"331",IF(AND(OR(L240="131",M240="131"),H240='131-CT'!$E$7),"131",""))</f>
        <v/>
      </c>
      <c r="O240" s="89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09"/>
      <c r="AC240" s="211" t="str">
        <f>IF(F240=VLOOKUP(F240,NXT!$C$12:$C$345,1,0),"","x")</f>
        <v/>
      </c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9"/>
        <v>6</v>
      </c>
      <c r="C241" s="184">
        <f t="shared" si="70"/>
        <v>41794</v>
      </c>
      <c r="D241" s="184" t="s">
        <v>940</v>
      </c>
      <c r="E241" s="191">
        <v>41794</v>
      </c>
      <c r="F241" s="189" t="s">
        <v>406</v>
      </c>
      <c r="G241" s="565" t="s">
        <v>543</v>
      </c>
      <c r="H241" s="7" t="s">
        <v>502</v>
      </c>
      <c r="I241" s="251">
        <v>200</v>
      </c>
      <c r="J241" s="251">
        <v>6800</v>
      </c>
      <c r="K241" s="563">
        <f>ROUND(I241*J241,0)</f>
        <v>1360000</v>
      </c>
      <c r="L241" s="564" t="s">
        <v>253</v>
      </c>
      <c r="M241" s="564" t="s">
        <v>177</v>
      </c>
      <c r="N241" s="52" t="str">
        <f>IF(AND('331-CT'!$E$7=TH!H241,OR(L241="331",M241="331")),"331",IF(AND(OR(L241="131",M241="131"),H241='131-CT'!$E$7),"131",""))</f>
        <v/>
      </c>
      <c r="O241" s="89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09"/>
      <c r="AC241" s="211" t="str">
        <f>IF(F241=VLOOKUP(F241,NXT!$C$12:$C$345,1,0),"","x")</f>
        <v/>
      </c>
    </row>
    <row r="242" spans="1:31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69"/>
        <v>6</v>
      </c>
      <c r="C242" s="184">
        <f t="shared" si="70"/>
        <v>41794</v>
      </c>
      <c r="D242" s="184" t="s">
        <v>940</v>
      </c>
      <c r="E242" s="191">
        <v>41794</v>
      </c>
      <c r="F242" s="189" t="s">
        <v>420</v>
      </c>
      <c r="G242" s="565" t="s">
        <v>543</v>
      </c>
      <c r="H242" s="7" t="s">
        <v>502</v>
      </c>
      <c r="I242" s="251"/>
      <c r="J242" s="251"/>
      <c r="K242" s="563">
        <v>810125</v>
      </c>
      <c r="L242" s="564" t="s">
        <v>253</v>
      </c>
      <c r="M242" s="564" t="s">
        <v>365</v>
      </c>
      <c r="N242" s="52" t="str">
        <f>IF(AND('331-CT'!$E$7=TH!H242,OR(L242="331",M242="331")),"331",IF(AND(OR(L242="131",M242="131"),H242='131-CT'!$E$7),"131",""))</f>
        <v/>
      </c>
      <c r="O242" s="89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09"/>
      <c r="AC242" s="555" t="str">
        <f>IF(VLOOKUP(H242,DS_131,1,0)&lt;&gt;"","","x")</f>
        <v/>
      </c>
    </row>
    <row r="243" spans="1:31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ref="B243" si="83">IF(C243&lt;&gt;"",MONTH(C243),"")</f>
        <v>6</v>
      </c>
      <c r="C243" s="184">
        <f t="shared" ref="C243" si="84">E243</f>
        <v>41794</v>
      </c>
      <c r="D243" s="184"/>
      <c r="E243" s="191">
        <v>41794</v>
      </c>
      <c r="F243" s="192" t="s">
        <v>894</v>
      </c>
      <c r="G243" s="565" t="s">
        <v>543</v>
      </c>
      <c r="H243" s="7" t="s">
        <v>502</v>
      </c>
      <c r="I243" s="251"/>
      <c r="J243" s="251"/>
      <c r="K243" s="563">
        <v>8911375</v>
      </c>
      <c r="L243" s="564" t="s">
        <v>47</v>
      </c>
      <c r="M243" s="564" t="s">
        <v>253</v>
      </c>
      <c r="N243" s="52" t="str">
        <f>IF(AND('331-CT'!$E$7=TH!H243,OR(L243="331",M243="331")),"331",IF(AND(OR(L243="131",M243="131"),H243='131-CT'!$E$7),"131",""))</f>
        <v/>
      </c>
      <c r="O243" s="89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09"/>
      <c r="AC243" s="555" t="str">
        <f>IF(VLOOKUP(H243,DS_131,1,0)&lt;&gt;"","","x")</f>
        <v/>
      </c>
    </row>
    <row r="244" spans="1:31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69"/>
        <v>6</v>
      </c>
      <c r="C244" s="184">
        <f t="shared" si="70"/>
        <v>41795</v>
      </c>
      <c r="D244" s="184" t="s">
        <v>941</v>
      </c>
      <c r="E244" s="37">
        <v>41795</v>
      </c>
      <c r="F244" s="40" t="s">
        <v>544</v>
      </c>
      <c r="G244" s="460" t="s">
        <v>545</v>
      </c>
      <c r="H244" s="45" t="s">
        <v>546</v>
      </c>
      <c r="I244" s="251">
        <v>190</v>
      </c>
      <c r="J244" s="251">
        <v>24000</v>
      </c>
      <c r="K244" s="563">
        <f>ROUND(I244*J244,0)</f>
        <v>4560000</v>
      </c>
      <c r="L244" s="564" t="s">
        <v>253</v>
      </c>
      <c r="M244" s="564" t="s">
        <v>177</v>
      </c>
      <c r="N244" s="52" t="str">
        <f>IF(AND('331-CT'!$E$7=TH!H244,OR(L244="331",M244="331")),"331",IF(AND(OR(L244="131",M244="131"),H244='131-CT'!$E$7),"131",""))</f>
        <v/>
      </c>
      <c r="O244" s="89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09"/>
      <c r="AC244" s="211" t="str">
        <f>IF(F244=VLOOKUP(F244,NXT!$C$12:$C$345,1,0),"","x")</f>
        <v/>
      </c>
    </row>
    <row r="245" spans="1:31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69"/>
        <v>6</v>
      </c>
      <c r="C245" s="184">
        <f t="shared" si="70"/>
        <v>41795</v>
      </c>
      <c r="D245" s="184" t="s">
        <v>941</v>
      </c>
      <c r="E245" s="37">
        <v>41795</v>
      </c>
      <c r="F245" s="40" t="s">
        <v>547</v>
      </c>
      <c r="G245" s="460" t="s">
        <v>545</v>
      </c>
      <c r="H245" s="45" t="s">
        <v>546</v>
      </c>
      <c r="I245" s="251">
        <v>190</v>
      </c>
      <c r="J245" s="251">
        <v>26000</v>
      </c>
      <c r="K245" s="563">
        <f>ROUND(I245*J245,0)</f>
        <v>4940000</v>
      </c>
      <c r="L245" s="564" t="s">
        <v>253</v>
      </c>
      <c r="M245" s="564" t="s">
        <v>177</v>
      </c>
      <c r="N245" s="52" t="str">
        <f>IF(AND('331-CT'!$E$7=TH!H245,OR(L245="331",M245="331")),"331",IF(AND(OR(L245="131",M245="131"),H245='131-CT'!$E$7),"131",""))</f>
        <v/>
      </c>
      <c r="O245" s="89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09"/>
      <c r="AC245" s="211" t="str">
        <f>IF(F245=VLOOKUP(F245,NXT!$C$12:$C$345,1,0),"","x")</f>
        <v/>
      </c>
    </row>
    <row r="246" spans="1:31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69"/>
        <v>6</v>
      </c>
      <c r="C246" s="184">
        <f t="shared" si="70"/>
        <v>41795</v>
      </c>
      <c r="D246" s="184" t="s">
        <v>941</v>
      </c>
      <c r="E246" s="37">
        <v>41795</v>
      </c>
      <c r="F246" s="40" t="s">
        <v>420</v>
      </c>
      <c r="G246" s="462" t="s">
        <v>545</v>
      </c>
      <c r="H246" s="44" t="s">
        <v>546</v>
      </c>
      <c r="I246" s="251"/>
      <c r="J246" s="251"/>
      <c r="K246" s="563">
        <v>950000</v>
      </c>
      <c r="L246" s="564" t="s">
        <v>253</v>
      </c>
      <c r="M246" s="564" t="s">
        <v>365</v>
      </c>
      <c r="N246" s="52" t="str">
        <f>IF(AND('331-CT'!$E$7=TH!H246,OR(L246="331",M246="331")),"331",IF(AND(OR(L246="131",M246="131"),H246='131-CT'!$E$7),"131",""))</f>
        <v/>
      </c>
      <c r="O246" s="89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09"/>
      <c r="AC246" s="555" t="str">
        <f>IF(VLOOKUP(H246,DS_131,1,0)&lt;&gt;"","","x")</f>
        <v/>
      </c>
      <c r="AD246" s="555"/>
      <c r="AE246" s="555"/>
    </row>
    <row r="247" spans="1:31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ref="B247" si="85">IF(C247&lt;&gt;"",MONTH(C247),"")</f>
        <v>6</v>
      </c>
      <c r="C247" s="184">
        <f t="shared" ref="C247" si="86">E247</f>
        <v>41795</v>
      </c>
      <c r="D247" s="184"/>
      <c r="E247" s="37">
        <v>41795</v>
      </c>
      <c r="F247" s="192" t="s">
        <v>894</v>
      </c>
      <c r="G247" s="462" t="s">
        <v>545</v>
      </c>
      <c r="H247" s="44" t="s">
        <v>546</v>
      </c>
      <c r="I247" s="251"/>
      <c r="J247" s="251"/>
      <c r="K247" s="563">
        <f>SUM(K244:K246)</f>
        <v>10450000</v>
      </c>
      <c r="L247" s="564" t="s">
        <v>47</v>
      </c>
      <c r="M247" s="564" t="s">
        <v>253</v>
      </c>
      <c r="N247" s="52" t="str">
        <f>IF(AND('331-CT'!$E$7=TH!H247,OR(L247="331",M247="331")),"331",IF(AND(OR(L247="131",M247="131"),H247='131-CT'!$E$7),"131",""))</f>
        <v/>
      </c>
      <c r="O247" s="89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09"/>
      <c r="AC247" s="555" t="str">
        <f>IF(VLOOKUP(H247,DS_131,1,0)&lt;&gt;"","","x")</f>
        <v/>
      </c>
      <c r="AD247" s="555"/>
      <c r="AE247" s="555"/>
    </row>
    <row r="248" spans="1:31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69"/>
        <v>6</v>
      </c>
      <c r="C248" s="184">
        <f t="shared" si="70"/>
        <v>41795</v>
      </c>
      <c r="D248" s="184" t="s">
        <v>942</v>
      </c>
      <c r="E248" s="37">
        <v>41795</v>
      </c>
      <c r="F248" s="40" t="s">
        <v>548</v>
      </c>
      <c r="G248" s="462" t="s">
        <v>549</v>
      </c>
      <c r="H248" s="44" t="s">
        <v>550</v>
      </c>
      <c r="I248" s="252">
        <v>100</v>
      </c>
      <c r="J248" s="253">
        <v>9000</v>
      </c>
      <c r="K248" s="563">
        <f>ROUND(I248*J248,0)</f>
        <v>900000</v>
      </c>
      <c r="L248" s="564" t="s">
        <v>253</v>
      </c>
      <c r="M248" s="564" t="s">
        <v>177</v>
      </c>
      <c r="N248" s="52" t="str">
        <f>IF(AND('331-CT'!$E$7=TH!H248,OR(L248="331",M248="331")),"331",IF(AND(OR(L248="131",M248="131"),H248='131-CT'!$E$7),"131",""))</f>
        <v/>
      </c>
      <c r="O248" s="89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09"/>
      <c r="AC248" s="211" t="str">
        <f>IF(F248=VLOOKUP(F248,NXT!$C$12:$C$345,1,0),"","x")</f>
        <v/>
      </c>
      <c r="AD248" s="555"/>
      <c r="AE248" s="555"/>
    </row>
    <row r="249" spans="1:31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69"/>
        <v>6</v>
      </c>
      <c r="C249" s="184">
        <f t="shared" si="70"/>
        <v>41795</v>
      </c>
      <c r="D249" s="184" t="s">
        <v>942</v>
      </c>
      <c r="E249" s="37">
        <v>41795</v>
      </c>
      <c r="F249" s="40" t="s">
        <v>551</v>
      </c>
      <c r="G249" s="462" t="s">
        <v>549</v>
      </c>
      <c r="H249" s="44" t="s">
        <v>550</v>
      </c>
      <c r="I249" s="252">
        <v>200</v>
      </c>
      <c r="J249" s="252">
        <v>6400</v>
      </c>
      <c r="K249" s="563">
        <f>ROUND(I249*J249,0)</f>
        <v>1280000</v>
      </c>
      <c r="L249" s="564" t="s">
        <v>253</v>
      </c>
      <c r="M249" s="564" t="s">
        <v>177</v>
      </c>
      <c r="N249" s="52" t="str">
        <f>IF(AND('331-CT'!$E$7=TH!H249,OR(L249="331",M249="331")),"331",IF(AND(OR(L249="131",M249="131"),H249='131-CT'!$E$7),"131",""))</f>
        <v/>
      </c>
      <c r="O249" s="89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09"/>
      <c r="AC249" s="211" t="str">
        <f>IF(F249=VLOOKUP(F249,NXT!$C$12:$C$345,1,0),"","x")</f>
        <v/>
      </c>
      <c r="AE249" s="555"/>
    </row>
    <row r="250" spans="1:31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69"/>
        <v>6</v>
      </c>
      <c r="C250" s="184">
        <f t="shared" si="70"/>
        <v>41795</v>
      </c>
      <c r="D250" s="184" t="s">
        <v>942</v>
      </c>
      <c r="E250" s="184">
        <v>41795</v>
      </c>
      <c r="F250" s="291" t="s">
        <v>420</v>
      </c>
      <c r="G250" s="565" t="s">
        <v>549</v>
      </c>
      <c r="H250" s="7" t="s">
        <v>550</v>
      </c>
      <c r="I250" s="251"/>
      <c r="J250" s="251"/>
      <c r="K250" s="563">
        <v>218000</v>
      </c>
      <c r="L250" s="564" t="s">
        <v>253</v>
      </c>
      <c r="M250" s="564" t="s">
        <v>365</v>
      </c>
      <c r="N250" s="52" t="str">
        <f>IF(AND('331-CT'!$E$7=TH!H250,OR(L250="331",M250="331")),"331",IF(AND(OR(L250="131",M250="131"),H250='131-CT'!$E$7),"131",""))</f>
        <v/>
      </c>
      <c r="O250" s="89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09"/>
      <c r="AC250" s="555" t="str">
        <f>IF(VLOOKUP(H250,DS_131,1,0)&lt;&gt;"","","x")</f>
        <v/>
      </c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ref="B251" si="87">IF(C251&lt;&gt;"",MONTH(C251),"")</f>
        <v>6</v>
      </c>
      <c r="C251" s="184">
        <f t="shared" ref="C251" si="88">E251</f>
        <v>41795</v>
      </c>
      <c r="D251" s="184"/>
      <c r="E251" s="184">
        <v>41795</v>
      </c>
      <c r="F251" s="192" t="s">
        <v>894</v>
      </c>
      <c r="G251" s="565" t="s">
        <v>549</v>
      </c>
      <c r="H251" s="7" t="s">
        <v>550</v>
      </c>
      <c r="I251" s="251"/>
      <c r="J251" s="251"/>
      <c r="K251" s="563">
        <v>2398000</v>
      </c>
      <c r="L251" s="564" t="s">
        <v>47</v>
      </c>
      <c r="M251" s="564" t="s">
        <v>253</v>
      </c>
      <c r="N251" s="52" t="str">
        <f>IF(AND('331-CT'!$E$7=TH!H251,OR(L251="331",M251="331")),"331",IF(AND(OR(L251="131",M251="131"),H251='131-CT'!$E$7),"131",""))</f>
        <v/>
      </c>
      <c r="O251" s="89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09"/>
      <c r="AC251" s="555" t="str">
        <f>IF(VLOOKUP(H251,DS_131,1,0)&lt;&gt;"","","x")</f>
        <v/>
      </c>
    </row>
    <row r="252" spans="1:31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69"/>
        <v>6</v>
      </c>
      <c r="C252" s="184">
        <f t="shared" si="70"/>
        <v>41806</v>
      </c>
      <c r="D252" s="184" t="s">
        <v>943</v>
      </c>
      <c r="E252" s="184">
        <v>41806</v>
      </c>
      <c r="F252" s="189" t="s">
        <v>554</v>
      </c>
      <c r="G252" s="463" t="s">
        <v>555</v>
      </c>
      <c r="H252" s="7" t="s">
        <v>454</v>
      </c>
      <c r="I252" s="251">
        <v>398</v>
      </c>
      <c r="J252" s="251">
        <v>25000</v>
      </c>
      <c r="K252" s="563">
        <f>ROUND(I252*J252,0)</f>
        <v>9950000</v>
      </c>
      <c r="L252" s="564" t="s">
        <v>253</v>
      </c>
      <c r="M252" s="564" t="s">
        <v>177</v>
      </c>
      <c r="N252" s="52" t="str">
        <f>IF(AND('331-CT'!$E$7=TH!H252,OR(L252="331",M252="331")),"331",IF(AND(OR(L252="131",M252="131"),H252='131-CT'!$E$7),"131",""))</f>
        <v>131</v>
      </c>
      <c r="O252" s="89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09"/>
      <c r="AC252" s="211" t="str">
        <f>IF(F252=VLOOKUP(F252,NXT!$C$12:$C$345,1,0),"","x")</f>
        <v/>
      </c>
    </row>
    <row r="253" spans="1:31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69"/>
        <v>6</v>
      </c>
      <c r="C253" s="184">
        <f t="shared" si="70"/>
        <v>41806</v>
      </c>
      <c r="D253" s="184" t="s">
        <v>943</v>
      </c>
      <c r="E253" s="184">
        <v>41806</v>
      </c>
      <c r="F253" s="189" t="s">
        <v>420</v>
      </c>
      <c r="G253" s="463" t="s">
        <v>555</v>
      </c>
      <c r="H253" s="7" t="s">
        <v>454</v>
      </c>
      <c r="I253" s="251"/>
      <c r="J253" s="251"/>
      <c r="K253" s="563">
        <v>995000</v>
      </c>
      <c r="L253" s="564" t="s">
        <v>253</v>
      </c>
      <c r="M253" s="564" t="s">
        <v>365</v>
      </c>
      <c r="N253" s="52" t="str">
        <f>IF(AND('331-CT'!$E$7=TH!H253,OR(L253="331",M253="331")),"331",IF(AND(OR(L253="131",M253="131"),H253='131-CT'!$E$7),"131",""))</f>
        <v>131</v>
      </c>
      <c r="O253" s="89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09"/>
      <c r="AC253" s="555" t="str">
        <f>IF(VLOOKUP(H253,DS_131,1,0)&lt;&gt;"","","x")</f>
        <v/>
      </c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" si="89">IF(C254&lt;&gt;"",MONTH(C254),"")</f>
        <v>6</v>
      </c>
      <c r="C254" s="184">
        <f t="shared" ref="C254" si="90">E254</f>
        <v>41806</v>
      </c>
      <c r="D254" s="184"/>
      <c r="E254" s="184">
        <v>41806</v>
      </c>
      <c r="F254" s="192" t="s">
        <v>894</v>
      </c>
      <c r="G254" s="463" t="s">
        <v>555</v>
      </c>
      <c r="H254" s="7" t="s">
        <v>454</v>
      </c>
      <c r="I254" s="251"/>
      <c r="J254" s="251"/>
      <c r="K254" s="563">
        <v>10945000</v>
      </c>
      <c r="L254" s="564" t="s">
        <v>47</v>
      </c>
      <c r="M254" s="564" t="s">
        <v>253</v>
      </c>
      <c r="N254" s="52" t="str">
        <f>IF(AND('331-CT'!$E$7=TH!H254,OR(L254="331",M254="331")),"331",IF(AND(OR(L254="131",M254="131"),H254='131-CT'!$E$7),"131",""))</f>
        <v>131</v>
      </c>
      <c r="O254" s="89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>x</v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09"/>
      <c r="AC254" s="555" t="str">
        <f>IF(VLOOKUP(H254,DS_131,1,0)&lt;&gt;"","","x")</f>
        <v/>
      </c>
    </row>
    <row r="255" spans="1:31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69"/>
        <v>6</v>
      </c>
      <c r="C255" s="184">
        <f t="shared" si="70"/>
        <v>41807</v>
      </c>
      <c r="D255" s="184" t="s">
        <v>944</v>
      </c>
      <c r="E255" s="184">
        <v>41807</v>
      </c>
      <c r="F255" s="189" t="s">
        <v>552</v>
      </c>
      <c r="G255" s="460" t="s">
        <v>556</v>
      </c>
      <c r="H255" s="7" t="s">
        <v>907</v>
      </c>
      <c r="I255" s="252">
        <v>150</v>
      </c>
      <c r="J255" s="251">
        <v>10500</v>
      </c>
      <c r="K255" s="563">
        <f>ROUND(I255*J255,0)</f>
        <v>1575000</v>
      </c>
      <c r="L255" s="564" t="s">
        <v>253</v>
      </c>
      <c r="M255" s="564" t="s">
        <v>177</v>
      </c>
      <c r="N255" s="52" t="str">
        <f>IF(AND('331-CT'!$E$7=TH!H255,OR(L255="331",M255="331")),"331",IF(AND(OR(L255="131",M255="131"),H255='131-CT'!$E$7),"131",""))</f>
        <v/>
      </c>
      <c r="O255" s="89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09"/>
      <c r="AC255" s="211" t="str">
        <f>IF(F255=VLOOKUP(F255,NXT!$C$12:$C$345,1,0),"","x")</f>
        <v/>
      </c>
    </row>
    <row r="256" spans="1:31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69"/>
        <v>6</v>
      </c>
      <c r="C256" s="184">
        <f t="shared" si="70"/>
        <v>41807</v>
      </c>
      <c r="D256" s="184" t="s">
        <v>944</v>
      </c>
      <c r="E256" s="184">
        <v>41807</v>
      </c>
      <c r="F256" s="189" t="s">
        <v>420</v>
      </c>
      <c r="G256" s="460" t="s">
        <v>556</v>
      </c>
      <c r="H256" s="7" t="s">
        <v>907</v>
      </c>
      <c r="I256" s="252"/>
      <c r="J256" s="251"/>
      <c r="K256" s="563">
        <v>157500</v>
      </c>
      <c r="L256" s="564" t="s">
        <v>253</v>
      </c>
      <c r="M256" s="564" t="s">
        <v>365</v>
      </c>
      <c r="N256" s="52" t="str">
        <f>IF(AND('331-CT'!$E$7=TH!H256,OR(L256="331",M256="331")),"331",IF(AND(OR(L256="131",M256="131"),H256='131-CT'!$E$7),"131",""))</f>
        <v/>
      </c>
      <c r="O256" s="89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09"/>
      <c r="AC256" s="555" t="str">
        <f>IF(VLOOKUP(H256,DS_131,1,0)&lt;&gt;"","","x")</f>
        <v/>
      </c>
    </row>
    <row r="257" spans="1:29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69"/>
        <v>6</v>
      </c>
      <c r="C257" s="184">
        <f t="shared" si="70"/>
        <v>41810</v>
      </c>
      <c r="D257" s="184" t="s">
        <v>945</v>
      </c>
      <c r="E257" s="184">
        <v>41810</v>
      </c>
      <c r="F257" s="189" t="s">
        <v>494</v>
      </c>
      <c r="G257" s="565" t="s">
        <v>557</v>
      </c>
      <c r="H257" s="7" t="s">
        <v>907</v>
      </c>
      <c r="I257" s="251">
        <v>542</v>
      </c>
      <c r="J257" s="251">
        <v>8600</v>
      </c>
      <c r="K257" s="563">
        <f>ROUND(I257*J257,0)</f>
        <v>4661200</v>
      </c>
      <c r="L257" s="564" t="s">
        <v>253</v>
      </c>
      <c r="M257" s="564" t="s">
        <v>177</v>
      </c>
      <c r="N257" s="52" t="str">
        <f>IF(AND('331-CT'!$E$7=TH!H257,OR(L257="331",M257="331")),"331",IF(AND(OR(L257="131",M257="131"),H257='131-CT'!$E$7),"131",""))</f>
        <v/>
      </c>
      <c r="O257" s="89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09"/>
      <c r="AC257" s="211" t="str">
        <f>IF(F257=VLOOKUP(F257,NXT!$C$12:$C$345,1,0),"","x")</f>
        <v/>
      </c>
    </row>
    <row r="258" spans="1:29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69"/>
        <v>6</v>
      </c>
      <c r="C258" s="184">
        <f t="shared" si="70"/>
        <v>41810</v>
      </c>
      <c r="D258" s="184" t="s">
        <v>945</v>
      </c>
      <c r="E258" s="184">
        <v>41810</v>
      </c>
      <c r="F258" s="189" t="s">
        <v>420</v>
      </c>
      <c r="G258" s="565" t="s">
        <v>557</v>
      </c>
      <c r="H258" s="7" t="s">
        <v>907</v>
      </c>
      <c r="I258" s="251"/>
      <c r="J258" s="251"/>
      <c r="K258" s="563">
        <v>466120</v>
      </c>
      <c r="L258" s="564" t="s">
        <v>253</v>
      </c>
      <c r="M258" s="564" t="s">
        <v>365</v>
      </c>
      <c r="N258" s="52" t="str">
        <f>IF(AND('331-CT'!$E$7=TH!H258,OR(L258="331",M258="331")),"331",IF(AND(OR(L258="131",M258="131"),H258='131-CT'!$E$7),"131",""))</f>
        <v/>
      </c>
      <c r="O258" s="89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09"/>
      <c r="AC258" s="555" t="str">
        <f>IF(VLOOKUP(H258,DS_131,1,0)&lt;&gt;"","","x")</f>
        <v/>
      </c>
    </row>
    <row r="259" spans="1:29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69"/>
        <v>6</v>
      </c>
      <c r="C259" s="184">
        <f t="shared" si="70"/>
        <v>41813</v>
      </c>
      <c r="D259" s="184" t="s">
        <v>946</v>
      </c>
      <c r="E259" s="37">
        <v>41813</v>
      </c>
      <c r="F259" s="40" t="s">
        <v>459</v>
      </c>
      <c r="G259" s="460" t="s">
        <v>558</v>
      </c>
      <c r="H259" s="45" t="s">
        <v>461</v>
      </c>
      <c r="I259" s="251">
        <v>984</v>
      </c>
      <c r="J259" s="251">
        <v>8740</v>
      </c>
      <c r="K259" s="563">
        <f>ROUND(I259*J259,0)</f>
        <v>8600160</v>
      </c>
      <c r="L259" s="564" t="s">
        <v>253</v>
      </c>
      <c r="M259" s="564" t="s">
        <v>177</v>
      </c>
      <c r="N259" s="52" t="str">
        <f>IF(AND('331-CT'!$E$7=TH!H259,OR(L259="331",M259="331")),"331",IF(AND(OR(L259="131",M259="131"),H259='131-CT'!$E$7),"131",""))</f>
        <v/>
      </c>
      <c r="O259" s="89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09"/>
      <c r="AC259" s="211" t="str">
        <f>IF(F259=VLOOKUP(F259,NXT!$C$12:$C$345,1,0),"","x")</f>
        <v/>
      </c>
    </row>
    <row r="260" spans="1:29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69"/>
        <v>6</v>
      </c>
      <c r="C260" s="184">
        <f t="shared" si="70"/>
        <v>41813</v>
      </c>
      <c r="D260" s="184" t="s">
        <v>946</v>
      </c>
      <c r="E260" s="37">
        <v>41813</v>
      </c>
      <c r="F260" s="40" t="s">
        <v>420</v>
      </c>
      <c r="G260" s="460" t="s">
        <v>558</v>
      </c>
      <c r="H260" s="45" t="s">
        <v>461</v>
      </c>
      <c r="I260" s="251"/>
      <c r="J260" s="251"/>
      <c r="K260" s="38">
        <v>860016</v>
      </c>
      <c r="L260" s="564" t="s">
        <v>253</v>
      </c>
      <c r="M260" s="564" t="s">
        <v>365</v>
      </c>
      <c r="N260" s="52" t="str">
        <f>IF(AND('331-CT'!$E$7=TH!H260,OR(L260="331",M260="331")),"331",IF(AND(OR(L260="131",M260="131"),H260='131-CT'!$E$7),"131",""))</f>
        <v/>
      </c>
      <c r="O260" s="89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09"/>
      <c r="AC260" s="555" t="str">
        <f>IF(VLOOKUP(H260,DS_131,1,0)&lt;&gt;"","","x")</f>
        <v/>
      </c>
    </row>
    <row r="261" spans="1:29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ref="B261" si="91">IF(C261&lt;&gt;"",MONTH(C261),"")</f>
        <v>6</v>
      </c>
      <c r="C261" s="184">
        <f t="shared" ref="C261" si="92">E261</f>
        <v>41813</v>
      </c>
      <c r="D261" s="184"/>
      <c r="E261" s="37">
        <v>41813</v>
      </c>
      <c r="F261" s="192" t="s">
        <v>894</v>
      </c>
      <c r="G261" s="460" t="s">
        <v>558</v>
      </c>
      <c r="H261" s="45" t="s">
        <v>461</v>
      </c>
      <c r="I261" s="251"/>
      <c r="J261" s="251"/>
      <c r="K261" s="38">
        <v>9460176</v>
      </c>
      <c r="L261" s="564" t="s">
        <v>47</v>
      </c>
      <c r="M261" s="564" t="s">
        <v>253</v>
      </c>
      <c r="N261" s="52" t="str">
        <f>IF(AND('331-CT'!$E$7=TH!H261,OR(L261="331",M261="331")),"331",IF(AND(OR(L261="131",M261="131"),H261='131-CT'!$E$7),"131",""))</f>
        <v/>
      </c>
      <c r="O261" s="89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09"/>
      <c r="AC261" s="555" t="str">
        <f>IF(VLOOKUP(H261,DS_131,1,0)&lt;&gt;"","","x")</f>
        <v/>
      </c>
    </row>
    <row r="262" spans="1:29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69"/>
        <v>6</v>
      </c>
      <c r="C262" s="184">
        <f t="shared" si="70"/>
        <v>41814</v>
      </c>
      <c r="D262" s="184" t="s">
        <v>947</v>
      </c>
      <c r="E262" s="37">
        <v>41814</v>
      </c>
      <c r="F262" s="40" t="s">
        <v>559</v>
      </c>
      <c r="G262" s="460" t="s">
        <v>560</v>
      </c>
      <c r="H262" s="45" t="s">
        <v>561</v>
      </c>
      <c r="I262" s="252">
        <v>396</v>
      </c>
      <c r="J262" s="251">
        <v>17600</v>
      </c>
      <c r="K262" s="563">
        <f>ROUND(I262*J262,0)</f>
        <v>6969600</v>
      </c>
      <c r="L262" s="564" t="s">
        <v>253</v>
      </c>
      <c r="M262" s="564" t="s">
        <v>177</v>
      </c>
      <c r="N262" s="52" t="str">
        <f>IF(AND('331-CT'!$E$7=TH!H262,OR(L262="331",M262="331")),"331",IF(AND(OR(L262="131",M262="131"),H262='131-CT'!$E$7),"131",""))</f>
        <v/>
      </c>
      <c r="O262" s="89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09"/>
      <c r="AC262" s="211" t="str">
        <f>IF(F262=VLOOKUP(F262,NXT!$C$12:$C$345,1,0),"","x")</f>
        <v/>
      </c>
    </row>
    <row r="263" spans="1:29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69"/>
        <v>6</v>
      </c>
      <c r="C263" s="184">
        <f t="shared" si="70"/>
        <v>41814</v>
      </c>
      <c r="D263" s="184" t="s">
        <v>947</v>
      </c>
      <c r="E263" s="184">
        <v>41814</v>
      </c>
      <c r="F263" s="189" t="s">
        <v>562</v>
      </c>
      <c r="G263" s="565" t="s">
        <v>560</v>
      </c>
      <c r="H263" s="7" t="s">
        <v>561</v>
      </c>
      <c r="I263" s="251">
        <v>100</v>
      </c>
      <c r="J263" s="251">
        <v>16500</v>
      </c>
      <c r="K263" s="563">
        <f>ROUND(I263*J263,0)</f>
        <v>1650000</v>
      </c>
      <c r="L263" s="564" t="s">
        <v>253</v>
      </c>
      <c r="M263" s="564" t="s">
        <v>177</v>
      </c>
      <c r="N263" s="52" t="str">
        <f>IF(AND('331-CT'!$E$7=TH!H263,OR(L263="331",M263="331")),"331",IF(AND(OR(L263="131",M263="131"),H263='131-CT'!$E$7),"131",""))</f>
        <v/>
      </c>
      <c r="O263" s="89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09"/>
      <c r="AC263" s="211" t="str">
        <f>IF(F263=VLOOKUP(F263,NXT!$C$12:$C$345,1,0),"","x")</f>
        <v/>
      </c>
    </row>
    <row r="264" spans="1:29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69"/>
        <v>6</v>
      </c>
      <c r="C264" s="184">
        <f t="shared" si="70"/>
        <v>41814</v>
      </c>
      <c r="D264" s="184" t="s">
        <v>947</v>
      </c>
      <c r="E264" s="184">
        <v>41814</v>
      </c>
      <c r="F264" s="189" t="s">
        <v>420</v>
      </c>
      <c r="G264" s="463" t="s">
        <v>560</v>
      </c>
      <c r="H264" s="7" t="s">
        <v>561</v>
      </c>
      <c r="I264" s="251"/>
      <c r="J264" s="251"/>
      <c r="K264" s="563">
        <v>861960</v>
      </c>
      <c r="L264" s="564" t="s">
        <v>253</v>
      </c>
      <c r="M264" s="564" t="s">
        <v>365</v>
      </c>
      <c r="N264" s="52" t="str">
        <f>IF(AND('331-CT'!$E$7=TH!H264,OR(L264="331",M264="331")),"331",IF(AND(OR(L264="131",M264="131"),H264='131-CT'!$E$7),"131",""))</f>
        <v/>
      </c>
      <c r="O264" s="89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09"/>
      <c r="AC264" s="555" t="str">
        <f>IF(VLOOKUP(H264,DS_131,1,0)&lt;&gt;"","","x")</f>
        <v/>
      </c>
    </row>
    <row r="265" spans="1:29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ref="B265" si="93">IF(C265&lt;&gt;"",MONTH(C265),"")</f>
        <v>6</v>
      </c>
      <c r="C265" s="184">
        <f t="shared" ref="C265" si="94">E265</f>
        <v>41814</v>
      </c>
      <c r="D265" s="184"/>
      <c r="E265" s="184">
        <v>41814</v>
      </c>
      <c r="F265" s="192" t="s">
        <v>894</v>
      </c>
      <c r="G265" s="463" t="s">
        <v>560</v>
      </c>
      <c r="H265" s="7" t="s">
        <v>561</v>
      </c>
      <c r="I265" s="251"/>
      <c r="J265" s="251"/>
      <c r="K265" s="563">
        <v>9481560</v>
      </c>
      <c r="L265" s="564" t="s">
        <v>47</v>
      </c>
      <c r="M265" s="564" t="s">
        <v>253</v>
      </c>
      <c r="N265" s="52" t="str">
        <f>IF(AND('331-CT'!$E$7=TH!H265,OR(L265="331",M265="331")),"331",IF(AND(OR(L265="131",M265="131"),H265='131-CT'!$E$7),"131",""))</f>
        <v/>
      </c>
      <c r="O265" s="89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>x</v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09"/>
      <c r="AC265" s="555" t="str">
        <f>IF(VLOOKUP(H265,DS_131,1,0)&lt;&gt;"","","x")</f>
        <v/>
      </c>
    </row>
    <row r="266" spans="1:29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69"/>
        <v>6</v>
      </c>
      <c r="C266" s="184">
        <f t="shared" si="70"/>
        <v>41815</v>
      </c>
      <c r="D266" s="184" t="s">
        <v>948</v>
      </c>
      <c r="E266" s="184">
        <v>41815</v>
      </c>
      <c r="F266" s="189" t="s">
        <v>563</v>
      </c>
      <c r="G266" s="463" t="s">
        <v>564</v>
      </c>
      <c r="H266" s="7" t="s">
        <v>425</v>
      </c>
      <c r="I266" s="251">
        <v>541</v>
      </c>
      <c r="J266" s="251">
        <v>12150</v>
      </c>
      <c r="K266" s="563">
        <f>ROUND(I266*J266,0)</f>
        <v>6573150</v>
      </c>
      <c r="L266" s="564" t="s">
        <v>253</v>
      </c>
      <c r="M266" s="564" t="s">
        <v>177</v>
      </c>
      <c r="N266" s="52" t="str">
        <f>IF(AND('331-CT'!$E$7=TH!H266,OR(L266="331",M266="331")),"331",IF(AND(OR(L266="131",M266="131"),H266='131-CT'!$E$7),"131",""))</f>
        <v/>
      </c>
      <c r="O266" s="89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09"/>
      <c r="AC266" s="211" t="str">
        <f>IF(F266=VLOOKUP(F266,NXT!$C$12:$C$345,1,0),"","x")</f>
        <v/>
      </c>
    </row>
    <row r="267" spans="1:29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69"/>
        <v>6</v>
      </c>
      <c r="C267" s="184">
        <f t="shared" si="70"/>
        <v>41815</v>
      </c>
      <c r="D267" s="184" t="s">
        <v>948</v>
      </c>
      <c r="E267" s="184">
        <v>41815</v>
      </c>
      <c r="F267" s="189" t="s">
        <v>420</v>
      </c>
      <c r="G267" s="565" t="s">
        <v>564</v>
      </c>
      <c r="H267" s="7" t="s">
        <v>425</v>
      </c>
      <c r="I267" s="251"/>
      <c r="J267" s="251"/>
      <c r="K267" s="563">
        <v>657315</v>
      </c>
      <c r="L267" s="564" t="s">
        <v>253</v>
      </c>
      <c r="M267" s="564" t="s">
        <v>365</v>
      </c>
      <c r="N267" s="52" t="str">
        <f>IF(AND('331-CT'!$E$7=TH!H267,OR(L267="331",M267="331")),"331",IF(AND(OR(L267="131",M267="131"),H267='131-CT'!$E$7),"131",""))</f>
        <v/>
      </c>
      <c r="O267" s="89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09"/>
      <c r="AC267" s="555" t="str">
        <f>IF(VLOOKUP(H267,DS_131,1,0)&lt;&gt;"","","x")</f>
        <v/>
      </c>
    </row>
    <row r="268" spans="1:29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ref="B268" si="95">IF(C268&lt;&gt;"",MONTH(C268),"")</f>
        <v>6</v>
      </c>
      <c r="C268" s="184">
        <f t="shared" ref="C268" si="96">E268</f>
        <v>41815</v>
      </c>
      <c r="D268" s="184"/>
      <c r="E268" s="184">
        <v>41815</v>
      </c>
      <c r="F268" s="192" t="s">
        <v>894</v>
      </c>
      <c r="G268" s="565" t="s">
        <v>564</v>
      </c>
      <c r="H268" s="7" t="s">
        <v>425</v>
      </c>
      <c r="I268" s="251"/>
      <c r="J268" s="251"/>
      <c r="K268" s="563">
        <v>7230465</v>
      </c>
      <c r="L268" s="564" t="s">
        <v>47</v>
      </c>
      <c r="M268" s="564" t="s">
        <v>253</v>
      </c>
      <c r="N268" s="52" t="str">
        <f>IF(AND('331-CT'!$E$7=TH!H268,OR(L268="331",M268="331")),"331",IF(AND(OR(L268="131",M268="131"),H268='131-CT'!$E$7),"131",""))</f>
        <v/>
      </c>
      <c r="O268" s="89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>x</v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09"/>
      <c r="AC268" s="555" t="str">
        <f>IF(VLOOKUP(H268,DS_131,1,0)&lt;&gt;"","","x")</f>
        <v/>
      </c>
    </row>
    <row r="269" spans="1:29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69"/>
        <v>6</v>
      </c>
      <c r="C269" s="184">
        <f t="shared" si="70"/>
        <v>41818</v>
      </c>
      <c r="D269" s="184" t="s">
        <v>949</v>
      </c>
      <c r="E269" s="184">
        <v>41818</v>
      </c>
      <c r="F269" s="189" t="s">
        <v>417</v>
      </c>
      <c r="G269" s="565" t="s">
        <v>565</v>
      </c>
      <c r="H269" s="7" t="s">
        <v>419</v>
      </c>
      <c r="I269" s="251">
        <v>2917</v>
      </c>
      <c r="J269" s="251">
        <v>5500</v>
      </c>
      <c r="K269" s="563">
        <f>ROUND(I269*J269,0)</f>
        <v>16043500</v>
      </c>
      <c r="L269" s="564" t="s">
        <v>253</v>
      </c>
      <c r="M269" s="564" t="s">
        <v>177</v>
      </c>
      <c r="N269" s="52" t="str">
        <f>IF(AND('331-CT'!$E$7=TH!H269,OR(L269="331",M269="331")),"331",IF(AND(OR(L269="131",M269="131"),H269='131-CT'!$E$7),"131",""))</f>
        <v/>
      </c>
      <c r="O269" s="89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09"/>
      <c r="AC269" s="211" t="str">
        <f>IF(F269=VLOOKUP(F269,NXT!$C$12:$C$345,1,0),"","x")</f>
        <v/>
      </c>
    </row>
    <row r="270" spans="1:29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69"/>
        <v>6</v>
      </c>
      <c r="C270" s="184">
        <f t="shared" si="70"/>
        <v>41818</v>
      </c>
      <c r="D270" s="184" t="s">
        <v>949</v>
      </c>
      <c r="E270" s="184">
        <v>41818</v>
      </c>
      <c r="F270" s="189" t="s">
        <v>420</v>
      </c>
      <c r="G270" s="565" t="s">
        <v>565</v>
      </c>
      <c r="H270" s="7" t="s">
        <v>419</v>
      </c>
      <c r="I270" s="251"/>
      <c r="J270" s="251"/>
      <c r="K270" s="563">
        <v>1604350</v>
      </c>
      <c r="L270" s="564" t="s">
        <v>253</v>
      </c>
      <c r="M270" s="564" t="s">
        <v>365</v>
      </c>
      <c r="N270" s="52" t="str">
        <f>IF(AND('331-CT'!$E$7=TH!H270,OR(L270="331",M270="331")),"331",IF(AND(OR(L270="131",M270="131"),H270='131-CT'!$E$7),"131",""))</f>
        <v/>
      </c>
      <c r="O270" s="89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09"/>
      <c r="AC270" s="555" t="str">
        <f>IF(VLOOKUP(H270,DS_131,1,0)&lt;&gt;"","","x")</f>
        <v/>
      </c>
    </row>
    <row r="271" spans="1:29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ref="B271" si="97">IF(C271&lt;&gt;"",MONTH(C271),"")</f>
        <v>6</v>
      </c>
      <c r="C271" s="184">
        <f t="shared" ref="C271" si="98">E271</f>
        <v>41818</v>
      </c>
      <c r="D271" s="184"/>
      <c r="E271" s="184">
        <v>41818</v>
      </c>
      <c r="F271" s="192" t="s">
        <v>894</v>
      </c>
      <c r="G271" s="565" t="s">
        <v>565</v>
      </c>
      <c r="H271" s="7" t="s">
        <v>419</v>
      </c>
      <c r="I271" s="251"/>
      <c r="J271" s="251"/>
      <c r="K271" s="563">
        <f>K269+K270</f>
        <v>17647850</v>
      </c>
      <c r="L271" s="564" t="s">
        <v>47</v>
      </c>
      <c r="M271" s="564" t="s">
        <v>253</v>
      </c>
      <c r="N271" s="52" t="str">
        <f>IF(AND('331-CT'!$E$7=TH!H271,OR(L271="331",M271="331")),"331",IF(AND(OR(L271="131",M271="131"),H271='131-CT'!$E$7),"131",""))</f>
        <v/>
      </c>
      <c r="O271" s="89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>x</v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09"/>
      <c r="AC271" s="555" t="str">
        <f>IF(VLOOKUP(H271,DS_131,1,0)&lt;&gt;"","","x")</f>
        <v/>
      </c>
    </row>
    <row r="272" spans="1:29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69"/>
        <v>6</v>
      </c>
      <c r="C272" s="184">
        <f t="shared" si="70"/>
        <v>41820</v>
      </c>
      <c r="D272" s="184" t="s">
        <v>950</v>
      </c>
      <c r="E272" s="184">
        <v>41820</v>
      </c>
      <c r="F272" s="189" t="s">
        <v>566</v>
      </c>
      <c r="G272" s="565" t="s">
        <v>567</v>
      </c>
      <c r="H272" s="7" t="s">
        <v>438</v>
      </c>
      <c r="I272" s="251">
        <v>550</v>
      </c>
      <c r="J272" s="251">
        <v>10500</v>
      </c>
      <c r="K272" s="563">
        <f>ROUND(I272*J272,0)</f>
        <v>5775000</v>
      </c>
      <c r="L272" s="564" t="s">
        <v>253</v>
      </c>
      <c r="M272" s="564" t="s">
        <v>177</v>
      </c>
      <c r="N272" s="52" t="str">
        <f>IF(AND('331-CT'!$E$7=TH!H272,OR(L272="331",M272="331")),"331",IF(AND(OR(L272="131",M272="131"),H272='131-CT'!$E$7),"131",""))</f>
        <v/>
      </c>
      <c r="O272" s="89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09"/>
      <c r="AC272" s="211" t="str">
        <f>IF(F272=VLOOKUP(F272,NXT!$C$12:$C$345,1,0),"","x")</f>
        <v/>
      </c>
    </row>
    <row r="273" spans="1:31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69"/>
        <v>6</v>
      </c>
      <c r="C273" s="184">
        <f t="shared" si="70"/>
        <v>41820</v>
      </c>
      <c r="D273" s="184" t="s">
        <v>950</v>
      </c>
      <c r="E273" s="184">
        <v>41820</v>
      </c>
      <c r="F273" s="189" t="s">
        <v>436</v>
      </c>
      <c r="G273" s="565" t="s">
        <v>567</v>
      </c>
      <c r="H273" s="7" t="s">
        <v>438</v>
      </c>
      <c r="I273" s="251">
        <v>500</v>
      </c>
      <c r="J273" s="251">
        <v>10500</v>
      </c>
      <c r="K273" s="563">
        <f>ROUND(I273*J273,0)</f>
        <v>5250000</v>
      </c>
      <c r="L273" s="564" t="s">
        <v>253</v>
      </c>
      <c r="M273" s="564" t="s">
        <v>177</v>
      </c>
      <c r="N273" s="52" t="str">
        <f>IF(AND('331-CT'!$E$7=TH!H273,OR(L273="331",M273="331")),"331",IF(AND(OR(L273="131",M273="131"),H273='131-CT'!$E$7),"131",""))</f>
        <v/>
      </c>
      <c r="O273" s="89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09"/>
      <c r="AC273" s="211" t="str">
        <f>IF(F273=VLOOKUP(F273,NXT!$C$12:$C$345,1,0),"","x")</f>
        <v/>
      </c>
    </row>
    <row r="274" spans="1:31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69"/>
        <v>6</v>
      </c>
      <c r="C274" s="184">
        <f t="shared" si="70"/>
        <v>41820</v>
      </c>
      <c r="D274" s="184" t="s">
        <v>950</v>
      </c>
      <c r="E274" s="184">
        <v>41820</v>
      </c>
      <c r="F274" s="189" t="s">
        <v>420</v>
      </c>
      <c r="G274" s="463" t="s">
        <v>567</v>
      </c>
      <c r="H274" s="7" t="s">
        <v>438</v>
      </c>
      <c r="I274" s="251"/>
      <c r="J274" s="251"/>
      <c r="K274" s="563">
        <v>1102500</v>
      </c>
      <c r="L274" s="564" t="s">
        <v>253</v>
      </c>
      <c r="M274" s="564" t="s">
        <v>365</v>
      </c>
      <c r="N274" s="52" t="str">
        <f>IF(AND('331-CT'!$E$7=TH!H274,OR(L274="331",M274="331")),"331",IF(AND(OR(L274="131",M274="131"),H274='131-CT'!$E$7),"131",""))</f>
        <v/>
      </c>
      <c r="O274" s="89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09"/>
      <c r="AC274" s="555" t="str">
        <f>IF(VLOOKUP(H274,DS_131,1,0)&lt;&gt;"","","x")</f>
        <v/>
      </c>
    </row>
    <row r="275" spans="1:31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ref="B275" si="99">IF(C275&lt;&gt;"",MONTH(C275),"")</f>
        <v>6</v>
      </c>
      <c r="C275" s="184">
        <f t="shared" ref="C275" si="100">E275</f>
        <v>41820</v>
      </c>
      <c r="D275" s="184"/>
      <c r="E275" s="184">
        <v>41820</v>
      </c>
      <c r="F275" s="192" t="s">
        <v>894</v>
      </c>
      <c r="G275" s="463" t="s">
        <v>567</v>
      </c>
      <c r="H275" s="7" t="s">
        <v>438</v>
      </c>
      <c r="I275" s="251"/>
      <c r="J275" s="251"/>
      <c r="K275" s="563">
        <v>12127500</v>
      </c>
      <c r="L275" s="564" t="s">
        <v>47</v>
      </c>
      <c r="M275" s="564" t="s">
        <v>253</v>
      </c>
      <c r="N275" s="52" t="str">
        <f>IF(AND('331-CT'!$E$7=TH!H275,OR(L275="331",M275="331")),"331",IF(AND(OR(L275="131",M275="131"),H275='131-CT'!$E$7),"131",""))</f>
        <v/>
      </c>
      <c r="O275" s="89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09"/>
      <c r="AC275" s="555" t="str">
        <f>IF(VLOOKUP(H275,DS_131,1,0)&lt;&gt;"","","x")</f>
        <v/>
      </c>
    </row>
    <row r="276" spans="1:31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69"/>
        <v>6</v>
      </c>
      <c r="C276" s="184">
        <f t="shared" si="70"/>
        <v>41820</v>
      </c>
      <c r="D276" s="184" t="s">
        <v>951</v>
      </c>
      <c r="E276" s="184">
        <v>41820</v>
      </c>
      <c r="F276" s="189" t="s">
        <v>568</v>
      </c>
      <c r="G276" s="565" t="s">
        <v>569</v>
      </c>
      <c r="H276" s="7" t="s">
        <v>907</v>
      </c>
      <c r="I276" s="251">
        <v>203</v>
      </c>
      <c r="J276" s="251">
        <v>9800</v>
      </c>
      <c r="K276" s="563">
        <f>ROUND(I276*J276,0)</f>
        <v>1989400</v>
      </c>
      <c r="L276" s="564" t="s">
        <v>253</v>
      </c>
      <c r="M276" s="564" t="s">
        <v>177</v>
      </c>
      <c r="N276" s="52" t="str">
        <f>IF(AND('331-CT'!$E$7=TH!H276,OR(L276="331",M276="331")),"331",IF(AND(OR(L276="131",M276="131"),H276='131-CT'!$E$7),"131",""))</f>
        <v/>
      </c>
      <c r="O276" s="89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09"/>
      <c r="AC276" s="211" t="str">
        <f>IF(F276=VLOOKUP(F276,NXT!$C$12:$C$345,1,0),"","x")</f>
        <v/>
      </c>
      <c r="AD276" s="555"/>
    </row>
    <row r="277" spans="1:31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69"/>
        <v>6</v>
      </c>
      <c r="C277" s="184">
        <f t="shared" si="70"/>
        <v>41820</v>
      </c>
      <c r="D277" s="184" t="s">
        <v>951</v>
      </c>
      <c r="E277" s="37">
        <v>41820</v>
      </c>
      <c r="F277" s="189" t="s">
        <v>487</v>
      </c>
      <c r="G277" s="462" t="s">
        <v>569</v>
      </c>
      <c r="H277" s="7" t="s">
        <v>907</v>
      </c>
      <c r="I277" s="251">
        <v>205</v>
      </c>
      <c r="J277" s="253">
        <v>6400</v>
      </c>
      <c r="K277" s="563">
        <f>ROUND(I277*J277,0)</f>
        <v>1312000</v>
      </c>
      <c r="L277" s="564" t="s">
        <v>253</v>
      </c>
      <c r="M277" s="564" t="s">
        <v>177</v>
      </c>
      <c r="N277" s="52" t="str">
        <f>IF(AND('331-CT'!$E$7=TH!H277,OR(L277="331",M277="331")),"331",IF(AND(OR(L277="131",M277="131"),H277='131-CT'!$E$7),"131",""))</f>
        <v/>
      </c>
      <c r="O277" s="89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09"/>
      <c r="AC277" s="211" t="str">
        <f>IF(F277=VLOOKUP(F277,NXT!$C$12:$C$345,1,0),"","x")</f>
        <v/>
      </c>
      <c r="AD277" s="555"/>
      <c r="AE277" s="555"/>
    </row>
    <row r="278" spans="1:31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69"/>
        <v>6</v>
      </c>
      <c r="C278" s="184">
        <f t="shared" si="70"/>
        <v>41820</v>
      </c>
      <c r="D278" s="184" t="s">
        <v>951</v>
      </c>
      <c r="E278" s="37">
        <v>41820</v>
      </c>
      <c r="F278" s="189" t="s">
        <v>420</v>
      </c>
      <c r="G278" s="462" t="s">
        <v>569</v>
      </c>
      <c r="H278" s="7" t="s">
        <v>907</v>
      </c>
      <c r="I278" s="251"/>
      <c r="J278" s="251"/>
      <c r="K278" s="563">
        <v>330140</v>
      </c>
      <c r="L278" s="564" t="s">
        <v>253</v>
      </c>
      <c r="M278" s="564" t="s">
        <v>365</v>
      </c>
      <c r="N278" s="52" t="str">
        <f>IF(AND('331-CT'!$E$7=TH!H278,OR(L278="331",M278="331")),"331",IF(AND(OR(L278="131",M278="131"),H278='131-CT'!$E$7),"131",""))</f>
        <v/>
      </c>
      <c r="O278" s="89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09"/>
      <c r="AC278" s="555" t="str">
        <f>IF(VLOOKUP(H278,DS_131,1,0)&lt;&gt;"","","x")</f>
        <v/>
      </c>
      <c r="AE278" s="555"/>
    </row>
    <row r="279" spans="1:31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" si="101">IF(C279&lt;&gt;"",MONTH(C279),"")</f>
        <v>6</v>
      </c>
      <c r="C279" s="184">
        <f t="shared" ref="C279" si="102">E279</f>
        <v>41820</v>
      </c>
      <c r="D279" s="184"/>
      <c r="E279" s="37">
        <v>41820</v>
      </c>
      <c r="F279" s="192" t="s">
        <v>894</v>
      </c>
      <c r="G279" s="462" t="s">
        <v>569</v>
      </c>
      <c r="H279" s="7" t="s">
        <v>907</v>
      </c>
      <c r="I279" s="251"/>
      <c r="J279" s="251"/>
      <c r="K279" s="563">
        <v>3631540</v>
      </c>
      <c r="L279" s="564" t="s">
        <v>47</v>
      </c>
      <c r="M279" s="564" t="s">
        <v>253</v>
      </c>
      <c r="N279" s="52" t="str">
        <f>IF(AND('331-CT'!$E$7=TH!H279,OR(L279="331",M279="331")),"331",IF(AND(OR(L279="131",M279="131"),H279='131-CT'!$E$7),"131",""))</f>
        <v/>
      </c>
      <c r="O279" s="89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09"/>
      <c r="AC279" s="555" t="str">
        <f>IF(VLOOKUP(H279,DS_131,1,0)&lt;&gt;"","","x")</f>
        <v/>
      </c>
      <c r="AE279" s="555"/>
    </row>
    <row r="280" spans="1:31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69"/>
        <v>7</v>
      </c>
      <c r="C280" s="184">
        <f t="shared" si="70"/>
        <v>41831</v>
      </c>
      <c r="D280" s="184" t="s">
        <v>910</v>
      </c>
      <c r="E280" s="37">
        <v>41831</v>
      </c>
      <c r="F280" s="189" t="s">
        <v>515</v>
      </c>
      <c r="G280" s="462" t="s">
        <v>570</v>
      </c>
      <c r="H280" s="7" t="s">
        <v>908</v>
      </c>
      <c r="I280" s="251">
        <v>570</v>
      </c>
      <c r="J280" s="251">
        <v>8400</v>
      </c>
      <c r="K280" s="563">
        <f>ROUND(I280*J280,0)</f>
        <v>4788000</v>
      </c>
      <c r="L280" s="564" t="s">
        <v>253</v>
      </c>
      <c r="M280" s="564" t="s">
        <v>177</v>
      </c>
      <c r="N280" s="52" t="str">
        <f>IF(AND('331-CT'!$E$7=TH!H280,OR(L280="331",M280="331")),"331",IF(AND(OR(L280="131",M280="131"),H280='131-CT'!$E$7),"131",""))</f>
        <v/>
      </c>
      <c r="O280" s="89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09"/>
      <c r="AC280" s="211" t="str">
        <f>IF(F280=VLOOKUP(F280,NXT!$C$12:$C$345,1,0),"","x")</f>
        <v/>
      </c>
      <c r="AD280" s="555"/>
      <c r="AE280" s="555"/>
    </row>
    <row r="281" spans="1:31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69"/>
        <v>7</v>
      </c>
      <c r="C281" s="184">
        <f t="shared" si="70"/>
        <v>41831</v>
      </c>
      <c r="D281" s="184" t="s">
        <v>910</v>
      </c>
      <c r="E281" s="37">
        <v>41831</v>
      </c>
      <c r="F281" s="189" t="s">
        <v>515</v>
      </c>
      <c r="G281" s="462" t="s">
        <v>570</v>
      </c>
      <c r="H281" s="7" t="s">
        <v>908</v>
      </c>
      <c r="I281" s="251">
        <v>564</v>
      </c>
      <c r="J281" s="251">
        <v>12000</v>
      </c>
      <c r="K281" s="563">
        <f>ROUND(I281*J281,0)</f>
        <v>6768000</v>
      </c>
      <c r="L281" s="564" t="s">
        <v>253</v>
      </c>
      <c r="M281" s="564" t="s">
        <v>177</v>
      </c>
      <c r="N281" s="52" t="str">
        <f>IF(AND('331-CT'!$E$7=TH!H281,OR(L281="331",M281="331")),"331",IF(AND(OR(L281="131",M281="131"),H281='131-CT'!$E$7),"131",""))</f>
        <v/>
      </c>
      <c r="O281" s="89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09"/>
      <c r="AC281" s="211" t="str">
        <f>IF(F281=VLOOKUP(F281,NXT!$C$12:$C$345,1,0),"","x")</f>
        <v/>
      </c>
      <c r="AD281" s="555"/>
      <c r="AE281" s="555"/>
    </row>
    <row r="282" spans="1:31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69"/>
        <v>7</v>
      </c>
      <c r="C282" s="184">
        <f t="shared" si="70"/>
        <v>41831</v>
      </c>
      <c r="D282" s="184" t="s">
        <v>910</v>
      </c>
      <c r="E282" s="37">
        <v>41831</v>
      </c>
      <c r="F282" s="189" t="s">
        <v>420</v>
      </c>
      <c r="G282" s="462" t="s">
        <v>570</v>
      </c>
      <c r="H282" s="7" t="s">
        <v>908</v>
      </c>
      <c r="I282" s="251"/>
      <c r="J282" s="251"/>
      <c r="K282" s="38">
        <v>1155600</v>
      </c>
      <c r="L282" s="564" t="s">
        <v>253</v>
      </c>
      <c r="M282" s="564" t="s">
        <v>365</v>
      </c>
      <c r="N282" s="52" t="str">
        <f>IF(AND('331-CT'!$E$7=TH!H282,OR(L282="331",M282="331")),"331",IF(AND(OR(L282="131",M282="131"),H282='131-CT'!$E$7),"131",""))</f>
        <v/>
      </c>
      <c r="O282" s="89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09"/>
      <c r="AC282" s="555" t="str">
        <f>IF(VLOOKUP(H282,DS_131,1,0)&lt;&gt;"","","x")</f>
        <v/>
      </c>
      <c r="AE282" s="555"/>
    </row>
    <row r="283" spans="1:31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69"/>
        <v>7</v>
      </c>
      <c r="C283" s="184">
        <f t="shared" si="70"/>
        <v>41832</v>
      </c>
      <c r="D283" s="184" t="s">
        <v>911</v>
      </c>
      <c r="E283" s="37">
        <v>41832</v>
      </c>
      <c r="F283" s="189" t="s">
        <v>571</v>
      </c>
      <c r="G283" s="462" t="s">
        <v>572</v>
      </c>
      <c r="H283" s="7" t="s">
        <v>425</v>
      </c>
      <c r="I283" s="251">
        <v>393</v>
      </c>
      <c r="J283" s="251">
        <v>10500</v>
      </c>
      <c r="K283" s="563">
        <f>ROUND(I283*J283,0)</f>
        <v>4126500</v>
      </c>
      <c r="L283" s="564" t="s">
        <v>253</v>
      </c>
      <c r="M283" s="564" t="s">
        <v>177</v>
      </c>
      <c r="N283" s="52" t="str">
        <f>IF(AND('331-CT'!$E$7=TH!H283,OR(L283="331",M283="331")),"331",IF(AND(OR(L283="131",M283="131"),H283='131-CT'!$E$7),"131",""))</f>
        <v/>
      </c>
      <c r="O283" s="89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09"/>
      <c r="AC283" s="211" t="str">
        <f>IF(F283=VLOOKUP(F283,NXT!$C$12:$C$345,1,0),"","x")</f>
        <v/>
      </c>
      <c r="AD283" s="555"/>
      <c r="AE283" s="555"/>
    </row>
    <row r="284" spans="1:31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69"/>
        <v>7</v>
      </c>
      <c r="C284" s="184">
        <f t="shared" si="70"/>
        <v>41832</v>
      </c>
      <c r="D284" s="184" t="s">
        <v>911</v>
      </c>
      <c r="E284" s="37">
        <v>41832</v>
      </c>
      <c r="F284" s="189" t="s">
        <v>573</v>
      </c>
      <c r="G284" s="462" t="s">
        <v>572</v>
      </c>
      <c r="H284" s="7" t="s">
        <v>425</v>
      </c>
      <c r="I284" s="251">
        <v>480</v>
      </c>
      <c r="J284" s="251">
        <v>12800</v>
      </c>
      <c r="K284" s="563">
        <f>ROUND(I284*J284,0)</f>
        <v>6144000</v>
      </c>
      <c r="L284" s="564" t="s">
        <v>253</v>
      </c>
      <c r="M284" s="564" t="s">
        <v>177</v>
      </c>
      <c r="N284" s="52" t="str">
        <f>IF(AND('331-CT'!$E$7=TH!H284,OR(L284="331",M284="331")),"331",IF(AND(OR(L284="131",M284="131"),H284='131-CT'!$E$7),"131",""))</f>
        <v/>
      </c>
      <c r="O284" s="89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09"/>
      <c r="AC284" s="211" t="str">
        <f>IF(F284=VLOOKUP(F284,NXT!$C$12:$C$345,1,0),"","x")</f>
        <v/>
      </c>
      <c r="AD284" s="555"/>
      <c r="AE284" s="555"/>
    </row>
    <row r="285" spans="1:31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69"/>
        <v>7</v>
      </c>
      <c r="C285" s="184">
        <f t="shared" si="70"/>
        <v>41832</v>
      </c>
      <c r="D285" s="184" t="s">
        <v>911</v>
      </c>
      <c r="E285" s="37">
        <v>41832</v>
      </c>
      <c r="F285" s="189" t="s">
        <v>574</v>
      </c>
      <c r="G285" s="462" t="s">
        <v>572</v>
      </c>
      <c r="H285" s="7" t="s">
        <v>425</v>
      </c>
      <c r="I285" s="251">
        <v>219</v>
      </c>
      <c r="J285" s="251">
        <v>12700</v>
      </c>
      <c r="K285" s="563">
        <f>ROUND(I285*J285,0)</f>
        <v>2781300</v>
      </c>
      <c r="L285" s="564" t="s">
        <v>253</v>
      </c>
      <c r="M285" s="564" t="s">
        <v>177</v>
      </c>
      <c r="N285" s="52" t="str">
        <f>IF(AND('331-CT'!$E$7=TH!H285,OR(L285="331",M285="331")),"331",IF(AND(OR(L285="131",M285="131"),H285='131-CT'!$E$7),"131",""))</f>
        <v/>
      </c>
      <c r="O285" s="89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09"/>
      <c r="AC285" s="211" t="str">
        <f>IF(F285=VLOOKUP(F285,NXT!$C$12:$C$345,1,0),"","x")</f>
        <v/>
      </c>
      <c r="AD285" s="555"/>
      <c r="AE285" s="555"/>
    </row>
    <row r="286" spans="1:31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69"/>
        <v>7</v>
      </c>
      <c r="C286" s="184">
        <f t="shared" si="70"/>
        <v>41832</v>
      </c>
      <c r="D286" s="184" t="s">
        <v>911</v>
      </c>
      <c r="E286" s="37">
        <v>41832</v>
      </c>
      <c r="F286" s="189" t="s">
        <v>420</v>
      </c>
      <c r="G286" s="462" t="s">
        <v>572</v>
      </c>
      <c r="H286" s="7" t="s">
        <v>425</v>
      </c>
      <c r="I286" s="251"/>
      <c r="J286" s="251"/>
      <c r="K286" s="563">
        <v>1305180</v>
      </c>
      <c r="L286" s="564" t="s">
        <v>253</v>
      </c>
      <c r="M286" s="564" t="s">
        <v>365</v>
      </c>
      <c r="N286" s="52" t="str">
        <f>IF(AND('331-CT'!$E$7=TH!H286,OR(L286="331",M286="331")),"331",IF(AND(OR(L286="131",M286="131"),H286='131-CT'!$E$7),"131",""))</f>
        <v/>
      </c>
      <c r="O286" s="89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09"/>
      <c r="AC286" s="555" t="str">
        <f>IF(VLOOKUP(H286,DS_131,1,0)&lt;&gt;"","","x")</f>
        <v/>
      </c>
      <c r="AD286" s="555"/>
      <c r="AE286" s="555"/>
    </row>
    <row r="287" spans="1:31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ref="B287" si="103">IF(C287&lt;&gt;"",MONTH(C287),"")</f>
        <v>7</v>
      </c>
      <c r="C287" s="184">
        <f t="shared" ref="C287" si="104">E287</f>
        <v>41832</v>
      </c>
      <c r="D287" s="184"/>
      <c r="E287" s="37">
        <v>41832</v>
      </c>
      <c r="F287" s="192" t="s">
        <v>894</v>
      </c>
      <c r="G287" s="462" t="s">
        <v>572</v>
      </c>
      <c r="H287" s="7" t="s">
        <v>425</v>
      </c>
      <c r="I287" s="251"/>
      <c r="J287" s="251"/>
      <c r="K287" s="563">
        <v>14356980</v>
      </c>
      <c r="L287" s="564" t="s">
        <v>47</v>
      </c>
      <c r="M287" s="564" t="s">
        <v>253</v>
      </c>
      <c r="N287" s="52" t="str">
        <f>IF(AND('331-CT'!$E$7=TH!H287,OR(L287="331",M287="331")),"331",IF(AND(OR(L287="131",M287="131"),H287='131-CT'!$E$7),"131",""))</f>
        <v/>
      </c>
      <c r="O287" s="890" t="str">
        <f>IF(AND('341-CT'!$E$9=H287,OR(LEFT(L287,3)=$O$7,LEFT(M287,3)=$O$7)),"x","")</f>
        <v/>
      </c>
      <c r="P287" s="52" t="str">
        <f>IF(AND($B287&gt;='111'!$N$11,$B287&lt;='111'!$O$11,OR($L287=$P$7,$M287=$P$7)),"x","")</f>
        <v>x</v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09"/>
      <c r="AC287" s="555" t="str">
        <f>IF(VLOOKUP(H287,DS_131,1,0)&lt;&gt;"","","x")</f>
        <v/>
      </c>
      <c r="AD287" s="555"/>
      <c r="AE287" s="555"/>
    </row>
    <row r="288" spans="1:31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69"/>
        <v>7</v>
      </c>
      <c r="C288" s="184">
        <f t="shared" si="70"/>
        <v>41834</v>
      </c>
      <c r="D288" s="184" t="s">
        <v>912</v>
      </c>
      <c r="E288" s="37">
        <v>41834</v>
      </c>
      <c r="F288" s="189" t="s">
        <v>575</v>
      </c>
      <c r="G288" s="462" t="s">
        <v>576</v>
      </c>
      <c r="H288" s="7" t="s">
        <v>425</v>
      </c>
      <c r="I288" s="252">
        <v>300</v>
      </c>
      <c r="J288" s="252">
        <v>11619</v>
      </c>
      <c r="K288" s="563">
        <f>ROUND(I288*J288,0)</f>
        <v>3485700</v>
      </c>
      <c r="L288" s="564" t="s">
        <v>253</v>
      </c>
      <c r="M288" s="564" t="s">
        <v>177</v>
      </c>
      <c r="N288" s="52" t="str">
        <f>IF(AND('331-CT'!$E$7=TH!H288,OR(L288="331",M288="331")),"331",IF(AND(OR(L288="131",M288="131"),H288='131-CT'!$E$7),"131",""))</f>
        <v/>
      </c>
      <c r="O288" s="89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09"/>
      <c r="AC288" s="211" t="str">
        <f>IF(F288=VLOOKUP(F288,NXT!$C$12:$C$345,1,0),"","x")</f>
        <v/>
      </c>
      <c r="AE288" s="555"/>
    </row>
    <row r="289" spans="1:31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69"/>
        <v>7</v>
      </c>
      <c r="C289" s="184">
        <f t="shared" si="70"/>
        <v>41834</v>
      </c>
      <c r="D289" s="184" t="s">
        <v>912</v>
      </c>
      <c r="E289" s="37">
        <v>41834</v>
      </c>
      <c r="F289" s="189" t="s">
        <v>577</v>
      </c>
      <c r="G289" s="462" t="s">
        <v>576</v>
      </c>
      <c r="H289" s="7" t="s">
        <v>425</v>
      </c>
      <c r="I289" s="252">
        <v>720</v>
      </c>
      <c r="J289" s="252">
        <v>12050</v>
      </c>
      <c r="K289" s="563">
        <f>ROUND(I289*J289,0)</f>
        <v>8676000</v>
      </c>
      <c r="L289" s="564" t="s">
        <v>253</v>
      </c>
      <c r="M289" s="564" t="s">
        <v>177</v>
      </c>
      <c r="N289" s="52" t="str">
        <f>IF(AND('331-CT'!$E$7=TH!H289,OR(L289="331",M289="331")),"331",IF(AND(OR(L289="131",M289="131"),H289='131-CT'!$E$7),"131",""))</f>
        <v/>
      </c>
      <c r="O289" s="89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09"/>
      <c r="AC289" s="211" t="str">
        <f>IF(F289=VLOOKUP(F289,NXT!$C$12:$C$345,1,0),"","x")</f>
        <v/>
      </c>
      <c r="AD289" s="555"/>
      <c r="AE289" s="555"/>
    </row>
    <row r="290" spans="1:31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ref="B290:B359" si="105">IF(C290&lt;&gt;"",MONTH(C290),"")</f>
        <v>7</v>
      </c>
      <c r="C290" s="184">
        <f t="shared" ref="C290:C359" si="106">E290</f>
        <v>41834</v>
      </c>
      <c r="D290" s="184" t="s">
        <v>912</v>
      </c>
      <c r="E290" s="37">
        <v>41834</v>
      </c>
      <c r="F290" s="189" t="s">
        <v>420</v>
      </c>
      <c r="G290" s="462" t="s">
        <v>576</v>
      </c>
      <c r="H290" s="7" t="s">
        <v>425</v>
      </c>
      <c r="I290" s="251"/>
      <c r="J290" s="251"/>
      <c r="K290" s="563">
        <v>1216170</v>
      </c>
      <c r="L290" s="564" t="s">
        <v>253</v>
      </c>
      <c r="M290" s="564" t="s">
        <v>365</v>
      </c>
      <c r="N290" s="52" t="str">
        <f>IF(AND('331-CT'!$E$7=TH!H290,OR(L290="331",M290="331")),"331",IF(AND(OR(L290="131",M290="131"),H290='131-CT'!$E$7),"131",""))</f>
        <v/>
      </c>
      <c r="O290" s="89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09"/>
      <c r="AC290" s="555" t="str">
        <f>IF(VLOOKUP(H290,DS_131,1,0)&lt;&gt;"","","x")</f>
        <v/>
      </c>
      <c r="AE290" s="555"/>
    </row>
    <row r="291" spans="1:31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ref="B291" si="107">IF(C291&lt;&gt;"",MONTH(C291),"")</f>
        <v>7</v>
      </c>
      <c r="C291" s="184">
        <f t="shared" ref="C291" si="108">E291</f>
        <v>41834</v>
      </c>
      <c r="D291" s="184"/>
      <c r="E291" s="37">
        <v>41834</v>
      </c>
      <c r="F291" s="192" t="s">
        <v>894</v>
      </c>
      <c r="G291" s="462" t="s">
        <v>576</v>
      </c>
      <c r="H291" s="7" t="s">
        <v>425</v>
      </c>
      <c r="I291" s="251"/>
      <c r="J291" s="251"/>
      <c r="K291" s="563">
        <v>13377870</v>
      </c>
      <c r="L291" s="564" t="s">
        <v>47</v>
      </c>
      <c r="M291" s="564" t="s">
        <v>253</v>
      </c>
      <c r="N291" s="52" t="str">
        <f>IF(AND('331-CT'!$E$7=TH!H291,OR(L291="331",M291="331")),"331",IF(AND(OR(L291="131",M291="131"),H291='131-CT'!$E$7),"131",""))</f>
        <v/>
      </c>
      <c r="O291" s="890" t="str">
        <f>IF(AND('341-CT'!$E$9=H291,OR(LEFT(L291,3)=$O$7,LEFT(M291,3)=$O$7)),"x","")</f>
        <v/>
      </c>
      <c r="P291" s="52" t="str">
        <f>IF(AND($B291&gt;='111'!$N$11,$B291&lt;='111'!$O$11,OR($L291=$P$7,$M291=$P$7)),"x","")</f>
        <v>x</v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09"/>
      <c r="AC291" s="555" t="str">
        <f>IF(VLOOKUP(H291,DS_131,1,0)&lt;&gt;"","","x")</f>
        <v/>
      </c>
      <c r="AE291" s="555"/>
    </row>
    <row r="292" spans="1:31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105"/>
        <v>7</v>
      </c>
      <c r="C292" s="184">
        <f t="shared" si="106"/>
        <v>41834</v>
      </c>
      <c r="D292" s="184" t="s">
        <v>913</v>
      </c>
      <c r="E292" s="37">
        <v>41834</v>
      </c>
      <c r="F292" s="189" t="s">
        <v>436</v>
      </c>
      <c r="G292" s="462" t="s">
        <v>578</v>
      </c>
      <c r="H292" s="7" t="s">
        <v>438</v>
      </c>
      <c r="I292" s="251">
        <v>522</v>
      </c>
      <c r="J292" s="251">
        <v>10500</v>
      </c>
      <c r="K292" s="563">
        <f>ROUND(I292*J292,0)</f>
        <v>5481000</v>
      </c>
      <c r="L292" s="564" t="s">
        <v>253</v>
      </c>
      <c r="M292" s="564" t="s">
        <v>177</v>
      </c>
      <c r="N292" s="52" t="str">
        <f>IF(AND('331-CT'!$E$7=TH!H292,OR(L292="331",M292="331")),"331",IF(AND(OR(L292="131",M292="131"),H292='131-CT'!$E$7),"131",""))</f>
        <v/>
      </c>
      <c r="O292" s="89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09"/>
      <c r="AC292" s="211" t="str">
        <f>IF(F292=VLOOKUP(F292,NXT!$C$12:$C$345,1,0),"","x")</f>
        <v/>
      </c>
      <c r="AD292" s="555"/>
      <c r="AE292" s="555"/>
    </row>
    <row r="293" spans="1:31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105"/>
        <v>7</v>
      </c>
      <c r="C293" s="184">
        <f t="shared" si="106"/>
        <v>41834</v>
      </c>
      <c r="D293" s="184" t="s">
        <v>913</v>
      </c>
      <c r="E293" s="191">
        <v>41834</v>
      </c>
      <c r="F293" s="291" t="s">
        <v>574</v>
      </c>
      <c r="G293" s="463" t="s">
        <v>578</v>
      </c>
      <c r="H293" s="7" t="s">
        <v>438</v>
      </c>
      <c r="I293" s="251">
        <v>525</v>
      </c>
      <c r="J293" s="251">
        <v>9500</v>
      </c>
      <c r="K293" s="563">
        <f>ROUND(I293*J293,0)</f>
        <v>4987500</v>
      </c>
      <c r="L293" s="564" t="s">
        <v>253</v>
      </c>
      <c r="M293" s="564" t="s">
        <v>177</v>
      </c>
      <c r="N293" s="52" t="str">
        <f>IF(AND('331-CT'!$E$7=TH!H293,OR(L293="331",M293="331")),"331",IF(AND(OR(L293="131",M293="131"),H293='131-CT'!$E$7),"131",""))</f>
        <v/>
      </c>
      <c r="O293" s="89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09"/>
      <c r="AC293" s="211" t="str">
        <f>IF(F293=VLOOKUP(F293,NXT!$C$12:$C$345,1,0),"","x")</f>
        <v/>
      </c>
    </row>
    <row r="294" spans="1:31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105"/>
        <v>7</v>
      </c>
      <c r="C294" s="184">
        <f t="shared" si="106"/>
        <v>41834</v>
      </c>
      <c r="D294" s="184" t="s">
        <v>913</v>
      </c>
      <c r="E294" s="191">
        <v>41834</v>
      </c>
      <c r="F294" s="189" t="s">
        <v>420</v>
      </c>
      <c r="G294" s="463" t="s">
        <v>578</v>
      </c>
      <c r="H294" s="7" t="s">
        <v>438</v>
      </c>
      <c r="I294" s="251"/>
      <c r="J294" s="251"/>
      <c r="K294" s="563">
        <v>1046850</v>
      </c>
      <c r="L294" s="564" t="s">
        <v>253</v>
      </c>
      <c r="M294" s="564" t="s">
        <v>365</v>
      </c>
      <c r="N294" s="52" t="str">
        <f>IF(AND('331-CT'!$E$7=TH!H294,OR(L294="331",M294="331")),"331",IF(AND(OR(L294="131",M294="131"),H294='131-CT'!$E$7),"131",""))</f>
        <v/>
      </c>
      <c r="O294" s="89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09"/>
      <c r="AC294" s="555" t="str">
        <f>IF(VLOOKUP(H294,DS_131,1,0)&lt;&gt;"","","x")</f>
        <v/>
      </c>
    </row>
    <row r="295" spans="1:31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ref="B295" si="109">IF(C295&lt;&gt;"",MONTH(C295),"")</f>
        <v>7</v>
      </c>
      <c r="C295" s="184">
        <f t="shared" ref="C295" si="110">E295</f>
        <v>41834</v>
      </c>
      <c r="D295" s="184"/>
      <c r="E295" s="191">
        <v>41834</v>
      </c>
      <c r="F295" s="192" t="s">
        <v>894</v>
      </c>
      <c r="G295" s="463" t="s">
        <v>578</v>
      </c>
      <c r="H295" s="7" t="s">
        <v>438</v>
      </c>
      <c r="I295" s="251"/>
      <c r="J295" s="251"/>
      <c r="K295" s="563">
        <v>11515350</v>
      </c>
      <c r="L295" s="564" t="s">
        <v>47</v>
      </c>
      <c r="M295" s="564" t="s">
        <v>253</v>
      </c>
      <c r="N295" s="52" t="str">
        <f>IF(AND('331-CT'!$E$7=TH!H295,OR(L295="331",M295="331")),"331",IF(AND(OR(L295="131",M295="131"),H295='131-CT'!$E$7),"131",""))</f>
        <v/>
      </c>
      <c r="O295" s="890" t="str">
        <f>IF(AND('341-CT'!$E$9=H295,OR(LEFT(L295,3)=$O$7,LEFT(M295,3)=$O$7)),"x","")</f>
        <v/>
      </c>
      <c r="P295" s="52" t="str">
        <f>IF(AND($B295&gt;='111'!$N$11,$B295&lt;='111'!$O$11,OR($L295=$P$7,$M295=$P$7)),"x","")</f>
        <v>x</v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09"/>
      <c r="AC295" s="555" t="str">
        <f>IF(VLOOKUP(H295,DS_131,1,0)&lt;&gt;"","","x")</f>
        <v/>
      </c>
    </row>
    <row r="296" spans="1:31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05"/>
        <v>7</v>
      </c>
      <c r="C296" s="184">
        <f t="shared" si="106"/>
        <v>41834</v>
      </c>
      <c r="D296" s="184" t="s">
        <v>914</v>
      </c>
      <c r="E296" s="191">
        <v>41834</v>
      </c>
      <c r="F296" s="291" t="s">
        <v>508</v>
      </c>
      <c r="G296" s="463" t="s">
        <v>579</v>
      </c>
      <c r="H296" s="7" t="s">
        <v>907</v>
      </c>
      <c r="I296" s="251">
        <v>214</v>
      </c>
      <c r="J296" s="251">
        <v>9400</v>
      </c>
      <c r="K296" s="563">
        <f>ROUND(I296*J296,0)</f>
        <v>2011600</v>
      </c>
      <c r="L296" s="564" t="s">
        <v>253</v>
      </c>
      <c r="M296" s="564" t="s">
        <v>177</v>
      </c>
      <c r="N296" s="52" t="str">
        <f>IF(AND('331-CT'!$E$7=TH!H296,OR(L296="331",M296="331")),"331",IF(AND(OR(L296="131",M296="131"),H296='131-CT'!$E$7),"131",""))</f>
        <v/>
      </c>
      <c r="O296" s="89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09"/>
      <c r="AC296" s="211" t="str">
        <f>IF(F296=VLOOKUP(F296,NXT!$C$12:$C$345,1,0),"","x")</f>
        <v/>
      </c>
    </row>
    <row r="297" spans="1:31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05"/>
        <v>7</v>
      </c>
      <c r="C297" s="184">
        <f t="shared" si="106"/>
        <v>41834</v>
      </c>
      <c r="D297" s="184" t="s">
        <v>914</v>
      </c>
      <c r="E297" s="191">
        <v>41834</v>
      </c>
      <c r="F297" s="189" t="s">
        <v>486</v>
      </c>
      <c r="G297" s="463" t="s">
        <v>579</v>
      </c>
      <c r="H297" s="7" t="s">
        <v>907</v>
      </c>
      <c r="I297" s="252">
        <v>133</v>
      </c>
      <c r="J297" s="251">
        <v>9300</v>
      </c>
      <c r="K297" s="563">
        <f>ROUND(I297*J297,0)</f>
        <v>1236900</v>
      </c>
      <c r="L297" s="564" t="s">
        <v>253</v>
      </c>
      <c r="M297" s="564" t="s">
        <v>177</v>
      </c>
      <c r="N297" s="52" t="str">
        <f>IF(AND('331-CT'!$E$7=TH!H297,OR(L297="331",M297="331")),"331",IF(AND(OR(L297="131",M297="131"),H297='131-CT'!$E$7),"131",""))</f>
        <v/>
      </c>
      <c r="O297" s="89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09"/>
      <c r="AC297" s="211" t="str">
        <f>IF(F297=VLOOKUP(F297,NXT!$C$12:$C$345,1,0),"","x")</f>
        <v/>
      </c>
    </row>
    <row r="298" spans="1:31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05"/>
        <v>7</v>
      </c>
      <c r="C298" s="184">
        <f t="shared" si="106"/>
        <v>41834</v>
      </c>
      <c r="D298" s="184" t="s">
        <v>914</v>
      </c>
      <c r="E298" s="191">
        <v>41834</v>
      </c>
      <c r="F298" s="189" t="s">
        <v>420</v>
      </c>
      <c r="G298" s="463" t="s">
        <v>579</v>
      </c>
      <c r="H298" s="7" t="s">
        <v>907</v>
      </c>
      <c r="I298" s="251"/>
      <c r="J298" s="251"/>
      <c r="K298" s="563">
        <v>324850</v>
      </c>
      <c r="L298" s="564" t="s">
        <v>253</v>
      </c>
      <c r="M298" s="564" t="s">
        <v>365</v>
      </c>
      <c r="N298" s="52" t="str">
        <f>IF(AND('331-CT'!$E$7=TH!H298,OR(L298="331",M298="331")),"331",IF(AND(OR(L298="131",M298="131"),H298='131-CT'!$E$7),"131",""))</f>
        <v/>
      </c>
      <c r="O298" s="89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09"/>
      <c r="AC298" s="555" t="str">
        <f>IF(VLOOKUP(H298,DS_131,1,0)&lt;&gt;"","","x")</f>
        <v/>
      </c>
    </row>
    <row r="299" spans="1:31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105"/>
        <v>7</v>
      </c>
      <c r="C299" s="184">
        <f t="shared" si="106"/>
        <v>41837</v>
      </c>
      <c r="D299" s="184" t="s">
        <v>915</v>
      </c>
      <c r="E299" s="184">
        <v>41837</v>
      </c>
      <c r="F299" s="189" t="s">
        <v>580</v>
      </c>
      <c r="G299" s="565" t="s">
        <v>581</v>
      </c>
      <c r="H299" s="44" t="s">
        <v>582</v>
      </c>
      <c r="I299" s="251">
        <v>115</v>
      </c>
      <c r="J299" s="251">
        <v>10140</v>
      </c>
      <c r="K299" s="563">
        <f>ROUND(I299*J299,0)</f>
        <v>1166100</v>
      </c>
      <c r="L299" s="564" t="s">
        <v>253</v>
      </c>
      <c r="M299" s="564" t="s">
        <v>177</v>
      </c>
      <c r="N299" s="52" t="str">
        <f>IF(AND('331-CT'!$E$7=TH!H299,OR(L299="331",M299="331")),"331",IF(AND(OR(L299="131",M299="131"),H299='131-CT'!$E$7),"131",""))</f>
        <v/>
      </c>
      <c r="O299" s="89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09"/>
      <c r="AC299" s="211" t="str">
        <f>IF(F299=VLOOKUP(F299,NXT!$C$12:$C$345,1,0),"","x")</f>
        <v/>
      </c>
      <c r="AD299" s="555"/>
      <c r="AE299" s="555"/>
    </row>
    <row r="300" spans="1:31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105"/>
        <v>7</v>
      </c>
      <c r="C300" s="184">
        <f t="shared" si="106"/>
        <v>41837</v>
      </c>
      <c r="D300" s="184" t="s">
        <v>915</v>
      </c>
      <c r="E300" s="37">
        <v>41837</v>
      </c>
      <c r="F300" s="40" t="s">
        <v>583</v>
      </c>
      <c r="G300" s="460" t="s">
        <v>581</v>
      </c>
      <c r="H300" s="45" t="s">
        <v>582</v>
      </c>
      <c r="I300" s="251">
        <v>15</v>
      </c>
      <c r="J300" s="251">
        <v>13490</v>
      </c>
      <c r="K300" s="563">
        <f>ROUND(I300*J300,0)</f>
        <v>202350</v>
      </c>
      <c r="L300" s="564" t="s">
        <v>253</v>
      </c>
      <c r="M300" s="564" t="s">
        <v>177</v>
      </c>
      <c r="N300" s="52" t="str">
        <f>IF(AND('331-CT'!$E$7=TH!H300,OR(L300="331",M300="331")),"331",IF(AND(OR(L300="131",M300="131"),H300='131-CT'!$E$7),"131",""))</f>
        <v/>
      </c>
      <c r="O300" s="89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09"/>
      <c r="AC300" s="211" t="str">
        <f>IF(F300=VLOOKUP(F300,NXT!$C$12:$C$345,1,0),"","x")</f>
        <v/>
      </c>
    </row>
    <row r="301" spans="1:31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105"/>
        <v>7</v>
      </c>
      <c r="C301" s="184">
        <f t="shared" si="106"/>
        <v>41837</v>
      </c>
      <c r="D301" s="184" t="s">
        <v>915</v>
      </c>
      <c r="E301" s="37">
        <v>41837</v>
      </c>
      <c r="F301" s="40" t="s">
        <v>584</v>
      </c>
      <c r="G301" s="460" t="s">
        <v>581</v>
      </c>
      <c r="H301" s="45" t="s">
        <v>582</v>
      </c>
      <c r="I301" s="252">
        <v>40</v>
      </c>
      <c r="J301" s="251">
        <v>9000</v>
      </c>
      <c r="K301" s="563">
        <f>ROUND(I301*J301,0)</f>
        <v>360000</v>
      </c>
      <c r="L301" s="564" t="s">
        <v>253</v>
      </c>
      <c r="M301" s="564" t="s">
        <v>177</v>
      </c>
      <c r="N301" s="52" t="str">
        <f>IF(AND('331-CT'!$E$7=TH!H301,OR(L301="331",M301="331")),"331",IF(AND(OR(L301="131",M301="131"),H301='131-CT'!$E$7),"131",""))</f>
        <v/>
      </c>
      <c r="O301" s="89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09"/>
      <c r="AC301" s="211" t="str">
        <f>IF(F301=VLOOKUP(F301,NXT!$C$12:$C$345,1,0),"","x")</f>
        <v/>
      </c>
      <c r="AD301" s="555"/>
      <c r="AE301" s="555"/>
    </row>
    <row r="302" spans="1:31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105"/>
        <v>7</v>
      </c>
      <c r="C302" s="184">
        <f t="shared" si="106"/>
        <v>41837</v>
      </c>
      <c r="D302" s="184" t="s">
        <v>915</v>
      </c>
      <c r="E302" s="37">
        <v>41837</v>
      </c>
      <c r="F302" s="40" t="s">
        <v>585</v>
      </c>
      <c r="G302" s="460" t="s">
        <v>581</v>
      </c>
      <c r="H302" s="45" t="s">
        <v>582</v>
      </c>
      <c r="I302" s="252">
        <v>720</v>
      </c>
      <c r="J302" s="251">
        <v>10940</v>
      </c>
      <c r="K302" s="563">
        <f>ROUND(I302*J302,0)</f>
        <v>7876800</v>
      </c>
      <c r="L302" s="564" t="s">
        <v>253</v>
      </c>
      <c r="M302" s="564" t="s">
        <v>177</v>
      </c>
      <c r="N302" s="52" t="str">
        <f>IF(AND('331-CT'!$E$7=TH!H302,OR(L302="331",M302="331")),"331",IF(AND(OR(L302="131",M302="131"),H302='131-CT'!$E$7),"131",""))</f>
        <v/>
      </c>
      <c r="O302" s="89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09"/>
      <c r="AC302" s="211" t="str">
        <f>IF(F302=VLOOKUP(F302,NXT!$C$12:$C$345,1,0),"","x")</f>
        <v/>
      </c>
      <c r="AD302" s="555"/>
      <c r="AE302" s="555"/>
    </row>
    <row r="303" spans="1:31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105"/>
        <v>7</v>
      </c>
      <c r="C303" s="184">
        <f t="shared" si="106"/>
        <v>41837</v>
      </c>
      <c r="D303" s="184" t="s">
        <v>915</v>
      </c>
      <c r="E303" s="37">
        <v>41837</v>
      </c>
      <c r="F303" s="40" t="s">
        <v>586</v>
      </c>
      <c r="G303" s="460" t="s">
        <v>581</v>
      </c>
      <c r="H303" s="45" t="s">
        <v>582</v>
      </c>
      <c r="I303" s="252">
        <v>370</v>
      </c>
      <c r="J303" s="251">
        <v>10040</v>
      </c>
      <c r="K303" s="563">
        <f>ROUND(I303*J303,0)</f>
        <v>3714800</v>
      </c>
      <c r="L303" s="564" t="s">
        <v>253</v>
      </c>
      <c r="M303" s="564" t="s">
        <v>177</v>
      </c>
      <c r="N303" s="52" t="str">
        <f>IF(AND('331-CT'!$E$7=TH!H303,OR(L303="331",M303="331")),"331",IF(AND(OR(L303="131",M303="131"),H303='131-CT'!$E$7),"131",""))</f>
        <v/>
      </c>
      <c r="O303" s="89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09"/>
      <c r="AC303" s="211" t="str">
        <f>IF(F303=VLOOKUP(F303,NXT!$C$12:$C$345,1,0),"","x")</f>
        <v/>
      </c>
      <c r="AD303" s="555"/>
      <c r="AE303" s="555"/>
    </row>
    <row r="304" spans="1:31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105"/>
        <v>7</v>
      </c>
      <c r="C304" s="184">
        <f t="shared" si="106"/>
        <v>41837</v>
      </c>
      <c r="D304" s="184" t="s">
        <v>915</v>
      </c>
      <c r="E304" s="37">
        <v>41837</v>
      </c>
      <c r="F304" s="40" t="s">
        <v>420</v>
      </c>
      <c r="G304" s="460" t="s">
        <v>581</v>
      </c>
      <c r="H304" s="45" t="s">
        <v>582</v>
      </c>
      <c r="I304" s="252"/>
      <c r="J304" s="251"/>
      <c r="K304" s="38">
        <v>1332005</v>
      </c>
      <c r="L304" s="564" t="s">
        <v>253</v>
      </c>
      <c r="M304" s="564" t="s">
        <v>365</v>
      </c>
      <c r="N304" s="52" t="str">
        <f>IF(AND('331-CT'!$E$7=TH!H304,OR(L304="331",M304="331")),"331",IF(AND(OR(L304="131",M304="131"),H304='131-CT'!$E$7),"131",""))</f>
        <v/>
      </c>
      <c r="O304" s="89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09"/>
      <c r="AC304" s="555" t="str">
        <f>IF(VLOOKUP(H304,DS_131,1,0)&lt;&gt;"","","x")</f>
        <v/>
      </c>
      <c r="AD304" s="555"/>
      <c r="AE304" s="555"/>
    </row>
    <row r="305" spans="1:31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105"/>
        <v>7</v>
      </c>
      <c r="C305" s="184">
        <f t="shared" si="106"/>
        <v>41837</v>
      </c>
      <c r="D305" s="184" t="s">
        <v>916</v>
      </c>
      <c r="E305" s="37">
        <v>41837</v>
      </c>
      <c r="F305" s="40" t="s">
        <v>494</v>
      </c>
      <c r="G305" s="462" t="s">
        <v>587</v>
      </c>
      <c r="H305" s="7" t="s">
        <v>907</v>
      </c>
      <c r="I305" s="251">
        <v>500</v>
      </c>
      <c r="J305" s="251">
        <v>8600</v>
      </c>
      <c r="K305" s="563">
        <f>ROUND(I305*J305,0)</f>
        <v>4300000</v>
      </c>
      <c r="L305" s="564" t="s">
        <v>253</v>
      </c>
      <c r="M305" s="564" t="s">
        <v>177</v>
      </c>
      <c r="N305" s="52" t="str">
        <f>IF(AND('331-CT'!$E$7=TH!H305,OR(L305="331",M305="331")),"331",IF(AND(OR(L305="131",M305="131"),H305='131-CT'!$E$7),"131",""))</f>
        <v/>
      </c>
      <c r="O305" s="89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09"/>
      <c r="AC305" s="211" t="str">
        <f>IF(F305=VLOOKUP(F305,NXT!$C$12:$C$345,1,0),"","x")</f>
        <v/>
      </c>
      <c r="AE305" s="555"/>
    </row>
    <row r="306" spans="1:31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105"/>
        <v>7</v>
      </c>
      <c r="C306" s="184">
        <f t="shared" si="106"/>
        <v>41837</v>
      </c>
      <c r="D306" s="184" t="s">
        <v>916</v>
      </c>
      <c r="E306" s="37">
        <v>41837</v>
      </c>
      <c r="F306" s="777" t="s">
        <v>512</v>
      </c>
      <c r="G306" s="462" t="s">
        <v>587</v>
      </c>
      <c r="H306" s="7" t="s">
        <v>907</v>
      </c>
      <c r="I306" s="251">
        <v>410</v>
      </c>
      <c r="J306" s="251">
        <v>7000</v>
      </c>
      <c r="K306" s="563">
        <f>ROUND(I306*J306,0)</f>
        <v>2870000</v>
      </c>
      <c r="L306" s="564" t="s">
        <v>253</v>
      </c>
      <c r="M306" s="564" t="s">
        <v>177</v>
      </c>
      <c r="N306" s="52" t="str">
        <f>IF(AND('331-CT'!$E$7=TH!H306,OR(L306="331",M306="331")),"331",IF(AND(OR(L306="131",M306="131"),H306='131-CT'!$E$7),"131",""))</f>
        <v/>
      </c>
      <c r="O306" s="89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09"/>
      <c r="AC306" s="211" t="str">
        <f>IF(F306=VLOOKUP(F306,NXT!$C$12:$C$345,1,0),"","x")</f>
        <v/>
      </c>
      <c r="AD306" s="555"/>
      <c r="AE306" s="555"/>
    </row>
    <row r="307" spans="1:31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105"/>
        <v>7</v>
      </c>
      <c r="C307" s="184">
        <f t="shared" si="106"/>
        <v>41837</v>
      </c>
      <c r="D307" s="184" t="s">
        <v>916</v>
      </c>
      <c r="E307" s="184">
        <v>41837</v>
      </c>
      <c r="F307" s="189" t="s">
        <v>483</v>
      </c>
      <c r="G307" s="565" t="s">
        <v>587</v>
      </c>
      <c r="H307" s="7" t="s">
        <v>907</v>
      </c>
      <c r="I307" s="251">
        <v>280</v>
      </c>
      <c r="J307" s="251">
        <v>12900</v>
      </c>
      <c r="K307" s="563">
        <f>ROUND(I307*J307,0)</f>
        <v>3612000</v>
      </c>
      <c r="L307" s="564" t="s">
        <v>253</v>
      </c>
      <c r="M307" s="564" t="s">
        <v>177</v>
      </c>
      <c r="N307" s="52" t="str">
        <f>IF(AND('331-CT'!$E$7=TH!H307,OR(L307="331",M307="331")),"331",IF(AND(OR(L307="131",M307="131"),H307='131-CT'!$E$7),"131",""))</f>
        <v/>
      </c>
      <c r="O307" s="89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09"/>
      <c r="AC307" s="211" t="str">
        <f>IF(F307=VLOOKUP(F307,NXT!$C$12:$C$345,1,0),"","x")</f>
        <v/>
      </c>
      <c r="AD307" s="555"/>
      <c r="AE307" s="555"/>
    </row>
    <row r="308" spans="1:31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105"/>
        <v>7</v>
      </c>
      <c r="C308" s="184">
        <f t="shared" si="106"/>
        <v>41837</v>
      </c>
      <c r="D308" s="184" t="s">
        <v>916</v>
      </c>
      <c r="E308" s="184">
        <v>41837</v>
      </c>
      <c r="F308" s="189" t="s">
        <v>420</v>
      </c>
      <c r="G308" s="565" t="s">
        <v>587</v>
      </c>
      <c r="H308" s="7" t="s">
        <v>907</v>
      </c>
      <c r="I308" s="251"/>
      <c r="J308" s="251"/>
      <c r="K308" s="563">
        <v>1078200</v>
      </c>
      <c r="L308" s="564" t="s">
        <v>253</v>
      </c>
      <c r="M308" s="564" t="s">
        <v>365</v>
      </c>
      <c r="N308" s="52" t="str">
        <f>IF(AND('331-CT'!$E$7=TH!H308,OR(L308="331",M308="331")),"331",IF(AND(OR(L308="131",M308="131"),H308='131-CT'!$E$7),"131",""))</f>
        <v/>
      </c>
      <c r="O308" s="89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09"/>
      <c r="AC308" s="555" t="str">
        <f>IF(VLOOKUP(H308,DS_131,1,0)&lt;&gt;"","","x")</f>
        <v/>
      </c>
      <c r="AD308" s="555"/>
      <c r="AE308" s="555"/>
    </row>
    <row r="309" spans="1:31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105"/>
        <v>7</v>
      </c>
      <c r="C309" s="184">
        <f t="shared" si="106"/>
        <v>41842</v>
      </c>
      <c r="D309" s="184" t="s">
        <v>917</v>
      </c>
      <c r="E309" s="184">
        <v>41842</v>
      </c>
      <c r="F309" s="189" t="s">
        <v>421</v>
      </c>
      <c r="G309" s="565" t="s">
        <v>588</v>
      </c>
      <c r="H309" s="7" t="s">
        <v>906</v>
      </c>
      <c r="I309" s="251">
        <v>513</v>
      </c>
      <c r="J309" s="251">
        <v>17300</v>
      </c>
      <c r="K309" s="563">
        <f>ROUND(I309*J309,0)</f>
        <v>8874900</v>
      </c>
      <c r="L309" s="564" t="s">
        <v>253</v>
      </c>
      <c r="M309" s="564" t="s">
        <v>177</v>
      </c>
      <c r="N309" s="52" t="str">
        <f>IF(AND('331-CT'!$E$7=TH!H309,OR(L309="331",M309="331")),"331",IF(AND(OR(L309="131",M309="131"),H309='131-CT'!$E$7),"131",""))</f>
        <v/>
      </c>
      <c r="O309" s="89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09"/>
      <c r="AC309" s="211" t="str">
        <f>IF(F309=VLOOKUP(F309,NXT!$C$12:$C$345,1,0),"","x")</f>
        <v/>
      </c>
      <c r="AD309" s="555"/>
      <c r="AE309" s="555"/>
    </row>
    <row r="310" spans="1:31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105"/>
        <v>7</v>
      </c>
      <c r="C310" s="184">
        <f t="shared" si="106"/>
        <v>41842</v>
      </c>
      <c r="D310" s="184" t="s">
        <v>917</v>
      </c>
      <c r="E310" s="191">
        <v>41842</v>
      </c>
      <c r="F310" s="40" t="s">
        <v>445</v>
      </c>
      <c r="G310" s="463" t="s">
        <v>588</v>
      </c>
      <c r="H310" s="7" t="s">
        <v>906</v>
      </c>
      <c r="I310" s="252">
        <v>1026</v>
      </c>
      <c r="J310" s="252">
        <v>1500</v>
      </c>
      <c r="K310" s="563">
        <f>ROUND(I310*J310,0)</f>
        <v>1539000</v>
      </c>
      <c r="L310" s="564" t="s">
        <v>253</v>
      </c>
      <c r="M310" s="564" t="s">
        <v>177</v>
      </c>
      <c r="N310" s="52" t="str">
        <f>IF(AND('331-CT'!$E$7=TH!H310,OR(L310="331",M310="331")),"331",IF(AND(OR(L310="131",M310="131"),H310='131-CT'!$E$7),"131",""))</f>
        <v/>
      </c>
      <c r="O310" s="89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09"/>
      <c r="AC310" s="211" t="str">
        <f>IF(F310=VLOOKUP(F310,NXT!$C$12:$C$345,1,0),"","x")</f>
        <v/>
      </c>
    </row>
    <row r="311" spans="1:31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105"/>
        <v>7</v>
      </c>
      <c r="C311" s="184">
        <f t="shared" si="106"/>
        <v>41842</v>
      </c>
      <c r="D311" s="184" t="s">
        <v>917</v>
      </c>
      <c r="E311" s="191">
        <v>41842</v>
      </c>
      <c r="F311" s="192" t="s">
        <v>420</v>
      </c>
      <c r="G311" s="463" t="s">
        <v>588</v>
      </c>
      <c r="H311" s="7" t="s">
        <v>906</v>
      </c>
      <c r="I311" s="251"/>
      <c r="J311" s="251"/>
      <c r="K311" s="563">
        <v>1041390</v>
      </c>
      <c r="L311" s="564" t="s">
        <v>253</v>
      </c>
      <c r="M311" s="564" t="s">
        <v>365</v>
      </c>
      <c r="N311" s="52" t="str">
        <f>IF(AND('331-CT'!$E$7=TH!H311,OR(L311="331",M311="331")),"331",IF(AND(OR(L311="131",M311="131"),H311='131-CT'!$E$7),"131",""))</f>
        <v/>
      </c>
      <c r="O311" s="89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09"/>
      <c r="AC311" s="555" t="str">
        <f>IF(VLOOKUP(H311,DS_131,1,0)&lt;&gt;"","","x")</f>
        <v/>
      </c>
    </row>
    <row r="312" spans="1:31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105"/>
        <v>7</v>
      </c>
      <c r="C312" s="184">
        <f t="shared" si="106"/>
        <v>41842</v>
      </c>
      <c r="D312" s="184" t="s">
        <v>918</v>
      </c>
      <c r="E312" s="191">
        <v>41842</v>
      </c>
      <c r="F312" s="189" t="s">
        <v>480</v>
      </c>
      <c r="G312" s="463" t="s">
        <v>589</v>
      </c>
      <c r="H312" s="7" t="s">
        <v>477</v>
      </c>
      <c r="I312" s="251">
        <v>1600</v>
      </c>
      <c r="J312" s="251">
        <v>11000</v>
      </c>
      <c r="K312" s="563">
        <f>ROUND(I312*J312,0)</f>
        <v>17600000</v>
      </c>
      <c r="L312" s="564" t="s">
        <v>253</v>
      </c>
      <c r="M312" s="564" t="s">
        <v>177</v>
      </c>
      <c r="N312" s="52" t="str">
        <f>IF(AND('331-CT'!$E$7=TH!H312,OR(L312="331",M312="331")),"331",IF(AND(OR(L312="131",M312="131"),H312='131-CT'!$E$7),"131",""))</f>
        <v/>
      </c>
      <c r="O312" s="89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09"/>
      <c r="AC312" s="211" t="str">
        <f>IF(F312=VLOOKUP(F312,NXT!$C$12:$C$345,1,0),"","x")</f>
        <v/>
      </c>
    </row>
    <row r="313" spans="1:31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105"/>
        <v>7</v>
      </c>
      <c r="C313" s="184">
        <f t="shared" si="106"/>
        <v>41842</v>
      </c>
      <c r="D313" s="184" t="s">
        <v>918</v>
      </c>
      <c r="E313" s="191">
        <v>41842</v>
      </c>
      <c r="F313" s="757" t="s">
        <v>420</v>
      </c>
      <c r="G313" s="463" t="s">
        <v>589</v>
      </c>
      <c r="H313" s="7" t="s">
        <v>477</v>
      </c>
      <c r="I313" s="251"/>
      <c r="J313" s="251"/>
      <c r="K313" s="563">
        <v>1760000</v>
      </c>
      <c r="L313" s="564" t="s">
        <v>253</v>
      </c>
      <c r="M313" s="564" t="s">
        <v>365</v>
      </c>
      <c r="N313" s="52" t="str">
        <f>IF(AND('331-CT'!$E$7=TH!H313,OR(L313="331",M313="331")),"331",IF(AND(OR(L313="131",M313="131"),H313='131-CT'!$E$7),"131",""))</f>
        <v/>
      </c>
      <c r="O313" s="89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09"/>
      <c r="AC313" s="555" t="str">
        <f>IF(VLOOKUP(H313,DS_131,1,0)&lt;&gt;"","","x")</f>
        <v/>
      </c>
    </row>
    <row r="314" spans="1:31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ref="B314" si="111">IF(C314&lt;&gt;"",MONTH(C314),"")</f>
        <v>7</v>
      </c>
      <c r="C314" s="184">
        <f t="shared" ref="C314" si="112">E314</f>
        <v>41842</v>
      </c>
      <c r="D314" s="184"/>
      <c r="E314" s="191">
        <v>41842</v>
      </c>
      <c r="F314" s="192" t="s">
        <v>894</v>
      </c>
      <c r="G314" s="463" t="s">
        <v>589</v>
      </c>
      <c r="H314" s="7" t="s">
        <v>477</v>
      </c>
      <c r="I314" s="251"/>
      <c r="J314" s="251"/>
      <c r="K314" s="563">
        <v>19360000</v>
      </c>
      <c r="L314" s="564" t="s">
        <v>47</v>
      </c>
      <c r="M314" s="564" t="s">
        <v>253</v>
      </c>
      <c r="N314" s="52" t="str">
        <f>IF(AND('331-CT'!$E$7=TH!H314,OR(L314="331",M314="331")),"331",IF(AND(OR(L314="131",M314="131"),H314='131-CT'!$E$7),"131",""))</f>
        <v/>
      </c>
      <c r="O314" s="890" t="str">
        <f>IF(AND('341-CT'!$E$9=H314,OR(LEFT(L314,3)=$O$7,LEFT(M314,3)=$O$7)),"x","")</f>
        <v/>
      </c>
      <c r="P314" s="52" t="str">
        <f>IF(AND($B314&gt;='111'!$N$11,$B314&lt;='111'!$O$11,OR($L314=$P$7,$M314=$P$7)),"x","")</f>
        <v>x</v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09"/>
      <c r="AC314" s="555" t="str">
        <f>IF(VLOOKUP(H314,DS_131,1,0)&lt;&gt;"","","x")</f>
        <v/>
      </c>
    </row>
    <row r="315" spans="1:31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105"/>
        <v>7</v>
      </c>
      <c r="C315" s="184">
        <f t="shared" si="106"/>
        <v>41843</v>
      </c>
      <c r="D315" s="184" t="s">
        <v>919</v>
      </c>
      <c r="E315" s="191">
        <v>41843</v>
      </c>
      <c r="F315" s="192" t="s">
        <v>500</v>
      </c>
      <c r="G315" s="463" t="s">
        <v>590</v>
      </c>
      <c r="H315" s="7" t="s">
        <v>502</v>
      </c>
      <c r="I315" s="251">
        <v>563</v>
      </c>
      <c r="J315" s="251">
        <v>5900</v>
      </c>
      <c r="K315" s="563">
        <f>ROUND(I315*J315,0)</f>
        <v>3321700</v>
      </c>
      <c r="L315" s="564" t="s">
        <v>253</v>
      </c>
      <c r="M315" s="564" t="s">
        <v>177</v>
      </c>
      <c r="N315" s="52" t="str">
        <f>IF(AND('331-CT'!$E$7=TH!H315,OR(L315="331",M315="331")),"331",IF(AND(OR(L315="131",M315="131"),H315='131-CT'!$E$7),"131",""))</f>
        <v/>
      </c>
      <c r="O315" s="89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09"/>
      <c r="AC315" s="211" t="str">
        <f>IF(F315=VLOOKUP(F315,NXT!$C$12:$C$345,1,0),"","x")</f>
        <v/>
      </c>
    </row>
    <row r="316" spans="1:31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105"/>
        <v>7</v>
      </c>
      <c r="C316" s="184">
        <f t="shared" si="106"/>
        <v>41843</v>
      </c>
      <c r="D316" s="184" t="s">
        <v>919</v>
      </c>
      <c r="E316" s="191">
        <v>41843</v>
      </c>
      <c r="F316" s="192" t="s">
        <v>503</v>
      </c>
      <c r="G316" s="463" t="s">
        <v>590</v>
      </c>
      <c r="H316" s="7" t="s">
        <v>502</v>
      </c>
      <c r="I316" s="251">
        <v>212</v>
      </c>
      <c r="J316" s="251">
        <v>6250</v>
      </c>
      <c r="K316" s="563">
        <f>ROUND(I316*J316,0)</f>
        <v>1325000</v>
      </c>
      <c r="L316" s="564" t="s">
        <v>253</v>
      </c>
      <c r="M316" s="564" t="s">
        <v>177</v>
      </c>
      <c r="N316" s="52" t="str">
        <f>IF(AND('331-CT'!$E$7=TH!H316,OR(L316="331",M316="331")),"331",IF(AND(OR(L316="131",M316="131"),H316='131-CT'!$E$7),"131",""))</f>
        <v/>
      </c>
      <c r="O316" s="89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09"/>
      <c r="AC316" s="211" t="str">
        <f>IF(F316=VLOOKUP(F316,NXT!$C$12:$C$345,1,0),"","x")</f>
        <v/>
      </c>
    </row>
    <row r="317" spans="1:31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105"/>
        <v>7</v>
      </c>
      <c r="C317" s="184">
        <f t="shared" si="106"/>
        <v>41843</v>
      </c>
      <c r="D317" s="184" t="s">
        <v>919</v>
      </c>
      <c r="E317" s="191">
        <v>41843</v>
      </c>
      <c r="F317" s="192" t="s">
        <v>406</v>
      </c>
      <c r="G317" s="463" t="s">
        <v>590</v>
      </c>
      <c r="H317" s="7" t="s">
        <v>502</v>
      </c>
      <c r="I317" s="251">
        <v>197</v>
      </c>
      <c r="J317" s="251">
        <v>6800</v>
      </c>
      <c r="K317" s="563">
        <f>ROUND(I317*J317,0)</f>
        <v>1339600</v>
      </c>
      <c r="L317" s="564" t="s">
        <v>253</v>
      </c>
      <c r="M317" s="564" t="s">
        <v>177</v>
      </c>
      <c r="N317" s="52" t="str">
        <f>IF(AND('331-CT'!$E$7=TH!H317,OR(L317="331",M317="331")),"331",IF(AND(OR(L317="131",M317="131"),H317='131-CT'!$E$7),"131",""))</f>
        <v/>
      </c>
      <c r="O317" s="89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09"/>
      <c r="AC317" s="211" t="str">
        <f>IF(F317=VLOOKUP(F317,NXT!$C$12:$C$345,1,0),"","x")</f>
        <v/>
      </c>
    </row>
    <row r="318" spans="1:31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si="105"/>
        <v>7</v>
      </c>
      <c r="C318" s="184">
        <f t="shared" si="106"/>
        <v>41843</v>
      </c>
      <c r="D318" s="184" t="s">
        <v>919</v>
      </c>
      <c r="E318" s="191">
        <v>41843</v>
      </c>
      <c r="F318" s="192" t="s">
        <v>504</v>
      </c>
      <c r="G318" s="463" t="s">
        <v>590</v>
      </c>
      <c r="H318" s="7" t="s">
        <v>502</v>
      </c>
      <c r="I318" s="251">
        <v>216</v>
      </c>
      <c r="J318" s="251">
        <v>6550</v>
      </c>
      <c r="K318" s="563">
        <f>ROUND(I318*J318,0)</f>
        <v>1414800</v>
      </c>
      <c r="L318" s="564" t="s">
        <v>253</v>
      </c>
      <c r="M318" s="564" t="s">
        <v>177</v>
      </c>
      <c r="N318" s="52" t="str">
        <f>IF(AND('331-CT'!$E$7=TH!H318,OR(L318="331",M318="331")),"331",IF(AND(OR(L318="131",M318="131"),H318='131-CT'!$E$7),"131",""))</f>
        <v/>
      </c>
      <c r="O318" s="89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09"/>
      <c r="AC318" s="211" t="str">
        <f>IF(F318=VLOOKUP(F318,NXT!$C$12:$C$345,1,0),"","x")</f>
        <v/>
      </c>
    </row>
    <row r="319" spans="1:31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105"/>
        <v>7</v>
      </c>
      <c r="C319" s="184">
        <f t="shared" si="106"/>
        <v>41843</v>
      </c>
      <c r="D319" s="184" t="s">
        <v>919</v>
      </c>
      <c r="E319" s="191">
        <v>41843</v>
      </c>
      <c r="F319" s="192" t="s">
        <v>420</v>
      </c>
      <c r="G319" s="463" t="s">
        <v>590</v>
      </c>
      <c r="H319" s="7" t="s">
        <v>502</v>
      </c>
      <c r="I319" s="251"/>
      <c r="J319" s="251"/>
      <c r="K319" s="563">
        <v>740110</v>
      </c>
      <c r="L319" s="564" t="s">
        <v>253</v>
      </c>
      <c r="M319" s="564" t="s">
        <v>365</v>
      </c>
      <c r="N319" s="52" t="str">
        <f>IF(AND('331-CT'!$E$7=TH!H319,OR(L319="331",M319="331")),"331",IF(AND(OR(L319="131",M319="131"),H319='131-CT'!$E$7),"131",""))</f>
        <v/>
      </c>
      <c r="O319" s="89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09"/>
      <c r="AC319" s="555" t="str">
        <f>IF(VLOOKUP(H319,DS_131,1,0)&lt;&gt;"","","x")</f>
        <v/>
      </c>
    </row>
    <row r="320" spans="1:31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ref="B320" si="113">IF(C320&lt;&gt;"",MONTH(C320),"")</f>
        <v>7</v>
      </c>
      <c r="C320" s="184">
        <f t="shared" ref="C320" si="114">E320</f>
        <v>41843</v>
      </c>
      <c r="D320" s="184"/>
      <c r="E320" s="191">
        <v>41843</v>
      </c>
      <c r="F320" s="192" t="s">
        <v>894</v>
      </c>
      <c r="G320" s="463" t="s">
        <v>590</v>
      </c>
      <c r="H320" s="7" t="s">
        <v>502</v>
      </c>
      <c r="I320" s="251"/>
      <c r="J320" s="251"/>
      <c r="K320" s="563">
        <v>8141210</v>
      </c>
      <c r="L320" s="564" t="s">
        <v>47</v>
      </c>
      <c r="M320" s="564" t="s">
        <v>253</v>
      </c>
      <c r="N320" s="52" t="str">
        <f>IF(AND('331-CT'!$E$7=TH!H320,OR(L320="331",M320="331")),"331",IF(AND(OR(L320="131",M320="131"),H320='131-CT'!$E$7),"131",""))</f>
        <v/>
      </c>
      <c r="O320" s="890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09"/>
      <c r="AC320" s="555" t="str">
        <f>IF(VLOOKUP(H320,DS_131,1,0)&lt;&gt;"","","x")</f>
        <v/>
      </c>
    </row>
    <row r="321" spans="1:29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05"/>
        <v>7</v>
      </c>
      <c r="C321" s="184">
        <f t="shared" si="106"/>
        <v>41843</v>
      </c>
      <c r="D321" s="184" t="s">
        <v>920</v>
      </c>
      <c r="E321" s="191">
        <v>41843</v>
      </c>
      <c r="F321" s="192" t="s">
        <v>591</v>
      </c>
      <c r="G321" s="463" t="s">
        <v>592</v>
      </c>
      <c r="H321" s="7" t="s">
        <v>550</v>
      </c>
      <c r="I321" s="251">
        <v>413</v>
      </c>
      <c r="J321" s="251">
        <v>17800</v>
      </c>
      <c r="K321" s="563">
        <f>ROUND(I321*J321,0)</f>
        <v>7351400</v>
      </c>
      <c r="L321" s="564" t="s">
        <v>253</v>
      </c>
      <c r="M321" s="564" t="s">
        <v>177</v>
      </c>
      <c r="N321" s="52" t="str">
        <f>IF(AND('331-CT'!$E$7=TH!H321,OR(L321="331",M321="331")),"331",IF(AND(OR(L321="131",M321="131"),H321='131-CT'!$E$7),"131",""))</f>
        <v/>
      </c>
      <c r="O321" s="89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09"/>
      <c r="AC321" s="211" t="str">
        <f>IF(F321=VLOOKUP(F321,NXT!$C$12:$C$345,1,0),"","x")</f>
        <v/>
      </c>
    </row>
    <row r="322" spans="1:29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05"/>
        <v>7</v>
      </c>
      <c r="C322" s="184">
        <f t="shared" si="106"/>
        <v>41843</v>
      </c>
      <c r="D322" s="184" t="s">
        <v>920</v>
      </c>
      <c r="E322" s="191">
        <v>41843</v>
      </c>
      <c r="F322" s="192" t="s">
        <v>420</v>
      </c>
      <c r="G322" s="463" t="s">
        <v>592</v>
      </c>
      <c r="H322" s="7" t="s">
        <v>550</v>
      </c>
      <c r="I322" s="251"/>
      <c r="J322" s="251"/>
      <c r="K322" s="563">
        <v>735140</v>
      </c>
      <c r="L322" s="564" t="s">
        <v>253</v>
      </c>
      <c r="M322" s="564" t="s">
        <v>365</v>
      </c>
      <c r="N322" s="52" t="str">
        <f>IF(AND('331-CT'!$E$7=TH!H322,OR(L322="331",M322="331")),"331",IF(AND(OR(L322="131",M322="131"),H322='131-CT'!$E$7),"131",""))</f>
        <v/>
      </c>
      <c r="O322" s="89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09"/>
      <c r="AC322" s="555" t="str">
        <f>IF(VLOOKUP(H322,DS_131,1,0)&lt;&gt;"","","x")</f>
        <v/>
      </c>
    </row>
    <row r="323" spans="1:29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ref="B323" si="115">IF(C323&lt;&gt;"",MONTH(C323),"")</f>
        <v>7</v>
      </c>
      <c r="C323" s="184">
        <f t="shared" ref="C323" si="116">E323</f>
        <v>41843</v>
      </c>
      <c r="D323" s="184"/>
      <c r="E323" s="191">
        <v>41843</v>
      </c>
      <c r="F323" s="192" t="s">
        <v>894</v>
      </c>
      <c r="G323" s="463" t="s">
        <v>592</v>
      </c>
      <c r="H323" s="7" t="s">
        <v>550</v>
      </c>
      <c r="I323" s="251"/>
      <c r="J323" s="251"/>
      <c r="K323" s="563">
        <v>8086540</v>
      </c>
      <c r="L323" s="564" t="s">
        <v>47</v>
      </c>
      <c r="M323" s="564" t="s">
        <v>253</v>
      </c>
      <c r="N323" s="52" t="str">
        <f>IF(AND('331-CT'!$E$7=TH!H323,OR(L323="331",M323="331")),"331",IF(AND(OR(L323="131",M323="131"),H323='131-CT'!$E$7),"131",""))</f>
        <v/>
      </c>
      <c r="O323" s="890" t="str">
        <f>IF(AND('341-CT'!$E$9=H323,OR(LEFT(L323,3)=$O$7,LEFT(M323,3)=$O$7)),"x","")</f>
        <v/>
      </c>
      <c r="P323" s="52" t="str">
        <f>IF(AND($B323&gt;='111'!$N$11,$B323&lt;='111'!$O$11,OR($L323=$P$7,$M323=$P$7)),"x","")</f>
        <v>x</v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09"/>
      <c r="AC323" s="555" t="str">
        <f>IF(VLOOKUP(H323,DS_131,1,0)&lt;&gt;"","","x")</f>
        <v/>
      </c>
    </row>
    <row r="324" spans="1:29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05"/>
        <v>7</v>
      </c>
      <c r="C324" s="184">
        <f t="shared" si="106"/>
        <v>41843</v>
      </c>
      <c r="D324" s="184" t="s">
        <v>921</v>
      </c>
      <c r="E324" s="191">
        <v>41843</v>
      </c>
      <c r="F324" s="192" t="s">
        <v>593</v>
      </c>
      <c r="G324" s="463" t="s">
        <v>594</v>
      </c>
      <c r="H324" s="7" t="s">
        <v>472</v>
      </c>
      <c r="I324" s="251">
        <v>190</v>
      </c>
      <c r="J324" s="251">
        <v>19000</v>
      </c>
      <c r="K324" s="563">
        <f>ROUND(I324*J324,0)</f>
        <v>3610000</v>
      </c>
      <c r="L324" s="564" t="s">
        <v>253</v>
      </c>
      <c r="M324" s="564" t="s">
        <v>177</v>
      </c>
      <c r="N324" s="52" t="str">
        <f>IF(AND('331-CT'!$E$7=TH!H324,OR(L324="331",M324="331")),"331",IF(AND(OR(L324="131",M324="131"),H324='131-CT'!$E$7),"131",""))</f>
        <v/>
      </c>
      <c r="O324" s="89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09"/>
      <c r="AC324" s="211" t="str">
        <f>IF(F324=VLOOKUP(F324,NXT!$C$12:$C$345,1,0),"","x")</f>
        <v/>
      </c>
    </row>
    <row r="325" spans="1:29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05"/>
        <v>7</v>
      </c>
      <c r="C325" s="184">
        <f t="shared" si="106"/>
        <v>41843</v>
      </c>
      <c r="D325" s="184" t="s">
        <v>921</v>
      </c>
      <c r="E325" s="191">
        <v>41843</v>
      </c>
      <c r="F325" s="192" t="s">
        <v>420</v>
      </c>
      <c r="G325" s="463" t="s">
        <v>594</v>
      </c>
      <c r="H325" s="7" t="s">
        <v>472</v>
      </c>
      <c r="I325" s="251"/>
      <c r="J325" s="251"/>
      <c r="K325" s="563">
        <v>361000</v>
      </c>
      <c r="L325" s="564" t="s">
        <v>253</v>
      </c>
      <c r="M325" s="564" t="s">
        <v>365</v>
      </c>
      <c r="N325" s="52" t="str">
        <f>IF(AND('331-CT'!$E$7=TH!H325,OR(L325="331",M325="331")),"331",IF(AND(OR(L325="131",M325="131"),H325='131-CT'!$E$7),"131",""))</f>
        <v/>
      </c>
      <c r="O325" s="89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09"/>
      <c r="AC325" s="555" t="str">
        <f>IF(VLOOKUP(H325,DS_131,1,0)&lt;&gt;"","","x")</f>
        <v/>
      </c>
    </row>
    <row r="326" spans="1:29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ref="B326" si="117">IF(C326&lt;&gt;"",MONTH(C326),"")</f>
        <v>7</v>
      </c>
      <c r="C326" s="184">
        <f t="shared" ref="C326" si="118">E326</f>
        <v>41843</v>
      </c>
      <c r="D326" s="184"/>
      <c r="E326" s="191">
        <v>41843</v>
      </c>
      <c r="F326" s="192" t="s">
        <v>894</v>
      </c>
      <c r="G326" s="463" t="s">
        <v>594</v>
      </c>
      <c r="H326" s="7" t="s">
        <v>472</v>
      </c>
      <c r="I326" s="251"/>
      <c r="J326" s="251"/>
      <c r="K326" s="563">
        <v>3971000</v>
      </c>
      <c r="L326" s="564" t="s">
        <v>47</v>
      </c>
      <c r="M326" s="564" t="s">
        <v>253</v>
      </c>
      <c r="N326" s="52" t="str">
        <f>IF(AND('331-CT'!$E$7=TH!H326,OR(L326="331",M326="331")),"331",IF(AND(OR(L326="131",M326="131"),H326='131-CT'!$E$7),"131",""))</f>
        <v/>
      </c>
      <c r="O326" s="890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09"/>
      <c r="AC326" s="555" t="str">
        <f>IF(VLOOKUP(H326,DS_131,1,0)&lt;&gt;"","","x")</f>
        <v/>
      </c>
    </row>
    <row r="327" spans="1:29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05"/>
        <v>7</v>
      </c>
      <c r="C327" s="184">
        <f t="shared" si="106"/>
        <v>41843</v>
      </c>
      <c r="D327" s="184" t="s">
        <v>922</v>
      </c>
      <c r="E327" s="191">
        <v>41843</v>
      </c>
      <c r="F327" s="192" t="s">
        <v>595</v>
      </c>
      <c r="G327" s="463" t="s">
        <v>596</v>
      </c>
      <c r="H327" s="7" t="s">
        <v>907</v>
      </c>
      <c r="I327" s="251">
        <v>202</v>
      </c>
      <c r="J327" s="251">
        <v>6400</v>
      </c>
      <c r="K327" s="563">
        <f>ROUND(I327*J327,0)</f>
        <v>1292800</v>
      </c>
      <c r="L327" s="564" t="s">
        <v>253</v>
      </c>
      <c r="M327" s="564" t="s">
        <v>177</v>
      </c>
      <c r="N327" s="52" t="str">
        <f>IF(AND('331-CT'!$E$7=TH!H327,OR(L327="331",M327="331")),"331",IF(AND(OR(L327="131",M327="131"),H327='131-CT'!$E$7),"131",""))</f>
        <v/>
      </c>
      <c r="O327" s="89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09"/>
      <c r="AC327" s="211" t="str">
        <f>IF(F327=VLOOKUP(F327,NXT!$C$12:$C$345,1,0),"","x")</f>
        <v/>
      </c>
    </row>
    <row r="328" spans="1:29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05"/>
        <v>7</v>
      </c>
      <c r="C328" s="184">
        <f t="shared" si="106"/>
        <v>41843</v>
      </c>
      <c r="D328" s="184" t="s">
        <v>922</v>
      </c>
      <c r="E328" s="191">
        <v>41843</v>
      </c>
      <c r="F328" s="192" t="s">
        <v>597</v>
      </c>
      <c r="G328" s="463" t="s">
        <v>596</v>
      </c>
      <c r="H328" s="7" t="s">
        <v>907</v>
      </c>
      <c r="I328" s="251">
        <v>103</v>
      </c>
      <c r="J328" s="251">
        <v>13500</v>
      </c>
      <c r="K328" s="563">
        <f>ROUND(I328*J328,0)</f>
        <v>1390500</v>
      </c>
      <c r="L328" s="564" t="s">
        <v>253</v>
      </c>
      <c r="M328" s="564" t="s">
        <v>177</v>
      </c>
      <c r="N328" s="52" t="str">
        <f>IF(AND('331-CT'!$E$7=TH!H328,OR(L328="331",M328="331")),"331",IF(AND(OR(L328="131",M328="131"),H328='131-CT'!$E$7),"131",""))</f>
        <v/>
      </c>
      <c r="O328" s="89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09"/>
      <c r="AC328" s="211" t="str">
        <f>IF(F328=VLOOKUP(F328,NXT!$C$12:$C$345,1,0),"","x")</f>
        <v/>
      </c>
    </row>
    <row r="329" spans="1:29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05"/>
        <v>7</v>
      </c>
      <c r="C329" s="184">
        <f t="shared" si="106"/>
        <v>41843</v>
      </c>
      <c r="D329" s="184" t="s">
        <v>922</v>
      </c>
      <c r="E329" s="191">
        <v>41843</v>
      </c>
      <c r="F329" s="192" t="s">
        <v>420</v>
      </c>
      <c r="G329" s="463" t="s">
        <v>596</v>
      </c>
      <c r="H329" s="7" t="s">
        <v>907</v>
      </c>
      <c r="I329" s="251"/>
      <c r="J329" s="251"/>
      <c r="K329" s="563">
        <v>268330</v>
      </c>
      <c r="L329" s="564" t="s">
        <v>253</v>
      </c>
      <c r="M329" s="564" t="s">
        <v>365</v>
      </c>
      <c r="N329" s="52" t="str">
        <f>IF(AND('331-CT'!$E$7=TH!H329,OR(L329="331",M329="331")),"331",IF(AND(OR(L329="131",M329="131"),H329='131-CT'!$E$7),"131",""))</f>
        <v/>
      </c>
      <c r="O329" s="89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09"/>
      <c r="AC329" s="555" t="str">
        <f>IF(VLOOKUP(H329,DS_131,1,0)&lt;&gt;"","","x")</f>
        <v/>
      </c>
    </row>
    <row r="330" spans="1:29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05"/>
        <v>7</v>
      </c>
      <c r="C330" s="184">
        <f t="shared" si="106"/>
        <v>41845</v>
      </c>
      <c r="D330" s="184" t="s">
        <v>923</v>
      </c>
      <c r="E330" s="191">
        <v>41845</v>
      </c>
      <c r="F330" s="192" t="s">
        <v>598</v>
      </c>
      <c r="G330" s="463" t="s">
        <v>599</v>
      </c>
      <c r="H330" s="7" t="s">
        <v>477</v>
      </c>
      <c r="I330" s="251">
        <v>100</v>
      </c>
      <c r="J330" s="251">
        <v>10500</v>
      </c>
      <c r="K330" s="563">
        <f>ROUND(I330*J330,0)</f>
        <v>1050000</v>
      </c>
      <c r="L330" s="564" t="s">
        <v>253</v>
      </c>
      <c r="M330" s="564" t="s">
        <v>177</v>
      </c>
      <c r="N330" s="52" t="str">
        <f>IF(AND('331-CT'!$E$7=TH!H330,OR(L330="331",M330="331")),"331",IF(AND(OR(L330="131",M330="131"),H330='131-CT'!$E$7),"131",""))</f>
        <v/>
      </c>
      <c r="O330" s="89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09"/>
      <c r="AC330" s="211" t="str">
        <f>IF(F330=VLOOKUP(F330,NXT!$C$12:$C$345,1,0),"","x")</f>
        <v/>
      </c>
    </row>
    <row r="331" spans="1:29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05"/>
        <v>7</v>
      </c>
      <c r="C331" s="184">
        <f t="shared" si="106"/>
        <v>41845</v>
      </c>
      <c r="D331" s="184" t="s">
        <v>923</v>
      </c>
      <c r="E331" s="191">
        <v>41845</v>
      </c>
      <c r="F331" s="192" t="s">
        <v>420</v>
      </c>
      <c r="G331" s="463" t="s">
        <v>599</v>
      </c>
      <c r="H331" s="7" t="s">
        <v>477</v>
      </c>
      <c r="I331" s="251"/>
      <c r="J331" s="251"/>
      <c r="K331" s="563">
        <v>105000</v>
      </c>
      <c r="L331" s="564" t="s">
        <v>253</v>
      </c>
      <c r="M331" s="564" t="s">
        <v>365</v>
      </c>
      <c r="N331" s="52" t="str">
        <f>IF(AND('331-CT'!$E$7=TH!H331,OR(L331="331",M331="331")),"331",IF(AND(OR(L331="131",M331="131"),H331='131-CT'!$E$7),"131",""))</f>
        <v/>
      </c>
      <c r="O331" s="89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09"/>
      <c r="AC331" s="555" t="str">
        <f>IF(VLOOKUP(H331,DS_131,1,0)&lt;&gt;"","","x")</f>
        <v/>
      </c>
    </row>
    <row r="332" spans="1:29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119">IF(C332&lt;&gt;"",MONTH(C332),"")</f>
        <v>7</v>
      </c>
      <c r="C332" s="184">
        <f t="shared" ref="C332" si="120">E332</f>
        <v>41845</v>
      </c>
      <c r="D332" s="184"/>
      <c r="E332" s="191">
        <v>41845</v>
      </c>
      <c r="F332" s="192" t="s">
        <v>894</v>
      </c>
      <c r="G332" s="463" t="s">
        <v>599</v>
      </c>
      <c r="H332" s="7" t="s">
        <v>477</v>
      </c>
      <c r="I332" s="251"/>
      <c r="J332" s="251"/>
      <c r="K332" s="563">
        <v>1155000</v>
      </c>
      <c r="L332" s="564" t="s">
        <v>47</v>
      </c>
      <c r="M332" s="564" t="s">
        <v>253</v>
      </c>
      <c r="N332" s="52" t="str">
        <f>IF(AND('331-CT'!$E$7=TH!H332,OR(L332="331",M332="331")),"331",IF(AND(OR(L332="131",M332="131"),H332='131-CT'!$E$7),"131",""))</f>
        <v/>
      </c>
      <c r="O332" s="890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09"/>
      <c r="AC332" s="555" t="str">
        <f>IF(VLOOKUP(H332,DS_131,1,0)&lt;&gt;"","","x")</f>
        <v/>
      </c>
    </row>
    <row r="333" spans="1:29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05"/>
        <v>7</v>
      </c>
      <c r="C333" s="184">
        <f t="shared" si="106"/>
        <v>41845</v>
      </c>
      <c r="D333" s="184" t="s">
        <v>924</v>
      </c>
      <c r="E333" s="191">
        <v>41845</v>
      </c>
      <c r="F333" s="192" t="s">
        <v>600</v>
      </c>
      <c r="G333" s="463" t="s">
        <v>601</v>
      </c>
      <c r="H333" s="7" t="s">
        <v>602</v>
      </c>
      <c r="I333" s="251">
        <v>371</v>
      </c>
      <c r="J333" s="251">
        <v>13000</v>
      </c>
      <c r="K333" s="563">
        <f>ROUND(I333*J333,0)</f>
        <v>4823000</v>
      </c>
      <c r="L333" s="564" t="s">
        <v>253</v>
      </c>
      <c r="M333" s="564" t="s">
        <v>177</v>
      </c>
      <c r="N333" s="52" t="str">
        <f>IF(AND('331-CT'!$E$7=TH!H333,OR(L333="331",M333="331")),"331",IF(AND(OR(L333="131",M333="131"),H333='131-CT'!$E$7),"131",""))</f>
        <v/>
      </c>
      <c r="O333" s="89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09"/>
      <c r="AC333" s="211" t="str">
        <f>IF(F333=VLOOKUP(F333,NXT!$C$12:$C$345,1,0),"","x")</f>
        <v/>
      </c>
    </row>
    <row r="334" spans="1:29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05"/>
        <v>7</v>
      </c>
      <c r="C334" s="184">
        <f t="shared" si="106"/>
        <v>41845</v>
      </c>
      <c r="D334" s="184" t="s">
        <v>924</v>
      </c>
      <c r="E334" s="191">
        <v>41845</v>
      </c>
      <c r="F334" s="192" t="s">
        <v>603</v>
      </c>
      <c r="G334" s="463" t="s">
        <v>601</v>
      </c>
      <c r="H334" s="7" t="s">
        <v>602</v>
      </c>
      <c r="I334" s="251">
        <v>156</v>
      </c>
      <c r="J334" s="251">
        <v>11900</v>
      </c>
      <c r="K334" s="563">
        <f>ROUND(I334*J334,0)</f>
        <v>1856400</v>
      </c>
      <c r="L334" s="564" t="s">
        <v>253</v>
      </c>
      <c r="M334" s="564" t="s">
        <v>177</v>
      </c>
      <c r="N334" s="52" t="str">
        <f>IF(AND('331-CT'!$E$7=TH!H334,OR(L334="331",M334="331")),"331",IF(AND(OR(L334="131",M334="131"),H334='131-CT'!$E$7),"131",""))</f>
        <v/>
      </c>
      <c r="O334" s="89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09"/>
      <c r="AC334" s="211" t="str">
        <f>IF(F334=VLOOKUP(F334,NXT!$C$12:$C$345,1,0),"","x")</f>
        <v/>
      </c>
    </row>
    <row r="335" spans="1:29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05"/>
        <v>7</v>
      </c>
      <c r="C335" s="184">
        <f t="shared" si="106"/>
        <v>41845</v>
      </c>
      <c r="D335" s="184" t="s">
        <v>924</v>
      </c>
      <c r="E335" s="191">
        <v>41845</v>
      </c>
      <c r="F335" s="192" t="s">
        <v>623</v>
      </c>
      <c r="G335" s="463" t="s">
        <v>601</v>
      </c>
      <c r="H335" s="7" t="s">
        <v>602</v>
      </c>
      <c r="I335" s="251">
        <v>1400</v>
      </c>
      <c r="J335" s="251">
        <v>400</v>
      </c>
      <c r="K335" s="563">
        <f>ROUND(I335*J335,0)</f>
        <v>560000</v>
      </c>
      <c r="L335" s="564" t="s">
        <v>253</v>
      </c>
      <c r="M335" s="564" t="s">
        <v>177</v>
      </c>
      <c r="N335" s="52" t="str">
        <f>IF(AND('331-CT'!$E$7=TH!H335,OR(L335="331",M335="331")),"331",IF(AND(OR(L335="131",M335="131"),H335='131-CT'!$E$7),"131",""))</f>
        <v/>
      </c>
      <c r="O335" s="89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09"/>
      <c r="AC335" s="211" t="str">
        <f>IF(F335=VLOOKUP(F335,NXT!$C$12:$C$345,1,0),"","x")</f>
        <v/>
      </c>
    </row>
    <row r="336" spans="1:29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05"/>
        <v>7</v>
      </c>
      <c r="C336" s="184">
        <f t="shared" si="106"/>
        <v>41845</v>
      </c>
      <c r="D336" s="184" t="s">
        <v>924</v>
      </c>
      <c r="E336" s="191">
        <v>41845</v>
      </c>
      <c r="F336" s="192" t="s">
        <v>420</v>
      </c>
      <c r="G336" s="463" t="s">
        <v>601</v>
      </c>
      <c r="H336" s="7" t="s">
        <v>602</v>
      </c>
      <c r="I336" s="251"/>
      <c r="J336" s="251"/>
      <c r="K336" s="563">
        <v>723940</v>
      </c>
      <c r="L336" s="564" t="s">
        <v>253</v>
      </c>
      <c r="M336" s="564" t="s">
        <v>365</v>
      </c>
      <c r="N336" s="52" t="str">
        <f>IF(AND('331-CT'!$E$7=TH!H336,OR(L336="331",M336="331")),"331",IF(AND(OR(L336="131",M336="131"),H336='131-CT'!$E$7),"131",""))</f>
        <v/>
      </c>
      <c r="O336" s="89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09"/>
      <c r="AC336" s="555" t="str">
        <f>IF(VLOOKUP(H336,DS_131,1,0)&lt;&gt;"","","x")</f>
        <v/>
      </c>
    </row>
    <row r="337" spans="1:29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05"/>
        <v>7</v>
      </c>
      <c r="C337" s="184">
        <f t="shared" si="106"/>
        <v>41845</v>
      </c>
      <c r="D337" s="184" t="s">
        <v>925</v>
      </c>
      <c r="E337" s="191">
        <v>41845</v>
      </c>
      <c r="F337" s="192" t="s">
        <v>604</v>
      </c>
      <c r="G337" s="463" t="s">
        <v>605</v>
      </c>
      <c r="H337" s="7" t="s">
        <v>454</v>
      </c>
      <c r="I337" s="251">
        <v>97</v>
      </c>
      <c r="J337" s="251">
        <v>7900</v>
      </c>
      <c r="K337" s="563">
        <f>ROUND(I337*J337,0)</f>
        <v>766300</v>
      </c>
      <c r="L337" s="564" t="s">
        <v>253</v>
      </c>
      <c r="M337" s="564" t="s">
        <v>177</v>
      </c>
      <c r="N337" s="52" t="str">
        <f>IF(AND('331-CT'!$E$7=TH!H337,OR(L337="331",M337="331")),"331",IF(AND(OR(L337="131",M337="131"),H337='131-CT'!$E$7),"131",""))</f>
        <v>131</v>
      </c>
      <c r="O337" s="89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09"/>
      <c r="AC337" s="211" t="str">
        <f>IF(F337=VLOOKUP(F337,NXT!$C$12:$C$345,1,0),"","x")</f>
        <v/>
      </c>
    </row>
    <row r="338" spans="1:29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05"/>
        <v>7</v>
      </c>
      <c r="C338" s="184">
        <f t="shared" si="106"/>
        <v>41845</v>
      </c>
      <c r="D338" s="184" t="s">
        <v>925</v>
      </c>
      <c r="E338" s="191">
        <v>41845</v>
      </c>
      <c r="F338" s="192" t="s">
        <v>420</v>
      </c>
      <c r="G338" s="463" t="s">
        <v>605</v>
      </c>
      <c r="H338" s="7" t="s">
        <v>454</v>
      </c>
      <c r="I338" s="251"/>
      <c r="J338" s="251"/>
      <c r="K338" s="563">
        <v>76630</v>
      </c>
      <c r="L338" s="564" t="s">
        <v>253</v>
      </c>
      <c r="M338" s="564" t="s">
        <v>365</v>
      </c>
      <c r="N338" s="52" t="str">
        <f>IF(AND('331-CT'!$E$7=TH!H338,OR(L338="331",M338="331")),"331",IF(AND(OR(L338="131",M338="131"),H338='131-CT'!$E$7),"131",""))</f>
        <v>131</v>
      </c>
      <c r="O338" s="89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09"/>
      <c r="AC338" s="555" t="str">
        <f>IF(VLOOKUP(H338,DS_131,1,0)&lt;&gt;"","","x")</f>
        <v/>
      </c>
    </row>
    <row r="339" spans="1:29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05"/>
        <v>7</v>
      </c>
      <c r="C339" s="184">
        <f t="shared" si="106"/>
        <v>41849</v>
      </c>
      <c r="D339" s="184" t="s">
        <v>926</v>
      </c>
      <c r="E339" s="191">
        <v>41849</v>
      </c>
      <c r="F339" s="192" t="s">
        <v>606</v>
      </c>
      <c r="G339" s="463" t="s">
        <v>607</v>
      </c>
      <c r="H339" s="7" t="s">
        <v>582</v>
      </c>
      <c r="I339" s="251">
        <v>1920</v>
      </c>
      <c r="J339" s="251">
        <v>9000</v>
      </c>
      <c r="K339" s="563">
        <f>ROUND(I339*J339,0)</f>
        <v>17280000</v>
      </c>
      <c r="L339" s="564" t="s">
        <v>253</v>
      </c>
      <c r="M339" s="564" t="s">
        <v>177</v>
      </c>
      <c r="N339" s="52" t="str">
        <f>IF(AND('331-CT'!$E$7=TH!H339,OR(L339="331",M339="331")),"331",IF(AND(OR(L339="131",M339="131"),H339='131-CT'!$E$7),"131",""))</f>
        <v/>
      </c>
      <c r="O339" s="89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09"/>
      <c r="AC339" s="211" t="str">
        <f>IF(F339=VLOOKUP(F339,NXT!$C$12:$C$345,1,0),"","x")</f>
        <v/>
      </c>
    </row>
    <row r="340" spans="1:29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05"/>
        <v>7</v>
      </c>
      <c r="C340" s="184">
        <f t="shared" si="106"/>
        <v>41849</v>
      </c>
      <c r="D340" s="184" t="s">
        <v>926</v>
      </c>
      <c r="E340" s="191">
        <v>41849</v>
      </c>
      <c r="F340" s="192" t="s">
        <v>608</v>
      </c>
      <c r="G340" s="463" t="s">
        <v>607</v>
      </c>
      <c r="H340" s="7" t="s">
        <v>582</v>
      </c>
      <c r="I340" s="251">
        <v>560</v>
      </c>
      <c r="J340" s="251">
        <v>12000</v>
      </c>
      <c r="K340" s="563">
        <f>ROUND(I340*J340,0)</f>
        <v>6720000</v>
      </c>
      <c r="L340" s="564" t="s">
        <v>253</v>
      </c>
      <c r="M340" s="564" t="s">
        <v>177</v>
      </c>
      <c r="N340" s="52" t="str">
        <f>IF(AND('331-CT'!$E$7=TH!H340,OR(L340="331",M340="331")),"331",IF(AND(OR(L340="131",M340="131"),H340='131-CT'!$E$7),"131",""))</f>
        <v/>
      </c>
      <c r="O340" s="89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09"/>
      <c r="AC340" s="211" t="str">
        <f>IF(F340=VLOOKUP(F340,NXT!$C$12:$C$345,1,0),"","x")</f>
        <v/>
      </c>
    </row>
    <row r="341" spans="1:29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05"/>
        <v>7</v>
      </c>
      <c r="C341" s="184">
        <f t="shared" si="106"/>
        <v>41849</v>
      </c>
      <c r="D341" s="184" t="s">
        <v>926</v>
      </c>
      <c r="E341" s="191">
        <v>41849</v>
      </c>
      <c r="F341" s="192" t="s">
        <v>420</v>
      </c>
      <c r="G341" s="463" t="s">
        <v>607</v>
      </c>
      <c r="H341" s="7" t="s">
        <v>582</v>
      </c>
      <c r="I341" s="251"/>
      <c r="J341" s="251"/>
      <c r="K341" s="563">
        <v>2400000</v>
      </c>
      <c r="L341" s="564" t="s">
        <v>253</v>
      </c>
      <c r="M341" s="564" t="s">
        <v>365</v>
      </c>
      <c r="N341" s="52" t="str">
        <f>IF(AND('331-CT'!$E$7=TH!H341,OR(L341="331",M341="331")),"331",IF(AND(OR(L341="131",M341="131"),H341='131-CT'!$E$7),"131",""))</f>
        <v/>
      </c>
      <c r="O341" s="89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09"/>
      <c r="AC341" s="555" t="str">
        <f>IF(VLOOKUP(H341,DS_131,1,0)&lt;&gt;"","","x")</f>
        <v/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05"/>
        <v>7</v>
      </c>
      <c r="C342" s="184">
        <f t="shared" si="106"/>
        <v>41849</v>
      </c>
      <c r="D342" s="184" t="s">
        <v>927</v>
      </c>
      <c r="E342" s="191">
        <v>41849</v>
      </c>
      <c r="F342" s="192" t="s">
        <v>566</v>
      </c>
      <c r="G342" s="463" t="s">
        <v>609</v>
      </c>
      <c r="H342" s="7" t="s">
        <v>438</v>
      </c>
      <c r="I342" s="251">
        <v>515</v>
      </c>
      <c r="J342" s="251">
        <v>10500</v>
      </c>
      <c r="K342" s="563">
        <f>ROUND(I342*J342,0)</f>
        <v>5407500</v>
      </c>
      <c r="L342" s="564" t="s">
        <v>253</v>
      </c>
      <c r="M342" s="564" t="s">
        <v>177</v>
      </c>
      <c r="N342" s="52" t="str">
        <f>IF(AND('331-CT'!$E$7=TH!H342,OR(L342="331",M342="331")),"331",IF(AND(OR(L342="131",M342="131"),H342='131-CT'!$E$7),"131",""))</f>
        <v/>
      </c>
      <c r="O342" s="89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09"/>
      <c r="AC342" s="211" t="str">
        <f>IF(F342=VLOOKUP(F342,NXT!$C$12:$C$345,1,0),"","x")</f>
        <v/>
      </c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05"/>
        <v>7</v>
      </c>
      <c r="C343" s="184">
        <f t="shared" si="106"/>
        <v>41849</v>
      </c>
      <c r="D343" s="184" t="s">
        <v>927</v>
      </c>
      <c r="E343" s="191">
        <v>41849</v>
      </c>
      <c r="F343" s="192" t="s">
        <v>610</v>
      </c>
      <c r="G343" s="463" t="s">
        <v>609</v>
      </c>
      <c r="H343" s="7" t="s">
        <v>438</v>
      </c>
      <c r="I343" s="251">
        <v>500</v>
      </c>
      <c r="J343" s="251">
        <v>10500</v>
      </c>
      <c r="K343" s="563">
        <f>ROUND(I343*J343,0)</f>
        <v>5250000</v>
      </c>
      <c r="L343" s="564" t="s">
        <v>253</v>
      </c>
      <c r="M343" s="564" t="s">
        <v>177</v>
      </c>
      <c r="N343" s="52" t="str">
        <f>IF(AND('331-CT'!$E$7=TH!H343,OR(L343="331",M343="331")),"331",IF(AND(OR(L343="131",M343="131"),H343='131-CT'!$E$7),"131",""))</f>
        <v/>
      </c>
      <c r="O343" s="89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09"/>
      <c r="AC343" s="211" t="str">
        <f>IF(F343=VLOOKUP(F343,NXT!$C$12:$C$345,1,0),"","x")</f>
        <v/>
      </c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105"/>
        <v>7</v>
      </c>
      <c r="C344" s="184">
        <f t="shared" si="106"/>
        <v>41849</v>
      </c>
      <c r="D344" s="184" t="s">
        <v>927</v>
      </c>
      <c r="E344" s="191">
        <v>41849</v>
      </c>
      <c r="F344" s="192" t="s">
        <v>420</v>
      </c>
      <c r="G344" s="463" t="s">
        <v>609</v>
      </c>
      <c r="H344" s="7" t="s">
        <v>438</v>
      </c>
      <c r="I344" s="251"/>
      <c r="J344" s="251"/>
      <c r="K344" s="563">
        <v>1065750</v>
      </c>
      <c r="L344" s="564" t="s">
        <v>253</v>
      </c>
      <c r="M344" s="564" t="s">
        <v>365</v>
      </c>
      <c r="N344" s="52" t="str">
        <f>IF(AND('331-CT'!$E$7=TH!H344,OR(L344="331",M344="331")),"331",IF(AND(OR(L344="131",M344="131"),H344='131-CT'!$E$7),"131",""))</f>
        <v/>
      </c>
      <c r="O344" s="89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09"/>
      <c r="AC344" s="555" t="str">
        <f>IF(VLOOKUP(H344,DS_131,1,0)&lt;&gt;"","","x")</f>
        <v/>
      </c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" si="121">IF(C345&lt;&gt;"",MONTH(C345),"")</f>
        <v>7</v>
      </c>
      <c r="C345" s="184">
        <f t="shared" ref="C345" si="122">E345</f>
        <v>41849</v>
      </c>
      <c r="D345" s="184"/>
      <c r="E345" s="191">
        <v>41849</v>
      </c>
      <c r="F345" s="192" t="s">
        <v>894</v>
      </c>
      <c r="G345" s="463" t="s">
        <v>609</v>
      </c>
      <c r="H345" s="7" t="s">
        <v>438</v>
      </c>
      <c r="I345" s="251"/>
      <c r="J345" s="251"/>
      <c r="K345" s="563">
        <v>11723250</v>
      </c>
      <c r="L345" s="564" t="s">
        <v>47</v>
      </c>
      <c r="M345" s="564" t="s">
        <v>253</v>
      </c>
      <c r="N345" s="52" t="str">
        <f>IF(AND('331-CT'!$E$7=TH!H345,OR(L345="331",M345="331")),"331",IF(AND(OR(L345="131",M345="131"),H345='131-CT'!$E$7),"131",""))</f>
        <v/>
      </c>
      <c r="O345" s="890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09"/>
      <c r="AC345" s="555" t="str">
        <f>IF(VLOOKUP(H345,DS_131,1,0)&lt;&gt;"","","x")</f>
        <v/>
      </c>
    </row>
    <row r="346" spans="1:29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05"/>
        <v>7</v>
      </c>
      <c r="C346" s="184">
        <f t="shared" si="106"/>
        <v>41850</v>
      </c>
      <c r="D346" s="184" t="s">
        <v>928</v>
      </c>
      <c r="E346" s="191">
        <v>41850</v>
      </c>
      <c r="F346" s="192" t="s">
        <v>417</v>
      </c>
      <c r="G346" s="463" t="s">
        <v>611</v>
      </c>
      <c r="H346" s="7" t="s">
        <v>419</v>
      </c>
      <c r="I346" s="251">
        <v>2554</v>
      </c>
      <c r="J346" s="251">
        <v>5500</v>
      </c>
      <c r="K346" s="563">
        <f>ROUND(I346*J346,0)</f>
        <v>14047000</v>
      </c>
      <c r="L346" s="564" t="s">
        <v>253</v>
      </c>
      <c r="M346" s="564" t="s">
        <v>177</v>
      </c>
      <c r="N346" s="52" t="str">
        <f>IF(AND('331-CT'!$E$7=TH!H346,OR(L346="331",M346="331")),"331",IF(AND(OR(L346="131",M346="131"),H346='131-CT'!$E$7),"131",""))</f>
        <v/>
      </c>
      <c r="O346" s="89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09"/>
      <c r="AC346" s="211" t="str">
        <f>IF(F346=VLOOKUP(F346,NXT!$C$12:$C$345,1,0),"","x")</f>
        <v/>
      </c>
    </row>
    <row r="347" spans="1:29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05"/>
        <v>7</v>
      </c>
      <c r="C347" s="184">
        <f t="shared" si="106"/>
        <v>41850</v>
      </c>
      <c r="D347" s="184" t="s">
        <v>928</v>
      </c>
      <c r="E347" s="191">
        <v>41850</v>
      </c>
      <c r="F347" s="192" t="s">
        <v>612</v>
      </c>
      <c r="G347" s="463" t="s">
        <v>611</v>
      </c>
      <c r="H347" s="7" t="s">
        <v>419</v>
      </c>
      <c r="I347" s="251">
        <v>330</v>
      </c>
      <c r="J347" s="251">
        <v>4500</v>
      </c>
      <c r="K347" s="563">
        <f>ROUND(I347*J347,0)</f>
        <v>1485000</v>
      </c>
      <c r="L347" s="564" t="s">
        <v>253</v>
      </c>
      <c r="M347" s="564" t="s">
        <v>177</v>
      </c>
      <c r="N347" s="52" t="str">
        <f>IF(AND('331-CT'!$E$7=TH!H347,OR(L347="331",M347="331")),"331",IF(AND(OR(L347="131",M347="131"),H347='131-CT'!$E$7),"131",""))</f>
        <v/>
      </c>
      <c r="O347" s="89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09"/>
      <c r="AC347" s="211" t="str">
        <f>IF(F347=VLOOKUP(F347,NXT!$C$12:$C$345,1,0),"","x")</f>
        <v/>
      </c>
    </row>
    <row r="348" spans="1:29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05"/>
        <v>7</v>
      </c>
      <c r="C348" s="184">
        <f t="shared" si="106"/>
        <v>41850</v>
      </c>
      <c r="D348" s="184" t="s">
        <v>928</v>
      </c>
      <c r="E348" s="191">
        <v>41850</v>
      </c>
      <c r="F348" s="192" t="s">
        <v>420</v>
      </c>
      <c r="G348" s="463" t="s">
        <v>611</v>
      </c>
      <c r="H348" s="7" t="s">
        <v>419</v>
      </c>
      <c r="I348" s="251"/>
      <c r="J348" s="251"/>
      <c r="K348" s="563">
        <v>1553200</v>
      </c>
      <c r="L348" s="564" t="s">
        <v>253</v>
      </c>
      <c r="M348" s="564" t="s">
        <v>365</v>
      </c>
      <c r="N348" s="52" t="str">
        <f>IF(AND('331-CT'!$E$7=TH!H348,OR(L348="331",M348="331")),"331",IF(AND(OR(L348="131",M348="131"),H348='131-CT'!$E$7),"131",""))</f>
        <v/>
      </c>
      <c r="O348" s="89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09"/>
      <c r="AC348" s="555" t="str">
        <f>IF(VLOOKUP(H348,DS_131,1,0)&lt;&gt;"","","x")</f>
        <v/>
      </c>
    </row>
    <row r="349" spans="1:29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ref="B349" si="123">IF(C349&lt;&gt;"",MONTH(C349),"")</f>
        <v>7</v>
      </c>
      <c r="C349" s="184">
        <f t="shared" ref="C349" si="124">E349</f>
        <v>41850</v>
      </c>
      <c r="D349" s="184"/>
      <c r="E349" s="191">
        <v>41850</v>
      </c>
      <c r="F349" s="192" t="s">
        <v>894</v>
      </c>
      <c r="G349" s="463" t="s">
        <v>611</v>
      </c>
      <c r="H349" s="7" t="s">
        <v>419</v>
      </c>
      <c r="I349" s="251"/>
      <c r="J349" s="251"/>
      <c r="K349" s="563">
        <v>17085200</v>
      </c>
      <c r="L349" s="564" t="s">
        <v>47</v>
      </c>
      <c r="M349" s="564" t="s">
        <v>253</v>
      </c>
      <c r="N349" s="52" t="str">
        <f>IF(AND('331-CT'!$E$7=TH!H349,OR(L349="331",M349="331")),"331",IF(AND(OR(L349="131",M349="131"),H349='131-CT'!$E$7),"131",""))</f>
        <v/>
      </c>
      <c r="O349" s="890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09"/>
      <c r="AC349" s="555" t="str">
        <f>IF(VLOOKUP(H349,DS_131,1,0)&lt;&gt;"","","x")</f>
        <v/>
      </c>
    </row>
    <row r="350" spans="1:29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05"/>
        <v>8</v>
      </c>
      <c r="C350" s="184">
        <f t="shared" si="106"/>
        <v>41857</v>
      </c>
      <c r="D350" s="184" t="s">
        <v>929</v>
      </c>
      <c r="E350" s="191">
        <v>41857</v>
      </c>
      <c r="F350" s="189" t="s">
        <v>421</v>
      </c>
      <c r="G350" s="463" t="s">
        <v>613</v>
      </c>
      <c r="H350" s="7" t="s">
        <v>906</v>
      </c>
      <c r="I350" s="251">
        <v>500</v>
      </c>
      <c r="J350" s="251">
        <v>17300</v>
      </c>
      <c r="K350" s="563">
        <f>ROUND(I350*J350,0)</f>
        <v>8650000</v>
      </c>
      <c r="L350" s="564" t="s">
        <v>253</v>
      </c>
      <c r="M350" s="564" t="s">
        <v>177</v>
      </c>
      <c r="N350" s="52" t="str">
        <f>IF(AND('331-CT'!$E$7=TH!H350,OR(L350="331",M350="331")),"331",IF(AND(OR(L350="131",M350="131"),H350='131-CT'!$E$7),"131",""))</f>
        <v/>
      </c>
      <c r="O350" s="89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09"/>
      <c r="AC350" s="211" t="str">
        <f>IF(F350=VLOOKUP(F350,NXT!$C$12:$C$345,1,0),"","x")</f>
        <v/>
      </c>
    </row>
    <row r="351" spans="1:29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05"/>
        <v>8</v>
      </c>
      <c r="C351" s="184">
        <f t="shared" si="106"/>
        <v>41858</v>
      </c>
      <c r="D351" s="184" t="s">
        <v>929</v>
      </c>
      <c r="E351" s="191">
        <v>41858</v>
      </c>
      <c r="F351" s="40" t="s">
        <v>445</v>
      </c>
      <c r="G351" s="463" t="s">
        <v>613</v>
      </c>
      <c r="H351" s="7" t="s">
        <v>906</v>
      </c>
      <c r="I351" s="251">
        <v>1000</v>
      </c>
      <c r="J351" s="251">
        <v>1500</v>
      </c>
      <c r="K351" s="563">
        <f>ROUND(I351*J351,0)</f>
        <v>1500000</v>
      </c>
      <c r="L351" s="564" t="s">
        <v>253</v>
      </c>
      <c r="M351" s="564" t="s">
        <v>177</v>
      </c>
      <c r="N351" s="52" t="str">
        <f>IF(AND('331-CT'!$E$7=TH!H351,OR(L351="331",M351="331")),"331",IF(AND(OR(L351="131",M351="131"),H351='131-CT'!$E$7),"131",""))</f>
        <v/>
      </c>
      <c r="O351" s="89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09"/>
      <c r="AC351" s="211" t="str">
        <f>IF(F351=VLOOKUP(F351,NXT!$C$12:$C$345,1,0),"","x")</f>
        <v/>
      </c>
    </row>
    <row r="352" spans="1:29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05"/>
        <v>8</v>
      </c>
      <c r="C352" s="184">
        <f t="shared" si="106"/>
        <v>41859</v>
      </c>
      <c r="D352" s="184" t="s">
        <v>929</v>
      </c>
      <c r="E352" s="191">
        <v>41859</v>
      </c>
      <c r="F352" s="192" t="s">
        <v>420</v>
      </c>
      <c r="G352" s="463" t="s">
        <v>613</v>
      </c>
      <c r="H352" s="7" t="s">
        <v>906</v>
      </c>
      <c r="I352" s="251"/>
      <c r="J352" s="251"/>
      <c r="K352" s="563">
        <v>1015000</v>
      </c>
      <c r="L352" s="564" t="s">
        <v>253</v>
      </c>
      <c r="M352" s="564" t="s">
        <v>365</v>
      </c>
      <c r="N352" s="52" t="str">
        <f>IF(AND('331-CT'!$E$7=TH!H352,OR(L352="331",M352="331")),"331",IF(AND(OR(L352="131",M352="131"),H352='131-CT'!$E$7),"131",""))</f>
        <v/>
      </c>
      <c r="O352" s="89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09"/>
      <c r="AC352" s="555" t="str">
        <f>IF(VLOOKUP(H352,DS_131,1,0)&lt;&gt;"","","x")</f>
        <v/>
      </c>
    </row>
    <row r="353" spans="1:29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05"/>
        <v>8</v>
      </c>
      <c r="C353" s="184">
        <f t="shared" si="106"/>
        <v>41859</v>
      </c>
      <c r="D353" s="184" t="s">
        <v>930</v>
      </c>
      <c r="E353" s="191">
        <v>41859</v>
      </c>
      <c r="F353" s="192" t="s">
        <v>494</v>
      </c>
      <c r="G353" s="463" t="s">
        <v>614</v>
      </c>
      <c r="H353" s="7" t="s">
        <v>907</v>
      </c>
      <c r="I353" s="251">
        <v>300</v>
      </c>
      <c r="J353" s="251">
        <v>8600</v>
      </c>
      <c r="K353" s="563">
        <f>ROUND(I353*J353,0)</f>
        <v>2580000</v>
      </c>
      <c r="L353" s="564" t="s">
        <v>253</v>
      </c>
      <c r="M353" s="564" t="s">
        <v>177</v>
      </c>
      <c r="N353" s="52" t="str">
        <f>IF(AND('331-CT'!$E$7=TH!H353,OR(L353="331",M353="331")),"331",IF(AND(OR(L353="131",M353="131"),H353='131-CT'!$E$7),"131",""))</f>
        <v/>
      </c>
      <c r="O353" s="89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09"/>
      <c r="AC353" s="211" t="str">
        <f>IF(F353=VLOOKUP(F353,NXT!$C$12:$C$345,1,0),"","x")</f>
        <v/>
      </c>
    </row>
    <row r="354" spans="1:29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05"/>
        <v>8</v>
      </c>
      <c r="C354" s="184">
        <f t="shared" si="106"/>
        <v>41859</v>
      </c>
      <c r="D354" s="184" t="s">
        <v>930</v>
      </c>
      <c r="E354" s="191">
        <v>41859</v>
      </c>
      <c r="F354" s="192" t="s">
        <v>420</v>
      </c>
      <c r="G354" s="463" t="s">
        <v>614</v>
      </c>
      <c r="H354" s="7" t="s">
        <v>907</v>
      </c>
      <c r="I354" s="251"/>
      <c r="J354" s="251"/>
      <c r="K354" s="563">
        <v>258000</v>
      </c>
      <c r="L354" s="564" t="s">
        <v>253</v>
      </c>
      <c r="M354" s="564" t="s">
        <v>365</v>
      </c>
      <c r="N354" s="52" t="str">
        <f>IF(AND('331-CT'!$E$7=TH!H354,OR(L354="331",M354="331")),"331",IF(AND(OR(L354="131",M354="131"),H354='131-CT'!$E$7),"131",""))</f>
        <v/>
      </c>
      <c r="O354" s="89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09"/>
      <c r="AC354" s="555" t="str">
        <f>IF(VLOOKUP(H354,DS_131,1,0)&lt;&gt;"","","x")</f>
        <v/>
      </c>
    </row>
    <row r="355" spans="1:29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05"/>
        <v>8</v>
      </c>
      <c r="C355" s="184">
        <f t="shared" si="106"/>
        <v>41859</v>
      </c>
      <c r="D355" s="184" t="s">
        <v>931</v>
      </c>
      <c r="E355" s="191">
        <v>41859</v>
      </c>
      <c r="F355" s="192" t="s">
        <v>615</v>
      </c>
      <c r="G355" s="463" t="s">
        <v>616</v>
      </c>
      <c r="H355" s="7" t="s">
        <v>617</v>
      </c>
      <c r="I355" s="251">
        <v>393</v>
      </c>
      <c r="J355" s="251">
        <v>11100</v>
      </c>
      <c r="K355" s="563">
        <f>ROUND(I355*J355,0)</f>
        <v>4362300</v>
      </c>
      <c r="L355" s="564" t="s">
        <v>253</v>
      </c>
      <c r="M355" s="564" t="s">
        <v>177</v>
      </c>
      <c r="N355" s="52" t="str">
        <f>IF(AND('331-CT'!$E$7=TH!H355,OR(L355="331",M355="331")),"331",IF(AND(OR(L355="131",M355="131"),H355='131-CT'!$E$7),"131",""))</f>
        <v/>
      </c>
      <c r="O355" s="89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09"/>
      <c r="AC355" s="211" t="str">
        <f>IF(F355=VLOOKUP(F355,NXT!$C$12:$C$345,1,0),"","x")</f>
        <v/>
      </c>
    </row>
    <row r="356" spans="1:29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05"/>
        <v>8</v>
      </c>
      <c r="C356" s="184">
        <f t="shared" si="106"/>
        <v>41859</v>
      </c>
      <c r="D356" s="184" t="s">
        <v>931</v>
      </c>
      <c r="E356" s="191">
        <v>41859</v>
      </c>
      <c r="F356" s="192" t="s">
        <v>420</v>
      </c>
      <c r="G356" s="463" t="s">
        <v>616</v>
      </c>
      <c r="H356" s="7" t="s">
        <v>617</v>
      </c>
      <c r="I356" s="251"/>
      <c r="J356" s="251"/>
      <c r="K356" s="563">
        <v>436230</v>
      </c>
      <c r="L356" s="564" t="s">
        <v>253</v>
      </c>
      <c r="M356" s="564" t="s">
        <v>365</v>
      </c>
      <c r="N356" s="52" t="str">
        <f>IF(AND('331-CT'!$E$7=TH!H356,OR(L356="331",M356="331")),"331",IF(AND(OR(L356="131",M356="131"),H356='131-CT'!$E$7),"131",""))</f>
        <v/>
      </c>
      <c r="O356" s="89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09"/>
      <c r="AC356" s="555" t="str">
        <f>IF(VLOOKUP(H356,DS_131,1,0)&lt;&gt;"","","x")</f>
        <v/>
      </c>
    </row>
    <row r="357" spans="1:29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ref="B357" si="125">IF(C357&lt;&gt;"",MONTH(C357),"")</f>
        <v>8</v>
      </c>
      <c r="C357" s="184">
        <f t="shared" ref="C357" si="126">E357</f>
        <v>41859</v>
      </c>
      <c r="D357" s="184"/>
      <c r="E357" s="191">
        <v>41859</v>
      </c>
      <c r="F357" s="192" t="s">
        <v>894</v>
      </c>
      <c r="G357" s="463" t="s">
        <v>616</v>
      </c>
      <c r="H357" s="7" t="s">
        <v>617</v>
      </c>
      <c r="I357" s="251"/>
      <c r="J357" s="251"/>
      <c r="K357" s="563">
        <v>4798530</v>
      </c>
      <c r="L357" s="564" t="s">
        <v>47</v>
      </c>
      <c r="M357" s="564" t="s">
        <v>253</v>
      </c>
      <c r="N357" s="52" t="str">
        <f>IF(AND('331-CT'!$E$7=TH!H357,OR(L357="331",M357="331")),"331",IF(AND(OR(L357="131",M357="131"),H357='131-CT'!$E$7),"131",""))</f>
        <v/>
      </c>
      <c r="O357" s="890" t="str">
        <f>IF(AND('341-CT'!$E$9=H357,OR(LEFT(L357,3)=$O$7,LEFT(M357,3)=$O$7)),"x","")</f>
        <v/>
      </c>
      <c r="P357" s="52" t="str">
        <f>IF(AND($B357&gt;='111'!$N$11,$B357&lt;='111'!$O$11,OR($L357=$P$7,$M357=$P$7)),"x","")</f>
        <v>x</v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09"/>
      <c r="AC357" s="555" t="str">
        <f>IF(VLOOKUP(H357,DS_131,1,0)&lt;&gt;"","","x")</f>
        <v/>
      </c>
    </row>
    <row r="358" spans="1:29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05"/>
        <v>8</v>
      </c>
      <c r="C358" s="184">
        <f t="shared" si="106"/>
        <v>41859</v>
      </c>
      <c r="D358" s="184" t="s">
        <v>932</v>
      </c>
      <c r="E358" s="191">
        <v>41859</v>
      </c>
      <c r="F358" s="192" t="s">
        <v>618</v>
      </c>
      <c r="G358" s="463" t="s">
        <v>619</v>
      </c>
      <c r="H358" s="7" t="s">
        <v>602</v>
      </c>
      <c r="I358" s="251">
        <v>198</v>
      </c>
      <c r="J358" s="251">
        <v>18300</v>
      </c>
      <c r="K358" s="563">
        <f t="shared" ref="K358:K363" si="127">ROUND(I358*J358,0)</f>
        <v>3623400</v>
      </c>
      <c r="L358" s="564" t="s">
        <v>253</v>
      </c>
      <c r="M358" s="564" t="s">
        <v>177</v>
      </c>
      <c r="N358" s="52" t="str">
        <f>IF(AND('331-CT'!$E$7=TH!H358,OR(L358="331",M358="331")),"331",IF(AND(OR(L358="131",M358="131"),H358='131-CT'!$E$7),"131",""))</f>
        <v/>
      </c>
      <c r="O358" s="89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09"/>
      <c r="AC358" s="211" t="str">
        <f>IF(F358=VLOOKUP(F358,NXT!$C$12:$C$345,1,0),"","x")</f>
        <v/>
      </c>
    </row>
    <row r="359" spans="1:29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05"/>
        <v>8</v>
      </c>
      <c r="C359" s="184">
        <f t="shared" si="106"/>
        <v>41859</v>
      </c>
      <c r="D359" s="184" t="s">
        <v>932</v>
      </c>
      <c r="E359" s="191">
        <v>41859</v>
      </c>
      <c r="F359" s="192" t="s">
        <v>620</v>
      </c>
      <c r="G359" s="463" t="s">
        <v>619</v>
      </c>
      <c r="H359" s="7" t="s">
        <v>602</v>
      </c>
      <c r="I359" s="252">
        <v>996</v>
      </c>
      <c r="J359" s="252">
        <v>7160</v>
      </c>
      <c r="K359" s="563">
        <f t="shared" si="127"/>
        <v>7131360</v>
      </c>
      <c r="L359" s="564" t="s">
        <v>253</v>
      </c>
      <c r="M359" s="564" t="s">
        <v>177</v>
      </c>
      <c r="N359" s="52" t="str">
        <f>IF(AND('331-CT'!$E$7=TH!H359,OR(L359="331",M359="331")),"331",IF(AND(OR(L359="131",M359="131"),H359='131-CT'!$E$7),"131",""))</f>
        <v/>
      </c>
      <c r="O359" s="89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09"/>
      <c r="AC359" s="211" t="str">
        <f>IF(F359=VLOOKUP(F359,NXT!$C$12:$C$345,1,0),"","x")</f>
        <v/>
      </c>
    </row>
    <row r="360" spans="1:29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ref="B360:B425" si="128">IF(C360&lt;&gt;"",MONTH(C360),"")</f>
        <v>8</v>
      </c>
      <c r="C360" s="184">
        <f t="shared" ref="C360:C425" si="129">E360</f>
        <v>41859</v>
      </c>
      <c r="D360" s="184" t="s">
        <v>932</v>
      </c>
      <c r="E360" s="191">
        <v>41859</v>
      </c>
      <c r="F360" s="192" t="s">
        <v>621</v>
      </c>
      <c r="G360" s="463" t="s">
        <v>619</v>
      </c>
      <c r="H360" s="7" t="s">
        <v>602</v>
      </c>
      <c r="I360" s="251">
        <v>650</v>
      </c>
      <c r="J360" s="251">
        <v>17600</v>
      </c>
      <c r="K360" s="563">
        <f t="shared" si="127"/>
        <v>11440000</v>
      </c>
      <c r="L360" s="564" t="s">
        <v>253</v>
      </c>
      <c r="M360" s="564" t="s">
        <v>177</v>
      </c>
      <c r="N360" s="52" t="str">
        <f>IF(AND('331-CT'!$E$7=TH!H360,OR(L360="331",M360="331")),"331",IF(AND(OR(L360="131",M360="131"),H360='131-CT'!$E$7),"131",""))</f>
        <v/>
      </c>
      <c r="O360" s="89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09"/>
      <c r="AC360" s="211" t="str">
        <f>IF(F360=VLOOKUP(F360,NXT!$C$12:$C$345,1,0),"","x")</f>
        <v/>
      </c>
    </row>
    <row r="361" spans="1:29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28"/>
        <v>8</v>
      </c>
      <c r="C361" s="184">
        <f t="shared" si="129"/>
        <v>41859</v>
      </c>
      <c r="D361" s="184" t="s">
        <v>932</v>
      </c>
      <c r="E361" s="191">
        <v>41859</v>
      </c>
      <c r="F361" s="192" t="s">
        <v>622</v>
      </c>
      <c r="G361" s="463" t="s">
        <v>619</v>
      </c>
      <c r="H361" s="7" t="s">
        <v>602</v>
      </c>
      <c r="I361" s="251">
        <v>1440</v>
      </c>
      <c r="J361" s="251">
        <v>8100</v>
      </c>
      <c r="K361" s="563">
        <f t="shared" si="127"/>
        <v>11664000</v>
      </c>
      <c r="L361" s="564" t="s">
        <v>253</v>
      </c>
      <c r="M361" s="564" t="s">
        <v>177</v>
      </c>
      <c r="N361" s="52" t="str">
        <f>IF(AND('331-CT'!$E$7=TH!H361,OR(L361="331",M361="331")),"331",IF(AND(OR(L361="131",M361="131"),H361='131-CT'!$E$7),"131",""))</f>
        <v/>
      </c>
      <c r="O361" s="890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09"/>
      <c r="AC361" s="211" t="str">
        <f>IF(F361=VLOOKUP(F361,NXT!$C$12:$C$345,1,0),"","x")</f>
        <v/>
      </c>
    </row>
    <row r="362" spans="1:29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28"/>
        <v>8</v>
      </c>
      <c r="C362" s="184">
        <f t="shared" si="129"/>
        <v>41859</v>
      </c>
      <c r="D362" s="184" t="s">
        <v>932</v>
      </c>
      <c r="E362" s="191">
        <v>41859</v>
      </c>
      <c r="F362" s="192" t="s">
        <v>600</v>
      </c>
      <c r="G362" s="463" t="s">
        <v>619</v>
      </c>
      <c r="H362" s="7" t="s">
        <v>602</v>
      </c>
      <c r="I362" s="251">
        <v>160</v>
      </c>
      <c r="J362" s="251">
        <v>13000</v>
      </c>
      <c r="K362" s="563">
        <f t="shared" si="127"/>
        <v>2080000</v>
      </c>
      <c r="L362" s="564" t="s">
        <v>253</v>
      </c>
      <c r="M362" s="564" t="s">
        <v>177</v>
      </c>
      <c r="N362" s="52" t="str">
        <f>IF(AND('331-CT'!$E$7=TH!H362,OR(L362="331",M362="331")),"331",IF(AND(OR(L362="131",M362="131"),H362='131-CT'!$E$7),"131",""))</f>
        <v/>
      </c>
      <c r="O362" s="89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09"/>
      <c r="AC362" s="211" t="str">
        <f>IF(F362=VLOOKUP(F362,NXT!$C$12:$C$345,1,0),"","x")</f>
        <v/>
      </c>
    </row>
    <row r="363" spans="1:29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28"/>
        <v>8</v>
      </c>
      <c r="C363" s="184">
        <f t="shared" si="129"/>
        <v>41859</v>
      </c>
      <c r="D363" s="184" t="s">
        <v>932</v>
      </c>
      <c r="E363" s="191">
        <v>41859</v>
      </c>
      <c r="F363" s="192" t="s">
        <v>623</v>
      </c>
      <c r="G363" s="463" t="s">
        <v>619</v>
      </c>
      <c r="H363" s="7" t="s">
        <v>602</v>
      </c>
      <c r="I363" s="251">
        <v>4400</v>
      </c>
      <c r="J363" s="251">
        <v>400</v>
      </c>
      <c r="K363" s="563">
        <f t="shared" si="127"/>
        <v>1760000</v>
      </c>
      <c r="L363" s="564" t="s">
        <v>253</v>
      </c>
      <c r="M363" s="564" t="s">
        <v>177</v>
      </c>
      <c r="N363" s="52" t="str">
        <f>IF(AND('331-CT'!$E$7=TH!H363,OR(L363="331",M363="331")),"331",IF(AND(OR(L363="131",M363="131"),H363='131-CT'!$E$7),"131",""))</f>
        <v/>
      </c>
      <c r="O363" s="89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09"/>
      <c r="AC363" s="211" t="str">
        <f>IF(F363=VLOOKUP(F363,NXT!$C$12:$C$345,1,0),"","x")</f>
        <v/>
      </c>
    </row>
    <row r="364" spans="1:29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28"/>
        <v>8</v>
      </c>
      <c r="C364" s="184">
        <f t="shared" si="129"/>
        <v>41859</v>
      </c>
      <c r="D364" s="184" t="s">
        <v>932</v>
      </c>
      <c r="E364" s="191">
        <v>41859</v>
      </c>
      <c r="F364" s="192" t="s">
        <v>420</v>
      </c>
      <c r="G364" s="463" t="s">
        <v>619</v>
      </c>
      <c r="H364" s="7" t="s">
        <v>602</v>
      </c>
      <c r="I364" s="251"/>
      <c r="J364" s="251"/>
      <c r="K364" s="563">
        <v>3769876</v>
      </c>
      <c r="L364" s="564" t="s">
        <v>253</v>
      </c>
      <c r="M364" s="564" t="s">
        <v>365</v>
      </c>
      <c r="N364" s="52" t="str">
        <f>IF(AND('331-CT'!$E$7=TH!H364,OR(L364="331",M364="331")),"331",IF(AND(OR(L364="131",M364="131"),H364='131-CT'!$E$7),"131",""))</f>
        <v/>
      </c>
      <c r="O364" s="89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09"/>
      <c r="AC364" s="555" t="str">
        <f>IF(VLOOKUP(H364,DS_131,1,0)&lt;&gt;"","","x")</f>
        <v/>
      </c>
    </row>
    <row r="365" spans="1:29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28"/>
        <v>8</v>
      </c>
      <c r="C365" s="184">
        <f t="shared" si="129"/>
        <v>41863</v>
      </c>
      <c r="D365" s="184" t="s">
        <v>933</v>
      </c>
      <c r="E365" s="191">
        <v>41863</v>
      </c>
      <c r="F365" s="192" t="s">
        <v>459</v>
      </c>
      <c r="G365" s="463" t="s">
        <v>624</v>
      </c>
      <c r="H365" s="7" t="s">
        <v>461</v>
      </c>
      <c r="I365" s="251">
        <v>1043</v>
      </c>
      <c r="J365" s="251">
        <v>8740</v>
      </c>
      <c r="K365" s="563">
        <f>ROUND(I365*J365,0)</f>
        <v>9115820</v>
      </c>
      <c r="L365" s="564" t="s">
        <v>253</v>
      </c>
      <c r="M365" s="564" t="s">
        <v>177</v>
      </c>
      <c r="N365" s="52" t="str">
        <f>IF(AND('331-CT'!$E$7=TH!H365,OR(L365="331",M365="331")),"331",IF(AND(OR(L365="131",M365="131"),H365='131-CT'!$E$7),"131",""))</f>
        <v/>
      </c>
      <c r="O365" s="89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09"/>
      <c r="AC365" s="211" t="str">
        <f>IF(F365=VLOOKUP(F365,NXT!$C$12:$C$345,1,0),"","x")</f>
        <v/>
      </c>
    </row>
    <row r="366" spans="1:29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28"/>
        <v>8</v>
      </c>
      <c r="C366" s="184">
        <f t="shared" si="129"/>
        <v>41863</v>
      </c>
      <c r="D366" s="184" t="s">
        <v>933</v>
      </c>
      <c r="E366" s="191">
        <v>41863</v>
      </c>
      <c r="F366" s="192" t="s">
        <v>420</v>
      </c>
      <c r="G366" s="463" t="s">
        <v>624</v>
      </c>
      <c r="H366" s="7" t="s">
        <v>461</v>
      </c>
      <c r="I366" s="251"/>
      <c r="J366" s="251"/>
      <c r="K366" s="563">
        <v>911582</v>
      </c>
      <c r="L366" s="564" t="s">
        <v>253</v>
      </c>
      <c r="M366" s="564" t="s">
        <v>365</v>
      </c>
      <c r="N366" s="52" t="str">
        <f>IF(AND('331-CT'!$E$7=TH!H366,OR(L366="331",M366="331")),"331",IF(AND(OR(L366="131",M366="131"),H366='131-CT'!$E$7),"131",""))</f>
        <v/>
      </c>
      <c r="O366" s="89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09"/>
      <c r="AC366" s="555" t="str">
        <f>IF(VLOOKUP(H366,DS_131,1,0)&lt;&gt;"","","x")</f>
        <v/>
      </c>
    </row>
    <row r="367" spans="1:29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ref="B367" si="130">IF(C367&lt;&gt;"",MONTH(C367),"")</f>
        <v>8</v>
      </c>
      <c r="C367" s="184">
        <f t="shared" ref="C367" si="131">E367</f>
        <v>41863</v>
      </c>
      <c r="D367" s="184"/>
      <c r="E367" s="191">
        <v>41863</v>
      </c>
      <c r="F367" s="192" t="s">
        <v>894</v>
      </c>
      <c r="G367" s="463" t="s">
        <v>624</v>
      </c>
      <c r="H367" s="7" t="s">
        <v>461</v>
      </c>
      <c r="I367" s="251"/>
      <c r="J367" s="251"/>
      <c r="K367" s="563">
        <v>10027402</v>
      </c>
      <c r="L367" s="564" t="s">
        <v>47</v>
      </c>
      <c r="M367" s="564" t="s">
        <v>253</v>
      </c>
      <c r="N367" s="52" t="str">
        <f>IF(AND('331-CT'!$E$7=TH!H367,OR(L367="331",M367="331")),"331",IF(AND(OR(L367="131",M367="131"),H367='131-CT'!$E$7),"131",""))</f>
        <v/>
      </c>
      <c r="O367" s="89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09"/>
      <c r="AC367" s="555" t="str">
        <f>IF(VLOOKUP(H367,DS_131,1,0)&lt;&gt;"","","x")</f>
        <v/>
      </c>
    </row>
    <row r="368" spans="1:29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28"/>
        <v>8</v>
      </c>
      <c r="C368" s="184">
        <f t="shared" si="129"/>
        <v>41864</v>
      </c>
      <c r="D368" s="184" t="s">
        <v>934</v>
      </c>
      <c r="E368" s="191">
        <v>41864</v>
      </c>
      <c r="F368" s="192" t="s">
        <v>436</v>
      </c>
      <c r="G368" s="463" t="s">
        <v>625</v>
      </c>
      <c r="H368" s="7" t="s">
        <v>438</v>
      </c>
      <c r="I368" s="251">
        <v>650</v>
      </c>
      <c r="J368" s="251">
        <v>10500</v>
      </c>
      <c r="K368" s="563">
        <f>ROUND(I368*J368,0)</f>
        <v>6825000</v>
      </c>
      <c r="L368" s="564" t="s">
        <v>253</v>
      </c>
      <c r="M368" s="564" t="s">
        <v>177</v>
      </c>
      <c r="N368" s="52" t="str">
        <f>IF(AND('331-CT'!$E$7=TH!H368,OR(L368="331",M368="331")),"331",IF(AND(OR(L368="131",M368="131"),H368='131-CT'!$E$7),"131",""))</f>
        <v/>
      </c>
      <c r="O368" s="89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09"/>
      <c r="AC368" s="211" t="str">
        <f>IF(F368=VLOOKUP(F368,NXT!$C$12:$C$345,1,0),"","x")</f>
        <v/>
      </c>
    </row>
    <row r="369" spans="1:29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28"/>
        <v>8</v>
      </c>
      <c r="C369" s="184">
        <f t="shared" si="129"/>
        <v>41864</v>
      </c>
      <c r="D369" s="184" t="s">
        <v>934</v>
      </c>
      <c r="E369" s="191">
        <v>41864</v>
      </c>
      <c r="F369" s="192" t="s">
        <v>420</v>
      </c>
      <c r="G369" s="463" t="s">
        <v>625</v>
      </c>
      <c r="H369" s="7" t="s">
        <v>438</v>
      </c>
      <c r="I369" s="251"/>
      <c r="J369" s="251"/>
      <c r="K369" s="563">
        <v>682500</v>
      </c>
      <c r="L369" s="564" t="s">
        <v>253</v>
      </c>
      <c r="M369" s="564" t="s">
        <v>365</v>
      </c>
      <c r="N369" s="52" t="str">
        <f>IF(AND('331-CT'!$E$7=TH!H369,OR(L369="331",M369="331")),"331",IF(AND(OR(L369="131",M369="131"),H369='131-CT'!$E$7),"131",""))</f>
        <v/>
      </c>
      <c r="O369" s="89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09"/>
      <c r="AC369" s="555" t="str">
        <f>IF(VLOOKUP(H369,DS_131,1,0)&lt;&gt;"","","x")</f>
        <v/>
      </c>
    </row>
    <row r="370" spans="1:29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132">IF(C370&lt;&gt;"",MONTH(C370),"")</f>
        <v>8</v>
      </c>
      <c r="C370" s="184">
        <f t="shared" ref="C370" si="133">E370</f>
        <v>41864</v>
      </c>
      <c r="D370" s="184"/>
      <c r="E370" s="191">
        <v>41864</v>
      </c>
      <c r="F370" s="192" t="s">
        <v>894</v>
      </c>
      <c r="G370" s="463" t="s">
        <v>625</v>
      </c>
      <c r="H370" s="7" t="s">
        <v>438</v>
      </c>
      <c r="I370" s="251"/>
      <c r="J370" s="251"/>
      <c r="K370" s="563">
        <v>7507500</v>
      </c>
      <c r="L370" s="564" t="s">
        <v>47</v>
      </c>
      <c r="M370" s="564" t="s">
        <v>253</v>
      </c>
      <c r="N370" s="52" t="str">
        <f>IF(AND('331-CT'!$E$7=TH!H370,OR(L370="331",M370="331")),"331",IF(AND(OR(L370="131",M370="131"),H370='131-CT'!$E$7),"131",""))</f>
        <v/>
      </c>
      <c r="O370" s="890" t="str">
        <f>IF(AND('341-CT'!$E$9=H370,OR(LEFT(L370,3)=$O$7,LEFT(M370,3)=$O$7)),"x","")</f>
        <v/>
      </c>
      <c r="P370" s="52" t="str">
        <f>IF(AND($B370&gt;='111'!$N$11,$B370&lt;='111'!$O$11,OR($L370=$P$7,$M370=$P$7)),"x","")</f>
        <v>x</v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09"/>
      <c r="AC370" s="555" t="str">
        <f>IF(VLOOKUP(H370,DS_131,1,0)&lt;&gt;"","","x")</f>
        <v/>
      </c>
    </row>
    <row r="371" spans="1:29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28"/>
        <v>8</v>
      </c>
      <c r="C371" s="184">
        <f t="shared" si="129"/>
        <v>41865</v>
      </c>
      <c r="D371" s="184" t="s">
        <v>935</v>
      </c>
      <c r="E371" s="191">
        <v>41865</v>
      </c>
      <c r="F371" s="192" t="s">
        <v>494</v>
      </c>
      <c r="G371" s="463" t="s">
        <v>626</v>
      </c>
      <c r="H371" s="7" t="s">
        <v>907</v>
      </c>
      <c r="I371" s="251">
        <v>208</v>
      </c>
      <c r="J371" s="251">
        <v>8600</v>
      </c>
      <c r="K371" s="563">
        <f>ROUND(I371*J371,0)</f>
        <v>1788800</v>
      </c>
      <c r="L371" s="564" t="s">
        <v>253</v>
      </c>
      <c r="M371" s="564" t="s">
        <v>177</v>
      </c>
      <c r="N371" s="52" t="str">
        <f>IF(AND('331-CT'!$E$7=TH!H371,OR(L371="331",M371="331")),"331",IF(AND(OR(L371="131",M371="131"),H371='131-CT'!$E$7),"131",""))</f>
        <v/>
      </c>
      <c r="O371" s="89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09"/>
      <c r="AC371" s="211" t="str">
        <f>IF(F371=VLOOKUP(F371,NXT!$C$12:$C$345,1,0),"","x")</f>
        <v/>
      </c>
    </row>
    <row r="372" spans="1:29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28"/>
        <v>8</v>
      </c>
      <c r="C372" s="184">
        <f t="shared" si="129"/>
        <v>41865</v>
      </c>
      <c r="D372" s="184" t="s">
        <v>935</v>
      </c>
      <c r="E372" s="191">
        <v>41865</v>
      </c>
      <c r="F372" s="192" t="s">
        <v>512</v>
      </c>
      <c r="G372" s="463" t="s">
        <v>626</v>
      </c>
      <c r="H372" s="7" t="s">
        <v>907</v>
      </c>
      <c r="I372" s="251">
        <v>320</v>
      </c>
      <c r="J372" s="251">
        <v>7000</v>
      </c>
      <c r="K372" s="563">
        <f>ROUND(I372*J372,0)</f>
        <v>2240000</v>
      </c>
      <c r="L372" s="564" t="s">
        <v>253</v>
      </c>
      <c r="M372" s="564" t="s">
        <v>177</v>
      </c>
      <c r="N372" s="52" t="str">
        <f>IF(AND('331-CT'!$E$7=TH!H372,OR(L372="331",M372="331")),"331",IF(AND(OR(L372="131",M372="131"),H372='131-CT'!$E$7),"131",""))</f>
        <v/>
      </c>
      <c r="O372" s="89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09"/>
      <c r="AC372" s="211" t="str">
        <f>IF(F372=VLOOKUP(F372,NXT!$C$12:$C$345,1,0),"","x")</f>
        <v/>
      </c>
    </row>
    <row r="373" spans="1:29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28"/>
        <v>8</v>
      </c>
      <c r="C373" s="184">
        <f t="shared" si="129"/>
        <v>41865</v>
      </c>
      <c r="D373" s="184" t="s">
        <v>935</v>
      </c>
      <c r="E373" s="191">
        <v>41865</v>
      </c>
      <c r="F373" s="192" t="s">
        <v>420</v>
      </c>
      <c r="G373" s="463" t="s">
        <v>626</v>
      </c>
      <c r="H373" s="7" t="s">
        <v>907</v>
      </c>
      <c r="I373" s="251"/>
      <c r="J373" s="251"/>
      <c r="K373" s="563">
        <v>402880</v>
      </c>
      <c r="L373" s="564" t="s">
        <v>253</v>
      </c>
      <c r="M373" s="564" t="s">
        <v>365</v>
      </c>
      <c r="N373" s="52" t="str">
        <f>IF(AND('331-CT'!$E$7=TH!H373,OR(L373="331",M373="331")),"331",IF(AND(OR(L373="131",M373="131"),H373='131-CT'!$E$7),"131",""))</f>
        <v/>
      </c>
      <c r="O373" s="89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09"/>
      <c r="AC373" s="555" t="str">
        <f>IF(VLOOKUP(H373,DS_131,1,0)&lt;&gt;"","","x")</f>
        <v/>
      </c>
    </row>
    <row r="374" spans="1:29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28"/>
        <v>8</v>
      </c>
      <c r="C374" s="184">
        <f t="shared" si="129"/>
        <v>41865</v>
      </c>
      <c r="D374" s="184" t="s">
        <v>936</v>
      </c>
      <c r="E374" s="191">
        <v>41865</v>
      </c>
      <c r="F374" s="192" t="s">
        <v>586</v>
      </c>
      <c r="G374" s="463" t="s">
        <v>627</v>
      </c>
      <c r="H374" s="7" t="s">
        <v>582</v>
      </c>
      <c r="I374" s="251">
        <v>740</v>
      </c>
      <c r="J374" s="251">
        <v>9100</v>
      </c>
      <c r="K374" s="563">
        <f>ROUND(I374*J374,0)</f>
        <v>6734000</v>
      </c>
      <c r="L374" s="564" t="s">
        <v>253</v>
      </c>
      <c r="M374" s="564" t="s">
        <v>177</v>
      </c>
      <c r="N374" s="52" t="str">
        <f>IF(AND('331-CT'!$E$7=TH!H374,OR(L374="331",M374="331")),"331",IF(AND(OR(L374="131",M374="131"),H374='131-CT'!$E$7),"131",""))</f>
        <v/>
      </c>
      <c r="O374" s="89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09"/>
      <c r="AC374" s="211" t="str">
        <f>IF(F374=VLOOKUP(F374,NXT!$C$12:$C$345,1,0),"","x")</f>
        <v/>
      </c>
    </row>
    <row r="375" spans="1:29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28"/>
        <v>8</v>
      </c>
      <c r="C375" s="184">
        <f t="shared" si="129"/>
        <v>41865</v>
      </c>
      <c r="D375" s="184" t="s">
        <v>936</v>
      </c>
      <c r="E375" s="191">
        <v>41865</v>
      </c>
      <c r="F375" s="192" t="s">
        <v>420</v>
      </c>
      <c r="G375" s="463" t="s">
        <v>627</v>
      </c>
      <c r="H375" s="7" t="s">
        <v>582</v>
      </c>
      <c r="I375" s="251"/>
      <c r="J375" s="251"/>
      <c r="K375" s="563">
        <v>673400</v>
      </c>
      <c r="L375" s="564" t="s">
        <v>253</v>
      </c>
      <c r="M375" s="564" t="s">
        <v>365</v>
      </c>
      <c r="N375" s="52" t="str">
        <f>IF(AND('331-CT'!$E$7=TH!H375,OR(L375="331",M375="331")),"331",IF(AND(OR(L375="131",M375="131"),H375='131-CT'!$E$7),"131",""))</f>
        <v/>
      </c>
      <c r="O375" s="89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09"/>
      <c r="AC375" s="555" t="str">
        <f>IF(VLOOKUP(H375,DS_131,1,0)&lt;&gt;"","","x")</f>
        <v/>
      </c>
    </row>
    <row r="376" spans="1:29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28"/>
        <v>8</v>
      </c>
      <c r="C376" s="184">
        <f t="shared" si="129"/>
        <v>41866</v>
      </c>
      <c r="D376" s="184" t="s">
        <v>937</v>
      </c>
      <c r="E376" s="191">
        <v>41866</v>
      </c>
      <c r="F376" s="192" t="s">
        <v>628</v>
      </c>
      <c r="G376" s="463" t="s">
        <v>629</v>
      </c>
      <c r="H376" s="7" t="s">
        <v>469</v>
      </c>
      <c r="I376" s="251">
        <v>100</v>
      </c>
      <c r="J376" s="251">
        <v>4600</v>
      </c>
      <c r="K376" s="563">
        <f>ROUND(I376*J376,0)</f>
        <v>460000</v>
      </c>
      <c r="L376" s="564" t="s">
        <v>253</v>
      </c>
      <c r="M376" s="564" t="s">
        <v>177</v>
      </c>
      <c r="N376" s="52" t="str">
        <f>IF(AND('331-CT'!$E$7=TH!H376,OR(L376="331",M376="331")),"331",IF(AND(OR(L376="131",M376="131"),H376='131-CT'!$E$7),"131",""))</f>
        <v/>
      </c>
      <c r="O376" s="89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09"/>
      <c r="AC376" s="211" t="str">
        <f>IF(F376=VLOOKUP(F376,NXT!$C$12:$C$345,1,0),"","x")</f>
        <v/>
      </c>
    </row>
    <row r="377" spans="1:29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28"/>
        <v>8</v>
      </c>
      <c r="C377" s="184">
        <f t="shared" si="129"/>
        <v>41866</v>
      </c>
      <c r="D377" s="184" t="s">
        <v>937</v>
      </c>
      <c r="E377" s="191">
        <v>41866</v>
      </c>
      <c r="F377" s="192" t="s">
        <v>523</v>
      </c>
      <c r="G377" s="463" t="s">
        <v>629</v>
      </c>
      <c r="H377" s="7" t="s">
        <v>469</v>
      </c>
      <c r="I377" s="251">
        <v>120</v>
      </c>
      <c r="J377" s="251">
        <v>4700</v>
      </c>
      <c r="K377" s="563">
        <f>ROUND(I377*J377,0)</f>
        <v>564000</v>
      </c>
      <c r="L377" s="564" t="s">
        <v>253</v>
      </c>
      <c r="M377" s="564" t="s">
        <v>177</v>
      </c>
      <c r="N377" s="52" t="str">
        <f>IF(AND('331-CT'!$E$7=TH!H377,OR(L377="331",M377="331")),"331",IF(AND(OR(L377="131",M377="131"),H377='131-CT'!$E$7),"131",""))</f>
        <v/>
      </c>
      <c r="O377" s="89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09"/>
      <c r="AC377" s="211" t="str">
        <f>IF(F377=VLOOKUP(F377,NXT!$C$12:$C$345,1,0),"","x")</f>
        <v/>
      </c>
    </row>
    <row r="378" spans="1:29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28"/>
        <v>8</v>
      </c>
      <c r="C378" s="184">
        <f t="shared" si="129"/>
        <v>41866</v>
      </c>
      <c r="D378" s="184" t="s">
        <v>937</v>
      </c>
      <c r="E378" s="191">
        <v>41866</v>
      </c>
      <c r="F378" s="192" t="s">
        <v>630</v>
      </c>
      <c r="G378" s="463" t="s">
        <v>629</v>
      </c>
      <c r="H378" s="7" t="s">
        <v>469</v>
      </c>
      <c r="I378" s="251">
        <v>470</v>
      </c>
      <c r="J378" s="251">
        <v>3600</v>
      </c>
      <c r="K378" s="563">
        <f>ROUND(I378*J378,0)</f>
        <v>1692000</v>
      </c>
      <c r="L378" s="564" t="s">
        <v>253</v>
      </c>
      <c r="M378" s="564" t="s">
        <v>177</v>
      </c>
      <c r="N378" s="52" t="str">
        <f>IF(AND('331-CT'!$E$7=TH!H378,OR(L378="331",M378="331")),"331",IF(AND(OR(L378="131",M378="131"),H378='131-CT'!$E$7),"131",""))</f>
        <v/>
      </c>
      <c r="O378" s="890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09"/>
      <c r="AC378" s="211" t="str">
        <f>IF(F378=VLOOKUP(F378,NXT!$C$12:$C$345,1,0),"","x")</f>
        <v/>
      </c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28"/>
        <v>8</v>
      </c>
      <c r="C379" s="184">
        <f t="shared" si="129"/>
        <v>41866</v>
      </c>
      <c r="D379" s="184" t="s">
        <v>937</v>
      </c>
      <c r="E379" s="191">
        <v>41866</v>
      </c>
      <c r="F379" s="192" t="s">
        <v>631</v>
      </c>
      <c r="G379" s="463" t="s">
        <v>629</v>
      </c>
      <c r="H379" s="7" t="s">
        <v>469</v>
      </c>
      <c r="I379" s="251">
        <v>350</v>
      </c>
      <c r="J379" s="251">
        <v>3800</v>
      </c>
      <c r="K379" s="563">
        <f>ROUND(I379*J379,0)</f>
        <v>1330000</v>
      </c>
      <c r="L379" s="564" t="s">
        <v>253</v>
      </c>
      <c r="M379" s="564" t="s">
        <v>177</v>
      </c>
      <c r="N379" s="52" t="str">
        <f>IF(AND('331-CT'!$E$7=TH!H379,OR(L379="331",M379="331")),"331",IF(AND(OR(L379="131",M379="131"),H379='131-CT'!$E$7),"131",""))</f>
        <v/>
      </c>
      <c r="O379" s="89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09"/>
      <c r="AC379" s="211" t="str">
        <f>IF(F379=VLOOKUP(F379,NXT!$C$12:$C$345,1,0),"","x")</f>
        <v/>
      </c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28"/>
        <v>8</v>
      </c>
      <c r="C380" s="184">
        <f t="shared" si="129"/>
        <v>41866</v>
      </c>
      <c r="D380" s="184" t="s">
        <v>937</v>
      </c>
      <c r="E380" s="191">
        <v>41866</v>
      </c>
      <c r="F380" s="192" t="s">
        <v>632</v>
      </c>
      <c r="G380" s="463" t="s">
        <v>629</v>
      </c>
      <c r="H380" s="7" t="s">
        <v>469</v>
      </c>
      <c r="I380" s="251">
        <v>330</v>
      </c>
      <c r="J380" s="251">
        <v>5650</v>
      </c>
      <c r="K380" s="563">
        <f>ROUND(I380*J380,0)</f>
        <v>1864500</v>
      </c>
      <c r="L380" s="564" t="s">
        <v>253</v>
      </c>
      <c r="M380" s="564" t="s">
        <v>177</v>
      </c>
      <c r="N380" s="52" t="str">
        <f>IF(AND('331-CT'!$E$7=TH!H380,OR(L380="331",M380="331")),"331",IF(AND(OR(L380="131",M380="131"),H380='131-CT'!$E$7),"131",""))</f>
        <v/>
      </c>
      <c r="O380" s="89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09"/>
      <c r="AC380" s="211" t="str">
        <f>IF(F380=VLOOKUP(F380,NXT!$C$12:$C$345,1,0),"","x")</f>
        <v/>
      </c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28"/>
        <v>8</v>
      </c>
      <c r="C381" s="184">
        <f t="shared" si="129"/>
        <v>41866</v>
      </c>
      <c r="D381" s="184" t="s">
        <v>937</v>
      </c>
      <c r="E381" s="191">
        <v>41866</v>
      </c>
      <c r="F381" s="192" t="s">
        <v>420</v>
      </c>
      <c r="G381" s="463" t="s">
        <v>629</v>
      </c>
      <c r="H381" s="7" t="s">
        <v>469</v>
      </c>
      <c r="I381" s="251"/>
      <c r="J381" s="251"/>
      <c r="K381" s="563">
        <v>591050</v>
      </c>
      <c r="L381" s="564" t="s">
        <v>253</v>
      </c>
      <c r="M381" s="564" t="s">
        <v>365</v>
      </c>
      <c r="N381" s="52" t="str">
        <f>IF(AND('331-CT'!$E$7=TH!H381,OR(L381="331",M381="331")),"331",IF(AND(OR(L381="131",M381="131"),H381='131-CT'!$E$7),"131",""))</f>
        <v/>
      </c>
      <c r="O381" s="890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09"/>
      <c r="AC381" s="555" t="str">
        <f>IF(VLOOKUP(H381,DS_131,1,0)&lt;&gt;"","","x")</f>
        <v/>
      </c>
    </row>
    <row r="382" spans="1:29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28"/>
        <v>8</v>
      </c>
      <c r="C382" s="184">
        <f t="shared" si="129"/>
        <v>41866</v>
      </c>
      <c r="D382" s="184" t="s">
        <v>938</v>
      </c>
      <c r="E382" s="191">
        <v>41866</v>
      </c>
      <c r="F382" s="192" t="s">
        <v>423</v>
      </c>
      <c r="G382" s="463" t="s">
        <v>633</v>
      </c>
      <c r="H382" s="7" t="s">
        <v>425</v>
      </c>
      <c r="I382" s="251">
        <v>488</v>
      </c>
      <c r="J382" s="251">
        <v>10200</v>
      </c>
      <c r="K382" s="563">
        <f>ROUND(I382*J382,0)</f>
        <v>4977600</v>
      </c>
      <c r="L382" s="564" t="s">
        <v>253</v>
      </c>
      <c r="M382" s="564" t="s">
        <v>177</v>
      </c>
      <c r="N382" s="52" t="str">
        <f>IF(AND('331-CT'!$E$7=TH!H382,OR(L382="331",M382="331")),"331",IF(AND(OR(L382="131",M382="131"),H382='131-CT'!$E$7),"131",""))</f>
        <v/>
      </c>
      <c r="O382" s="89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09"/>
      <c r="AC382" s="211" t="str">
        <f>IF(F382=VLOOKUP(F382,NXT!$C$12:$C$345,1,0),"","x")</f>
        <v/>
      </c>
    </row>
    <row r="383" spans="1:29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28"/>
        <v>8</v>
      </c>
      <c r="C383" s="184">
        <f t="shared" si="129"/>
        <v>41866</v>
      </c>
      <c r="D383" s="184" t="s">
        <v>938</v>
      </c>
      <c r="E383" s="191">
        <v>41866</v>
      </c>
      <c r="F383" s="192" t="s">
        <v>420</v>
      </c>
      <c r="G383" s="463" t="s">
        <v>633</v>
      </c>
      <c r="H383" s="7" t="s">
        <v>425</v>
      </c>
      <c r="I383" s="251"/>
      <c r="J383" s="251"/>
      <c r="K383" s="563">
        <v>497760</v>
      </c>
      <c r="L383" s="564" t="s">
        <v>253</v>
      </c>
      <c r="M383" s="564" t="s">
        <v>365</v>
      </c>
      <c r="N383" s="52" t="str">
        <f>IF(AND('331-CT'!$E$7=TH!H383,OR(L383="331",M383="331")),"331",IF(AND(OR(L383="131",M383="131"),H383='131-CT'!$E$7),"131",""))</f>
        <v/>
      </c>
      <c r="O383" s="89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09"/>
      <c r="AC383" s="555" t="str">
        <f>IF(VLOOKUP(H383,DS_131,1,0)&lt;&gt;"","","x")</f>
        <v/>
      </c>
    </row>
    <row r="384" spans="1:29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134">IF(C384&lt;&gt;"",MONTH(C384),"")</f>
        <v>8</v>
      </c>
      <c r="C384" s="184">
        <f t="shared" ref="C384" si="135">E384</f>
        <v>41866</v>
      </c>
      <c r="D384" s="184"/>
      <c r="E384" s="191">
        <v>41866</v>
      </c>
      <c r="F384" s="192" t="s">
        <v>894</v>
      </c>
      <c r="G384" s="463" t="s">
        <v>633</v>
      </c>
      <c r="H384" s="7" t="s">
        <v>425</v>
      </c>
      <c r="I384" s="251"/>
      <c r="J384" s="251"/>
      <c r="K384" s="563">
        <v>5475360</v>
      </c>
      <c r="L384" s="564" t="s">
        <v>47</v>
      </c>
      <c r="M384" s="564" t="s">
        <v>253</v>
      </c>
      <c r="N384" s="52" t="str">
        <f>IF(AND('331-CT'!$E$7=TH!H384,OR(L384="331",M384="331")),"331",IF(AND(OR(L384="131",M384="131"),H384='131-CT'!$E$7),"131",""))</f>
        <v/>
      </c>
      <c r="O384" s="89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09"/>
      <c r="AC384" s="555" t="str">
        <f>IF(VLOOKUP(H384,DS_131,1,0)&lt;&gt;"","","x")</f>
        <v/>
      </c>
    </row>
    <row r="385" spans="1:31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28"/>
        <v>8</v>
      </c>
      <c r="C385" s="184">
        <f t="shared" si="129"/>
        <v>41869</v>
      </c>
      <c r="D385" s="184" t="s">
        <v>939</v>
      </c>
      <c r="E385" s="191">
        <v>41869</v>
      </c>
      <c r="F385" s="192" t="s">
        <v>634</v>
      </c>
      <c r="G385" s="463" t="s">
        <v>635</v>
      </c>
      <c r="H385" s="7" t="s">
        <v>907</v>
      </c>
      <c r="I385" s="251">
        <v>200</v>
      </c>
      <c r="J385" s="251">
        <v>7000</v>
      </c>
      <c r="K385" s="563">
        <f>ROUND(I385*J385,0)</f>
        <v>1400000</v>
      </c>
      <c r="L385" s="564" t="s">
        <v>253</v>
      </c>
      <c r="M385" s="564" t="s">
        <v>177</v>
      </c>
      <c r="N385" s="52" t="str">
        <f>IF(AND('331-CT'!$E$7=TH!H385,OR(L385="331",M385="331")),"331",IF(AND(OR(L385="131",M385="131"),H385='131-CT'!$E$7),"131",""))</f>
        <v/>
      </c>
      <c r="O385" s="890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09"/>
      <c r="AC385" s="211" t="str">
        <f>IF(F385=VLOOKUP(F385,NXT!$C$12:$C$345,1,0),"","x")</f>
        <v/>
      </c>
    </row>
    <row r="386" spans="1:31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28"/>
        <v>8</v>
      </c>
      <c r="C386" s="184">
        <f t="shared" si="129"/>
        <v>41869</v>
      </c>
      <c r="D386" s="184" t="s">
        <v>939</v>
      </c>
      <c r="E386" s="191">
        <v>41869</v>
      </c>
      <c r="F386" s="192" t="s">
        <v>420</v>
      </c>
      <c r="G386" s="463" t="s">
        <v>635</v>
      </c>
      <c r="H386" s="7" t="s">
        <v>907</v>
      </c>
      <c r="I386" s="251"/>
      <c r="J386" s="251"/>
      <c r="K386" s="563">
        <v>140000</v>
      </c>
      <c r="L386" s="564" t="s">
        <v>253</v>
      </c>
      <c r="M386" s="564" t="s">
        <v>365</v>
      </c>
      <c r="N386" s="52" t="str">
        <f>IF(AND('331-CT'!$E$7=TH!H386,OR(L386="331",M386="331")),"331",IF(AND(OR(L386="131",M386="131"),H386='131-CT'!$E$7),"131",""))</f>
        <v/>
      </c>
      <c r="O386" s="89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09"/>
      <c r="AC386" s="555" t="str">
        <f>IF(VLOOKUP(H386,DS_131,1,0)&lt;&gt;"","","x")</f>
        <v/>
      </c>
    </row>
    <row r="387" spans="1:31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28"/>
        <v>8</v>
      </c>
      <c r="C387" s="184">
        <f t="shared" si="129"/>
        <v>41871</v>
      </c>
      <c r="D387" s="184" t="s">
        <v>940</v>
      </c>
      <c r="E387" s="191">
        <v>41871</v>
      </c>
      <c r="F387" s="192" t="s">
        <v>586</v>
      </c>
      <c r="G387" s="463" t="s">
        <v>636</v>
      </c>
      <c r="H387" s="7" t="s">
        <v>582</v>
      </c>
      <c r="I387" s="251">
        <v>350</v>
      </c>
      <c r="J387" s="251">
        <v>9100</v>
      </c>
      <c r="K387" s="563">
        <f>ROUND(I387*J387,0)</f>
        <v>3185000</v>
      </c>
      <c r="L387" s="564" t="s">
        <v>253</v>
      </c>
      <c r="M387" s="564" t="s">
        <v>177</v>
      </c>
      <c r="N387" s="52" t="str">
        <f>IF(AND('331-CT'!$E$7=TH!H387,OR(L387="331",M387="331")),"331",IF(AND(OR(L387="131",M387="131"),H387='131-CT'!$E$7),"131",""))</f>
        <v/>
      </c>
      <c r="O387" s="89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09"/>
      <c r="AC387" s="211" t="str">
        <f>IF(F387=VLOOKUP(F387,NXT!$C$12:$C$345,1,0),"","x")</f>
        <v/>
      </c>
    </row>
    <row r="388" spans="1:31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28"/>
        <v>8</v>
      </c>
      <c r="C388" s="184">
        <f t="shared" si="129"/>
        <v>41871</v>
      </c>
      <c r="D388" s="184" t="s">
        <v>940</v>
      </c>
      <c r="E388" s="191">
        <v>41871</v>
      </c>
      <c r="F388" s="192" t="s">
        <v>420</v>
      </c>
      <c r="G388" s="463" t="s">
        <v>636</v>
      </c>
      <c r="H388" s="7" t="s">
        <v>582</v>
      </c>
      <c r="I388" s="251"/>
      <c r="J388" s="251"/>
      <c r="K388" s="563">
        <v>318500</v>
      </c>
      <c r="L388" s="564" t="s">
        <v>253</v>
      </c>
      <c r="M388" s="564" t="s">
        <v>365</v>
      </c>
      <c r="N388" s="52" t="str">
        <f>IF(AND('331-CT'!$E$7=TH!H388,OR(L388="331",M388="331")),"331",IF(AND(OR(L388="131",M388="131"),H388='131-CT'!$E$7),"131",""))</f>
        <v/>
      </c>
      <c r="O388" s="89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09"/>
      <c r="AC388" s="555" t="str">
        <f>IF(VLOOKUP(H388,DS_131,1,0)&lt;&gt;"","","x")</f>
        <v/>
      </c>
    </row>
    <row r="389" spans="1:31" s="555" customFormat="1" ht="15.75" customHeight="1">
      <c r="A389" s="204" t="str">
        <f>IF(B389&lt;&gt;"",IF(AND(B389&gt;=_TM1,B389&lt;=_TM2,OR(TH!L389="1111",TH!M389="1111")),TH!D389,""),"")</f>
        <v/>
      </c>
      <c r="B389" s="36">
        <f t="shared" si="128"/>
        <v>8</v>
      </c>
      <c r="C389" s="184">
        <f t="shared" si="129"/>
        <v>41871</v>
      </c>
      <c r="D389" s="184" t="s">
        <v>941</v>
      </c>
      <c r="E389" s="191">
        <v>41871</v>
      </c>
      <c r="F389" s="192" t="s">
        <v>637</v>
      </c>
      <c r="G389" s="463" t="s">
        <v>638</v>
      </c>
      <c r="H389" s="7" t="s">
        <v>454</v>
      </c>
      <c r="I389" s="251">
        <v>500</v>
      </c>
      <c r="J389" s="251">
        <v>13500</v>
      </c>
      <c r="K389" s="563">
        <f>ROUND(I389*J389,0)</f>
        <v>6750000</v>
      </c>
      <c r="L389" s="564" t="s">
        <v>253</v>
      </c>
      <c r="M389" s="564" t="s">
        <v>177</v>
      </c>
      <c r="N389" s="52" t="str">
        <f>IF(AND('331-CT'!$E$7=TH!H389,OR(L389="331",M389="331")),"331",IF(AND(OR(L389="131",M389="131"),H389='131-CT'!$E$7),"131",""))</f>
        <v>131</v>
      </c>
      <c r="O389" s="89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09"/>
      <c r="AC389" s="211" t="str">
        <f>IF(F389=VLOOKUP(F389,NXT!$C$12:$C$345,1,0),"","x")</f>
        <v/>
      </c>
      <c r="AD389" s="211"/>
      <c r="AE389" s="211"/>
    </row>
    <row r="390" spans="1:31" s="555" customFormat="1" ht="15.75" customHeight="1">
      <c r="A390" s="204" t="str">
        <f>IF(B390&lt;&gt;"",IF(AND(B390&gt;=_TM1,B390&lt;=_TM2,OR(TH!L390="1111",TH!M390="1111")),TH!D390,""),"")</f>
        <v/>
      </c>
      <c r="B390" s="36">
        <f t="shared" si="128"/>
        <v>8</v>
      </c>
      <c r="C390" s="184">
        <f t="shared" si="129"/>
        <v>41871</v>
      </c>
      <c r="D390" s="184" t="s">
        <v>941</v>
      </c>
      <c r="E390" s="191">
        <v>41871</v>
      </c>
      <c r="F390" s="192" t="s">
        <v>420</v>
      </c>
      <c r="G390" s="463" t="s">
        <v>638</v>
      </c>
      <c r="H390" s="7" t="s">
        <v>454</v>
      </c>
      <c r="I390" s="251"/>
      <c r="J390" s="251"/>
      <c r="K390" s="563">
        <v>675000</v>
      </c>
      <c r="L390" s="564" t="s">
        <v>253</v>
      </c>
      <c r="M390" s="564" t="s">
        <v>365</v>
      </c>
      <c r="N390" s="52" t="str">
        <f>IF(AND('331-CT'!$E$7=TH!H390,OR(L390="331",M390="331")),"331",IF(AND(OR(L390="131",M390="131"),H390='131-CT'!$E$7),"131",""))</f>
        <v>131</v>
      </c>
      <c r="O390" s="890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09"/>
      <c r="AC390" s="555" t="str">
        <f>IF(VLOOKUP(H390,DS_131,1,0)&lt;&gt;"","","x")</f>
        <v/>
      </c>
      <c r="AD390" s="211"/>
      <c r="AE390" s="211"/>
    </row>
    <row r="391" spans="1:31" s="555" customFormat="1" ht="15.75" customHeight="1">
      <c r="A391" s="204" t="str">
        <f>IF(B391&lt;&gt;"",IF(AND(B391&gt;=_TM1,B391&lt;=_TM2,OR(TH!L391="1111",TH!M391="1111")),TH!D391,""),"")</f>
        <v/>
      </c>
      <c r="B391" s="36">
        <f t="shared" ref="B391" si="136">IF(C391&lt;&gt;"",MONTH(C391),"")</f>
        <v>8</v>
      </c>
      <c r="C391" s="184">
        <f t="shared" ref="C391" si="137">E391</f>
        <v>41871</v>
      </c>
      <c r="D391" s="184"/>
      <c r="E391" s="191">
        <v>41871</v>
      </c>
      <c r="F391" s="192" t="s">
        <v>894</v>
      </c>
      <c r="G391" s="463" t="s">
        <v>638</v>
      </c>
      <c r="H391" s="7" t="s">
        <v>454</v>
      </c>
      <c r="I391" s="251"/>
      <c r="J391" s="251"/>
      <c r="K391" s="563">
        <v>7425000</v>
      </c>
      <c r="L391" s="564" t="s">
        <v>47</v>
      </c>
      <c r="M391" s="564" t="s">
        <v>253</v>
      </c>
      <c r="N391" s="52" t="str">
        <f>IF(AND('331-CT'!$E$7=TH!H391,OR(L391="331",M391="331")),"331",IF(AND(OR(L391="131",M391="131"),H391='131-CT'!$E$7),"131",""))</f>
        <v>131</v>
      </c>
      <c r="O391" s="890" t="str">
        <f>IF(AND('341-CT'!$E$9=H391,OR(LEFT(L391,3)=$O$7,LEFT(M391,3)=$O$7)),"x","")</f>
        <v/>
      </c>
      <c r="P391" s="52" t="str">
        <f>IF(AND($B391&gt;='111'!$N$11,$B391&lt;='111'!$O$11,OR($L391=$P$7,$M391=$P$7)),"x","")</f>
        <v>x</v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09"/>
      <c r="AC391" s="555" t="str">
        <f>IF(VLOOKUP(H391,DS_131,1,0)&lt;&gt;"","","x")</f>
        <v/>
      </c>
      <c r="AD391" s="211"/>
      <c r="AE391" s="211"/>
    </row>
    <row r="392" spans="1:31" s="555" customFormat="1" ht="15.75" customHeight="1">
      <c r="A392" s="204" t="str">
        <f>IF(B392&lt;&gt;"",IF(AND(B392&gt;=_TM1,B392&lt;=_TM2,OR(TH!L392="1111",TH!M392="1111")),TH!D392,""),"")</f>
        <v/>
      </c>
      <c r="B392" s="36">
        <f t="shared" si="128"/>
        <v>8</v>
      </c>
      <c r="C392" s="184">
        <f t="shared" si="129"/>
        <v>41871</v>
      </c>
      <c r="D392" s="184" t="s">
        <v>942</v>
      </c>
      <c r="E392" s="191">
        <v>41871</v>
      </c>
      <c r="F392" s="192" t="s">
        <v>639</v>
      </c>
      <c r="G392" s="463" t="s">
        <v>640</v>
      </c>
      <c r="H392" s="7" t="s">
        <v>641</v>
      </c>
      <c r="I392" s="251">
        <v>550</v>
      </c>
      <c r="J392" s="251">
        <v>4800</v>
      </c>
      <c r="K392" s="563">
        <f>ROUND(I392*J392,0)</f>
        <v>2640000</v>
      </c>
      <c r="L392" s="564" t="s">
        <v>253</v>
      </c>
      <c r="M392" s="564" t="s">
        <v>177</v>
      </c>
      <c r="N392" s="52" t="str">
        <f>IF(AND('331-CT'!$E$7=TH!H392,OR(L392="331",M392="331")),"331",IF(AND(OR(L392="131",M392="131"),H392='131-CT'!$E$7),"131",""))</f>
        <v/>
      </c>
      <c r="O392" s="89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09"/>
      <c r="AC392" s="211" t="str">
        <f>IF(F392=VLOOKUP(F392,NXT!$C$12:$C$345,1,0),"","x")</f>
        <v/>
      </c>
      <c r="AD392" s="211"/>
      <c r="AE392" s="211"/>
    </row>
    <row r="393" spans="1:31" s="555" customFormat="1" ht="15.75" customHeight="1">
      <c r="A393" s="204" t="str">
        <f>IF(B393&lt;&gt;"",IF(AND(B393&gt;=_TM1,B393&lt;=_TM2,OR(TH!L393="1111",TH!M393="1111")),TH!D393,""),"")</f>
        <v/>
      </c>
      <c r="B393" s="36">
        <f t="shared" si="128"/>
        <v>8</v>
      </c>
      <c r="C393" s="184">
        <f t="shared" si="129"/>
        <v>41871</v>
      </c>
      <c r="D393" s="184" t="s">
        <v>942</v>
      </c>
      <c r="E393" s="191">
        <v>41871</v>
      </c>
      <c r="F393" s="192" t="s">
        <v>420</v>
      </c>
      <c r="G393" s="463" t="s">
        <v>640</v>
      </c>
      <c r="H393" s="7" t="s">
        <v>641</v>
      </c>
      <c r="I393" s="251"/>
      <c r="J393" s="251"/>
      <c r="K393" s="563">
        <v>264000</v>
      </c>
      <c r="L393" s="564" t="s">
        <v>253</v>
      </c>
      <c r="M393" s="564" t="s">
        <v>365</v>
      </c>
      <c r="N393" s="52" t="str">
        <f>IF(AND('331-CT'!$E$7=TH!H393,OR(L393="331",M393="331")),"331",IF(AND(OR(L393="131",M393="131"),H393='131-CT'!$E$7),"131",""))</f>
        <v/>
      </c>
      <c r="O393" s="89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09"/>
      <c r="AC393" s="555" t="str">
        <f>IF(VLOOKUP(H393,DS_131,1,0)&lt;&gt;"","","x")</f>
        <v/>
      </c>
      <c r="AD393" s="211"/>
      <c r="AE393" s="211"/>
    </row>
    <row r="394" spans="1:31" s="555" customFormat="1" ht="15.75" customHeight="1">
      <c r="A394" s="204" t="str">
        <f>IF(B394&lt;&gt;"",IF(AND(B394&gt;=_TM1,B394&lt;=_TM2,OR(TH!L394="1111",TH!M394="1111")),TH!D394,""),"")</f>
        <v/>
      </c>
      <c r="B394" s="36">
        <f t="shared" si="128"/>
        <v>8</v>
      </c>
      <c r="C394" s="184">
        <f t="shared" si="129"/>
        <v>41872</v>
      </c>
      <c r="D394" s="184" t="s">
        <v>943</v>
      </c>
      <c r="E394" s="191">
        <v>41872</v>
      </c>
      <c r="F394" s="192" t="s">
        <v>483</v>
      </c>
      <c r="G394" s="463" t="s">
        <v>642</v>
      </c>
      <c r="H394" s="7" t="s">
        <v>907</v>
      </c>
      <c r="I394" s="251">
        <v>196</v>
      </c>
      <c r="J394" s="251">
        <v>12900</v>
      </c>
      <c r="K394" s="563">
        <f>ROUND(I394*J394,0)</f>
        <v>2528400</v>
      </c>
      <c r="L394" s="564" t="s">
        <v>253</v>
      </c>
      <c r="M394" s="564" t="s">
        <v>177</v>
      </c>
      <c r="N394" s="52" t="str">
        <f>IF(AND('331-CT'!$E$7=TH!H394,OR(L394="331",M394="331")),"331",IF(AND(OR(L394="131",M394="131"),H394='131-CT'!$E$7),"131",""))</f>
        <v/>
      </c>
      <c r="O394" s="89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09"/>
      <c r="AC394" s="211" t="str">
        <f>IF(F394=VLOOKUP(F394,NXT!$C$12:$C$345,1,0),"","x")</f>
        <v/>
      </c>
      <c r="AD394" s="211"/>
      <c r="AE394" s="211"/>
    </row>
    <row r="395" spans="1:31" s="555" customFormat="1" ht="15.75" customHeight="1">
      <c r="A395" s="204" t="str">
        <f>IF(B395&lt;&gt;"",IF(AND(B395&gt;=_TM1,B395&lt;=_TM2,OR(TH!L395="1111",TH!M395="1111")),TH!D395,""),"")</f>
        <v/>
      </c>
      <c r="B395" s="36">
        <f t="shared" si="128"/>
        <v>8</v>
      </c>
      <c r="C395" s="184">
        <f t="shared" si="129"/>
        <v>41872</v>
      </c>
      <c r="D395" s="184" t="s">
        <v>943</v>
      </c>
      <c r="E395" s="191">
        <v>41872</v>
      </c>
      <c r="F395" s="192" t="s">
        <v>568</v>
      </c>
      <c r="G395" s="463" t="s">
        <v>642</v>
      </c>
      <c r="H395" s="7" t="s">
        <v>907</v>
      </c>
      <c r="I395" s="251">
        <v>200</v>
      </c>
      <c r="J395" s="251">
        <v>9800</v>
      </c>
      <c r="K395" s="563">
        <f>ROUND(I395*J395,0)</f>
        <v>1960000</v>
      </c>
      <c r="L395" s="564" t="s">
        <v>253</v>
      </c>
      <c r="M395" s="564" t="s">
        <v>177</v>
      </c>
      <c r="N395" s="52" t="str">
        <f>IF(AND('331-CT'!$E$7=TH!H395,OR(L395="331",M395="331")),"331",IF(AND(OR(L395="131",M395="131"),H395='131-CT'!$E$7),"131",""))</f>
        <v/>
      </c>
      <c r="O395" s="89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09"/>
      <c r="AC395" s="211" t="str">
        <f>IF(F395=VLOOKUP(F395,NXT!$C$12:$C$345,1,0),"","x")</f>
        <v/>
      </c>
      <c r="AD395" s="211"/>
      <c r="AE395" s="211"/>
    </row>
    <row r="396" spans="1:31" s="555" customFormat="1" ht="15.75" customHeight="1">
      <c r="A396" s="204" t="str">
        <f>IF(B396&lt;&gt;"",IF(AND(B396&gt;=_TM1,B396&lt;=_TM2,OR(TH!L396="1111",TH!M396="1111")),TH!D396,""),"")</f>
        <v/>
      </c>
      <c r="B396" s="36">
        <f t="shared" si="128"/>
        <v>8</v>
      </c>
      <c r="C396" s="184">
        <f t="shared" si="129"/>
        <v>41872</v>
      </c>
      <c r="D396" s="184" t="s">
        <v>943</v>
      </c>
      <c r="E396" s="184">
        <v>41872</v>
      </c>
      <c r="F396" s="189" t="s">
        <v>420</v>
      </c>
      <c r="G396" s="565" t="s">
        <v>642</v>
      </c>
      <c r="H396" s="7" t="s">
        <v>907</v>
      </c>
      <c r="I396" s="251"/>
      <c r="J396" s="251"/>
      <c r="K396" s="563">
        <v>448840</v>
      </c>
      <c r="L396" s="564" t="s">
        <v>253</v>
      </c>
      <c r="M396" s="564" t="s">
        <v>365</v>
      </c>
      <c r="N396" s="52" t="str">
        <f>IF(AND('331-CT'!$E$7=TH!H396,OR(L396="331",M396="331")),"331",IF(AND(OR(L396="131",M396="131"),H396='131-CT'!$E$7),"131",""))</f>
        <v/>
      </c>
      <c r="O396" s="89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09"/>
      <c r="AC396" s="555" t="str">
        <f>IF(VLOOKUP(H396,DS_131,1,0)&lt;&gt;"","","x")</f>
        <v/>
      </c>
      <c r="AD396" s="211"/>
      <c r="AE396" s="211"/>
    </row>
    <row r="397" spans="1:31" s="555" customFormat="1" ht="15.75" customHeight="1">
      <c r="A397" s="204" t="str">
        <f>IF(B397&lt;&gt;"",IF(AND(B397&gt;=_TM1,B397&lt;=_TM2,OR(TH!L397="1111",TH!M397="1111")),TH!D397,""),"")</f>
        <v/>
      </c>
      <c r="B397" s="36">
        <f t="shared" ref="B397" si="138">IF(C397&lt;&gt;"",MONTH(C397),"")</f>
        <v>8</v>
      </c>
      <c r="C397" s="184">
        <f t="shared" ref="C397" si="139">E397</f>
        <v>41872</v>
      </c>
      <c r="D397" s="184"/>
      <c r="E397" s="184">
        <v>41872</v>
      </c>
      <c r="F397" s="192" t="s">
        <v>894</v>
      </c>
      <c r="G397" s="565" t="s">
        <v>642</v>
      </c>
      <c r="H397" s="7" t="s">
        <v>907</v>
      </c>
      <c r="I397" s="251"/>
      <c r="J397" s="251"/>
      <c r="K397" s="563">
        <f>SUM(K394:K396)</f>
        <v>4937240</v>
      </c>
      <c r="L397" s="564" t="s">
        <v>47</v>
      </c>
      <c r="M397" s="564" t="s">
        <v>253</v>
      </c>
      <c r="N397" s="52" t="str">
        <f>IF(AND('331-CT'!$E$7=TH!H397,OR(L397="331",M397="331")),"331",IF(AND(OR(L397="131",M397="131"),H397='131-CT'!$E$7),"131",""))</f>
        <v/>
      </c>
      <c r="O397" s="890" t="str">
        <f>IF(AND('341-CT'!$E$9=H397,OR(LEFT(L397,3)=$O$7,LEFT(M397,3)=$O$7)),"x","")</f>
        <v/>
      </c>
      <c r="P397" s="52" t="str">
        <f>IF(AND($B397&gt;='111'!$N$11,$B397&lt;='111'!$O$11,OR($L397=$P$7,$M397=$P$7)),"x","")</f>
        <v>x</v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09"/>
      <c r="AC397" s="555" t="str">
        <f>IF(VLOOKUP(H397,DS_131,1,0)&lt;&gt;"","","x")</f>
        <v/>
      </c>
      <c r="AD397" s="211"/>
      <c r="AE397" s="211"/>
    </row>
    <row r="398" spans="1:31" s="555" customFormat="1" ht="15.75" customHeight="1">
      <c r="A398" s="204" t="str">
        <f>IF(B398&lt;&gt;"",IF(AND(B398&gt;=_TM1,B398&lt;=_TM2,OR(TH!L398="1111",TH!M398="1111")),TH!D398,""),"")</f>
        <v/>
      </c>
      <c r="B398" s="36">
        <f t="shared" si="128"/>
        <v>8</v>
      </c>
      <c r="C398" s="184">
        <f t="shared" si="129"/>
        <v>41873</v>
      </c>
      <c r="D398" s="184" t="s">
        <v>944</v>
      </c>
      <c r="E398" s="184">
        <v>41873</v>
      </c>
      <c r="F398" s="189" t="s">
        <v>466</v>
      </c>
      <c r="G398" s="565" t="s">
        <v>643</v>
      </c>
      <c r="H398" s="7" t="s">
        <v>908</v>
      </c>
      <c r="I398" s="251">
        <v>1480</v>
      </c>
      <c r="J398" s="251">
        <v>4650</v>
      </c>
      <c r="K398" s="563">
        <f>ROUND(I398*J398,0)</f>
        <v>6882000</v>
      </c>
      <c r="L398" s="564" t="s">
        <v>253</v>
      </c>
      <c r="M398" s="564" t="s">
        <v>177</v>
      </c>
      <c r="N398" s="52" t="str">
        <f>IF(AND('331-CT'!$E$7=TH!H398,OR(L398="331",M398="331")),"331",IF(AND(OR(L398="131",M398="131"),H398='131-CT'!$E$7),"131",""))</f>
        <v/>
      </c>
      <c r="O398" s="89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09"/>
      <c r="AC398" s="211" t="str">
        <f>IF(F398=VLOOKUP(F398,NXT!$C$12:$C$345,1,0),"","x")</f>
        <v/>
      </c>
      <c r="AD398" s="211"/>
      <c r="AE398" s="211"/>
    </row>
    <row r="399" spans="1:31" s="555" customFormat="1" ht="15.75" customHeight="1">
      <c r="A399" s="204" t="str">
        <f>IF(B399&lt;&gt;"",IF(AND(B399&gt;=_TM1,B399&lt;=_TM2,OR(TH!L399="1111",TH!M399="1111")),TH!D399,""),"")</f>
        <v/>
      </c>
      <c r="B399" s="36">
        <f t="shared" si="128"/>
        <v>8</v>
      </c>
      <c r="C399" s="184">
        <f t="shared" si="129"/>
        <v>41873</v>
      </c>
      <c r="D399" s="184" t="s">
        <v>944</v>
      </c>
      <c r="E399" s="184">
        <v>41873</v>
      </c>
      <c r="F399" s="189" t="s">
        <v>420</v>
      </c>
      <c r="G399" s="565" t="s">
        <v>643</v>
      </c>
      <c r="H399" s="7" t="s">
        <v>908</v>
      </c>
      <c r="I399" s="251"/>
      <c r="J399" s="251"/>
      <c r="K399" s="563">
        <v>688200</v>
      </c>
      <c r="L399" s="564" t="s">
        <v>253</v>
      </c>
      <c r="M399" s="564" t="s">
        <v>365</v>
      </c>
      <c r="N399" s="52" t="str">
        <f>IF(AND('331-CT'!$E$7=TH!H399,OR(L399="331",M399="331")),"331",IF(AND(OR(L399="131",M399="131"),H399='131-CT'!$E$7),"131",""))</f>
        <v/>
      </c>
      <c r="O399" s="89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09"/>
      <c r="AC399" s="555" t="str">
        <f>IF(VLOOKUP(H399,DS_131,1,0)&lt;&gt;"","","x")</f>
        <v/>
      </c>
      <c r="AD399" s="211"/>
      <c r="AE399" s="211"/>
    </row>
    <row r="400" spans="1:31" s="555" customFormat="1" ht="15.75" customHeight="1">
      <c r="A400" s="204" t="str">
        <f>IF(B400&lt;&gt;"",IF(AND(B400&gt;=_TM1,B400&lt;=_TM2,OR(TH!L400="1111",TH!M400="1111")),TH!D400,""),"")</f>
        <v/>
      </c>
      <c r="B400" s="36">
        <f t="shared" si="128"/>
        <v>8</v>
      </c>
      <c r="C400" s="184">
        <f t="shared" si="129"/>
        <v>41873</v>
      </c>
      <c r="D400" s="184" t="s">
        <v>945</v>
      </c>
      <c r="E400" s="184">
        <v>41873</v>
      </c>
      <c r="F400" s="189" t="s">
        <v>644</v>
      </c>
      <c r="G400" s="565" t="s">
        <v>645</v>
      </c>
      <c r="H400" s="7" t="s">
        <v>646</v>
      </c>
      <c r="I400" s="251">
        <v>498</v>
      </c>
      <c r="J400" s="251">
        <v>26979</v>
      </c>
      <c r="K400" s="563">
        <f t="shared" ref="K400:K405" si="140">ROUND(I400*J400,0)</f>
        <v>13435542</v>
      </c>
      <c r="L400" s="564" t="s">
        <v>253</v>
      </c>
      <c r="M400" s="564" t="s">
        <v>177</v>
      </c>
      <c r="N400" s="52" t="str">
        <f>IF(AND('331-CT'!$E$7=TH!H400,OR(L400="331",M400="331")),"331",IF(AND(OR(L400="131",M400="131"),H400='131-CT'!$E$7),"131",""))</f>
        <v/>
      </c>
      <c r="O400" s="89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09"/>
      <c r="AC400" s="211" t="str">
        <f>IF(F400=VLOOKUP(F400,NXT!$C$12:$C$345,1,0),"","x")</f>
        <v/>
      </c>
      <c r="AD400" s="211"/>
      <c r="AE400" s="211"/>
    </row>
    <row r="401" spans="1:31" s="555" customFormat="1" ht="15.75" customHeight="1">
      <c r="A401" s="204" t="str">
        <f>IF(B401&lt;&gt;"",IF(AND(B401&gt;=_TM1,B401&lt;=_TM2,OR(TH!L401="1111",TH!M401="1111")),TH!D401,""),"")</f>
        <v/>
      </c>
      <c r="B401" s="36">
        <f t="shared" si="128"/>
        <v>8</v>
      </c>
      <c r="C401" s="184">
        <f t="shared" si="129"/>
        <v>41873</v>
      </c>
      <c r="D401" s="184" t="s">
        <v>945</v>
      </c>
      <c r="E401" s="184">
        <v>41873</v>
      </c>
      <c r="F401" s="291" t="s">
        <v>647</v>
      </c>
      <c r="G401" s="463" t="s">
        <v>645</v>
      </c>
      <c r="H401" s="7" t="s">
        <v>646</v>
      </c>
      <c r="I401" s="251">
        <v>690</v>
      </c>
      <c r="J401" s="251">
        <v>26002</v>
      </c>
      <c r="K401" s="563">
        <f t="shared" si="140"/>
        <v>17941380</v>
      </c>
      <c r="L401" s="564" t="s">
        <v>253</v>
      </c>
      <c r="M401" s="564" t="s">
        <v>177</v>
      </c>
      <c r="N401" s="52" t="str">
        <f>IF(AND('331-CT'!$E$7=TH!H401,OR(L401="331",M401="331")),"331",IF(AND(OR(L401="131",M401="131"),H401='131-CT'!$E$7),"131",""))</f>
        <v/>
      </c>
      <c r="O401" s="89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09"/>
      <c r="AC401" s="211" t="str">
        <f>IF(F401=VLOOKUP(F401,NXT!$C$12:$C$345,1,0),"","x")</f>
        <v/>
      </c>
      <c r="AD401" s="211"/>
      <c r="AE401" s="211"/>
    </row>
    <row r="402" spans="1:31" s="555" customFormat="1" ht="15.75" customHeight="1">
      <c r="A402" s="204" t="str">
        <f>IF(B402&lt;&gt;"",IF(AND(B402&gt;=_TM1,B402&lt;=_TM2,OR(TH!L402="1111",TH!M402="1111")),TH!D402,""),"")</f>
        <v/>
      </c>
      <c r="B402" s="36">
        <f t="shared" si="128"/>
        <v>8</v>
      </c>
      <c r="C402" s="184">
        <f t="shared" si="129"/>
        <v>41873</v>
      </c>
      <c r="D402" s="184" t="s">
        <v>945</v>
      </c>
      <c r="E402" s="184">
        <v>41873</v>
      </c>
      <c r="F402" s="189" t="s">
        <v>647</v>
      </c>
      <c r="G402" s="463" t="s">
        <v>645</v>
      </c>
      <c r="H402" s="7" t="s">
        <v>646</v>
      </c>
      <c r="I402" s="252">
        <v>130</v>
      </c>
      <c r="J402" s="252">
        <v>26002</v>
      </c>
      <c r="K402" s="563">
        <f t="shared" si="140"/>
        <v>3380260</v>
      </c>
      <c r="L402" s="564" t="s">
        <v>253</v>
      </c>
      <c r="M402" s="564" t="s">
        <v>177</v>
      </c>
      <c r="N402" s="52" t="str">
        <f>IF(AND('331-CT'!$E$7=TH!H402,OR(L402="331",M402="331")),"331",IF(AND(OR(L402="131",M402="131"),H402='131-CT'!$E$7),"131",""))</f>
        <v/>
      </c>
      <c r="O402" s="89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09"/>
      <c r="AC402" s="211" t="str">
        <f>IF(F402=VLOOKUP(F402,NXT!$C$12:$C$345,1,0),"","x")</f>
        <v/>
      </c>
      <c r="AD402" s="211"/>
      <c r="AE402" s="211"/>
    </row>
    <row r="403" spans="1:31" s="555" customFormat="1" ht="15.75" customHeight="1">
      <c r="A403" s="204" t="str">
        <f>IF(B403&lt;&gt;"",IF(AND(B403&gt;=_TM1,B403&lt;=_TM2,OR(TH!L403="1111",TH!M403="1111")),TH!D403,""),"")</f>
        <v/>
      </c>
      <c r="B403" s="36">
        <f t="shared" si="128"/>
        <v>8</v>
      </c>
      <c r="C403" s="184">
        <f t="shared" si="129"/>
        <v>41873</v>
      </c>
      <c r="D403" s="184" t="s">
        <v>945</v>
      </c>
      <c r="E403" s="184">
        <v>41873</v>
      </c>
      <c r="F403" s="189" t="s">
        <v>648</v>
      </c>
      <c r="G403" s="463" t="s">
        <v>645</v>
      </c>
      <c r="H403" s="7" t="s">
        <v>646</v>
      </c>
      <c r="I403" s="251">
        <v>1000</v>
      </c>
      <c r="J403" s="251">
        <v>16133</v>
      </c>
      <c r="K403" s="563">
        <f t="shared" si="140"/>
        <v>16133000</v>
      </c>
      <c r="L403" s="564" t="s">
        <v>253</v>
      </c>
      <c r="M403" s="564" t="s">
        <v>177</v>
      </c>
      <c r="N403" s="52" t="str">
        <f>IF(AND('331-CT'!$E$7=TH!H403,OR(L403="331",M403="331")),"331",IF(AND(OR(L403="131",M403="131"),H403='131-CT'!$E$7),"131",""))</f>
        <v/>
      </c>
      <c r="O403" s="89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09"/>
      <c r="AC403" s="211" t="str">
        <f>IF(F403=VLOOKUP(F403,NXT!$C$12:$C$345,1,0),"","x")</f>
        <v/>
      </c>
      <c r="AD403" s="211"/>
      <c r="AE403" s="211"/>
    </row>
    <row r="404" spans="1:31" s="555" customFormat="1" ht="15.75" customHeight="1">
      <c r="A404" s="204" t="str">
        <f>IF(B404&lt;&gt;"",IF(AND(B404&gt;=_TM1,B404&lt;=_TM2,OR(TH!L404="1111",TH!M404="1111")),TH!D404,""),"")</f>
        <v/>
      </c>
      <c r="B404" s="36">
        <f t="shared" si="128"/>
        <v>8</v>
      </c>
      <c r="C404" s="184">
        <f t="shared" si="129"/>
        <v>41873</v>
      </c>
      <c r="D404" s="184" t="s">
        <v>945</v>
      </c>
      <c r="E404" s="184">
        <v>41873</v>
      </c>
      <c r="F404" s="291" t="s">
        <v>649</v>
      </c>
      <c r="G404" s="463" t="s">
        <v>645</v>
      </c>
      <c r="H404" s="7" t="s">
        <v>646</v>
      </c>
      <c r="I404" s="251">
        <v>425</v>
      </c>
      <c r="J404" s="251">
        <v>26129</v>
      </c>
      <c r="K404" s="563">
        <f t="shared" si="140"/>
        <v>11104825</v>
      </c>
      <c r="L404" s="564" t="s">
        <v>253</v>
      </c>
      <c r="M404" s="564" t="s">
        <v>177</v>
      </c>
      <c r="N404" s="52" t="str">
        <f>IF(AND('331-CT'!$E$7=TH!H404,OR(L404="331",M404="331")),"331",IF(AND(OR(L404="131",M404="131"),H404='131-CT'!$E$7),"131",""))</f>
        <v/>
      </c>
      <c r="O404" s="89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09"/>
      <c r="AC404" s="211" t="str">
        <f>IF(F404=VLOOKUP(F404,NXT!$C$12:$C$345,1,0),"","x")</f>
        <v/>
      </c>
      <c r="AD404" s="211"/>
      <c r="AE404" s="211"/>
    </row>
    <row r="405" spans="1:31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28"/>
        <v>8</v>
      </c>
      <c r="C405" s="184">
        <f t="shared" si="129"/>
        <v>41873</v>
      </c>
      <c r="D405" s="184" t="s">
        <v>945</v>
      </c>
      <c r="E405" s="191">
        <v>41873</v>
      </c>
      <c r="F405" s="438" t="s">
        <v>649</v>
      </c>
      <c r="G405" s="463" t="s">
        <v>645</v>
      </c>
      <c r="H405" s="7" t="s">
        <v>646</v>
      </c>
      <c r="I405" s="251">
        <v>322</v>
      </c>
      <c r="J405" s="251">
        <v>26129</v>
      </c>
      <c r="K405" s="563">
        <f t="shared" si="140"/>
        <v>8413538</v>
      </c>
      <c r="L405" s="564" t="s">
        <v>253</v>
      </c>
      <c r="M405" s="564" t="s">
        <v>177</v>
      </c>
      <c r="N405" s="52" t="str">
        <f>IF(AND('331-CT'!$E$7=TH!H405,OR(L405="331",M405="331")),"331",IF(AND(OR(L405="131",M405="131"),H405='131-CT'!$E$7),"131",""))</f>
        <v/>
      </c>
      <c r="O405" s="89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09"/>
      <c r="AC405" s="211" t="str">
        <f>IF(F405=VLOOKUP(F405,NXT!$C$12:$C$345,1,0),"","x")</f>
        <v/>
      </c>
    </row>
    <row r="406" spans="1:31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28"/>
        <v>8</v>
      </c>
      <c r="C406" s="184">
        <f t="shared" si="129"/>
        <v>41873</v>
      </c>
      <c r="D406" s="184" t="s">
        <v>945</v>
      </c>
      <c r="E406" s="191">
        <v>41873</v>
      </c>
      <c r="F406" s="192" t="s">
        <v>650</v>
      </c>
      <c r="G406" s="463" t="s">
        <v>645</v>
      </c>
      <c r="H406" s="7" t="s">
        <v>646</v>
      </c>
      <c r="I406" s="251"/>
      <c r="J406" s="251"/>
      <c r="K406" s="563">
        <v>7040855</v>
      </c>
      <c r="L406" s="564" t="s">
        <v>253</v>
      </c>
      <c r="M406" s="564" t="s">
        <v>365</v>
      </c>
      <c r="N406" s="52" t="str">
        <f>IF(AND('331-CT'!$E$7=TH!H406,OR(L406="331",M406="331")),"331",IF(AND(OR(L406="131",M406="131"),H406='131-CT'!$E$7),"131",""))</f>
        <v/>
      </c>
      <c r="O406" s="89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09"/>
      <c r="AC406" s="555" t="str">
        <f>IF(VLOOKUP(H406,DS_131,1,0)&lt;&gt;"","","x")</f>
        <v/>
      </c>
    </row>
    <row r="407" spans="1:31" s="555" customFormat="1" ht="15.75" customHeight="1">
      <c r="A407" s="204" t="str">
        <f>IF(B407&lt;&gt;"",IF(AND(B407&gt;=_TM1,B407&lt;=_TM2,OR(TH!L407="1111",TH!M407="1111")),TH!D407,""),"")</f>
        <v/>
      </c>
      <c r="B407" s="36">
        <f t="shared" si="128"/>
        <v>8</v>
      </c>
      <c r="C407" s="184">
        <f t="shared" si="129"/>
        <v>41876</v>
      </c>
      <c r="D407" s="184" t="s">
        <v>946</v>
      </c>
      <c r="E407" s="191">
        <v>41876</v>
      </c>
      <c r="F407" s="189" t="s">
        <v>1206</v>
      </c>
      <c r="G407" s="463" t="s">
        <v>651</v>
      </c>
      <c r="H407" s="7" t="s">
        <v>906</v>
      </c>
      <c r="I407" s="251">
        <v>600</v>
      </c>
      <c r="J407" s="251">
        <v>14300</v>
      </c>
      <c r="K407" s="563">
        <f>ROUND(I407*J407,0)</f>
        <v>8580000</v>
      </c>
      <c r="L407" s="564" t="s">
        <v>253</v>
      </c>
      <c r="M407" s="564" t="s">
        <v>177</v>
      </c>
      <c r="N407" s="52" t="str">
        <f>IF(AND('331-CT'!$E$7=TH!H407,OR(L407="331",M407="331")),"331",IF(AND(OR(L407="131",M407="131"),H407='131-CT'!$E$7),"131",""))</f>
        <v/>
      </c>
      <c r="O407" s="89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09"/>
      <c r="AC407" s="211" t="str">
        <f>IF(F407=VLOOKUP(F407,NXT!$C$12:$C$345,1,0),"","x")</f>
        <v/>
      </c>
      <c r="AD407" s="211"/>
      <c r="AE407" s="211"/>
    </row>
    <row r="408" spans="1:31" s="555" customFormat="1" ht="15.75" customHeight="1">
      <c r="A408" s="204" t="str">
        <f>IF(B408&lt;&gt;"",IF(AND(B408&gt;=_TM1,B408&lt;=_TM2,OR(TH!L408="1111",TH!M408="1111")),TH!D408,""),"")</f>
        <v/>
      </c>
      <c r="B408" s="36">
        <f t="shared" si="128"/>
        <v>8</v>
      </c>
      <c r="C408" s="184">
        <f t="shared" si="129"/>
        <v>41876</v>
      </c>
      <c r="D408" s="184" t="s">
        <v>946</v>
      </c>
      <c r="E408" s="191">
        <v>41876</v>
      </c>
      <c r="F408" s="40" t="s">
        <v>445</v>
      </c>
      <c r="G408" s="463" t="s">
        <v>651</v>
      </c>
      <c r="H408" s="7" t="s">
        <v>906</v>
      </c>
      <c r="I408" s="251">
        <v>1200</v>
      </c>
      <c r="J408" s="251">
        <v>1500</v>
      </c>
      <c r="K408" s="563">
        <f>ROUND(I408*J408,0)</f>
        <v>1800000</v>
      </c>
      <c r="L408" s="564" t="s">
        <v>253</v>
      </c>
      <c r="M408" s="564" t="s">
        <v>177</v>
      </c>
      <c r="N408" s="52" t="str">
        <f>IF(AND('331-CT'!$E$7=TH!H408,OR(L408="331",M408="331")),"331",IF(AND(OR(L408="131",M408="131"),H408='131-CT'!$E$7),"131",""))</f>
        <v/>
      </c>
      <c r="O408" s="89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09"/>
      <c r="AC408" s="211" t="str">
        <f>IF(F408=VLOOKUP(F408,NXT!$C$12:$C$345,1,0),"","x")</f>
        <v/>
      </c>
      <c r="AD408" s="211"/>
      <c r="AE408" s="211"/>
    </row>
    <row r="409" spans="1:31" s="555" customFormat="1" ht="15.75" customHeight="1">
      <c r="A409" s="204" t="str">
        <f>IF(B409&lt;&gt;"",IF(AND(B409&gt;=_TM1,B409&lt;=_TM2,OR(TH!L409="1111",TH!M409="1111")),TH!D409,""),"")</f>
        <v/>
      </c>
      <c r="B409" s="36">
        <f t="shared" si="128"/>
        <v>8</v>
      </c>
      <c r="C409" s="184">
        <f t="shared" si="129"/>
        <v>41876</v>
      </c>
      <c r="D409" s="184" t="s">
        <v>946</v>
      </c>
      <c r="E409" s="191">
        <v>41876</v>
      </c>
      <c r="F409" s="192" t="s">
        <v>420</v>
      </c>
      <c r="G409" s="463" t="s">
        <v>651</v>
      </c>
      <c r="H409" s="7" t="s">
        <v>906</v>
      </c>
      <c r="I409" s="251"/>
      <c r="J409" s="251"/>
      <c r="K409" s="563">
        <v>1038000</v>
      </c>
      <c r="L409" s="564" t="s">
        <v>253</v>
      </c>
      <c r="M409" s="564" t="s">
        <v>365</v>
      </c>
      <c r="N409" s="52" t="str">
        <f>IF(AND('331-CT'!$E$7=TH!H409,OR(L409="331",M409="331")),"331",IF(AND(OR(L409="131",M409="131"),H409='131-CT'!$E$7),"131",""))</f>
        <v/>
      </c>
      <c r="O409" s="89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09"/>
      <c r="AC409" s="555" t="str">
        <f>IF(VLOOKUP(H409,DS_131,1,0)&lt;&gt;"","","x")</f>
        <v/>
      </c>
      <c r="AD409" s="211"/>
      <c r="AE409" s="211"/>
    </row>
    <row r="410" spans="1:31" s="555" customFormat="1" ht="15.75" customHeight="1">
      <c r="A410" s="204" t="str">
        <f>IF(B410&lt;&gt;"",IF(AND(B410&gt;=_TM1,B410&lt;=_TM2,OR(TH!L410="1111",TH!M410="1111")),TH!D410,""),"")</f>
        <v/>
      </c>
      <c r="B410" s="36">
        <f t="shared" si="128"/>
        <v>8</v>
      </c>
      <c r="C410" s="184">
        <f t="shared" si="129"/>
        <v>41876</v>
      </c>
      <c r="D410" s="184" t="s">
        <v>947</v>
      </c>
      <c r="E410" s="191">
        <v>41876</v>
      </c>
      <c r="F410" s="192" t="s">
        <v>652</v>
      </c>
      <c r="G410" s="463" t="s">
        <v>653</v>
      </c>
      <c r="H410" s="7" t="s">
        <v>654</v>
      </c>
      <c r="I410" s="251">
        <v>8160</v>
      </c>
      <c r="J410" s="251">
        <v>7400</v>
      </c>
      <c r="K410" s="563">
        <f>ROUND(I410*J410,0)</f>
        <v>60384000</v>
      </c>
      <c r="L410" s="564" t="s">
        <v>253</v>
      </c>
      <c r="M410" s="564" t="s">
        <v>177</v>
      </c>
      <c r="N410" s="52" t="str">
        <f>IF(AND('331-CT'!$E$7=TH!H410,OR(L410="331",M410="331")),"331",IF(AND(OR(L410="131",M410="131"),H410='131-CT'!$E$7),"131",""))</f>
        <v/>
      </c>
      <c r="O410" s="89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09"/>
      <c r="AC410" s="211" t="str">
        <f>IF(F410=VLOOKUP(F410,NXT!$C$12:$C$345,1,0),"","x")</f>
        <v/>
      </c>
      <c r="AD410" s="211"/>
      <c r="AE410" s="211"/>
    </row>
    <row r="411" spans="1:31" s="555" customFormat="1" ht="15.75" customHeight="1">
      <c r="A411" s="204" t="str">
        <f>IF(B411&lt;&gt;"",IF(AND(B411&gt;=_TM1,B411&lt;=_TM2,OR(TH!L411="1111",TH!M411="1111")),TH!D411,""),"")</f>
        <v/>
      </c>
      <c r="B411" s="36">
        <f t="shared" si="128"/>
        <v>8</v>
      </c>
      <c r="C411" s="184">
        <f t="shared" si="129"/>
        <v>41876</v>
      </c>
      <c r="D411" s="184" t="s">
        <v>947</v>
      </c>
      <c r="E411" s="191">
        <v>41876</v>
      </c>
      <c r="F411" s="192" t="s">
        <v>420</v>
      </c>
      <c r="G411" s="463" t="s">
        <v>653</v>
      </c>
      <c r="H411" s="7" t="s">
        <v>654</v>
      </c>
      <c r="I411" s="251"/>
      <c r="J411" s="251"/>
      <c r="K411" s="563">
        <v>6038400</v>
      </c>
      <c r="L411" s="564" t="s">
        <v>253</v>
      </c>
      <c r="M411" s="564" t="s">
        <v>365</v>
      </c>
      <c r="N411" s="52" t="str">
        <f>IF(AND('331-CT'!$E$7=TH!H411,OR(L411="331",M411="331")),"331",IF(AND(OR(L411="131",M411="131"),H411='131-CT'!$E$7),"131",""))</f>
        <v/>
      </c>
      <c r="O411" s="89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09"/>
      <c r="AC411" s="555" t="str">
        <f>IF(VLOOKUP(H411,DS_131,1,0)&lt;&gt;"","","x")</f>
        <v/>
      </c>
      <c r="AD411" s="211"/>
      <c r="AE411" s="211"/>
    </row>
    <row r="412" spans="1:31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28"/>
        <v>8</v>
      </c>
      <c r="C412" s="184">
        <f t="shared" si="129"/>
        <v>41876</v>
      </c>
      <c r="D412" s="184" t="s">
        <v>948</v>
      </c>
      <c r="E412" s="191">
        <v>41876</v>
      </c>
      <c r="F412" s="192" t="s">
        <v>655</v>
      </c>
      <c r="G412" s="463" t="s">
        <v>656</v>
      </c>
      <c r="H412" s="7" t="s">
        <v>602</v>
      </c>
      <c r="I412" s="251">
        <v>626</v>
      </c>
      <c r="J412" s="251">
        <v>14300</v>
      </c>
      <c r="K412" s="563">
        <f>ROUND(I412*J412,0)</f>
        <v>8951800</v>
      </c>
      <c r="L412" s="564" t="s">
        <v>253</v>
      </c>
      <c r="M412" s="564" t="s">
        <v>177</v>
      </c>
      <c r="N412" s="52" t="str">
        <f>IF(AND('331-CT'!$E$7=TH!H412,OR(L412="331",M412="331")),"331",IF(AND(OR(L412="131",M412="131"),H412='131-CT'!$E$7),"131",""))</f>
        <v/>
      </c>
      <c r="O412" s="890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09"/>
      <c r="AC412" s="211" t="str">
        <f>IF(F412=VLOOKUP(F412,NXT!$C$12:$C$345,1,0),"","x")</f>
        <v/>
      </c>
    </row>
    <row r="413" spans="1:31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128"/>
        <v>8</v>
      </c>
      <c r="C413" s="184">
        <f t="shared" si="129"/>
        <v>41876</v>
      </c>
      <c r="D413" s="184" t="s">
        <v>948</v>
      </c>
      <c r="E413" s="191">
        <v>41876</v>
      </c>
      <c r="F413" s="192" t="s">
        <v>657</v>
      </c>
      <c r="G413" s="463" t="s">
        <v>656</v>
      </c>
      <c r="H413" s="7" t="s">
        <v>602</v>
      </c>
      <c r="I413" s="251">
        <v>160</v>
      </c>
      <c r="J413" s="251">
        <v>13100</v>
      </c>
      <c r="K413" s="563">
        <f>ROUND(I413*J413,0)</f>
        <v>2096000</v>
      </c>
      <c r="L413" s="564" t="s">
        <v>253</v>
      </c>
      <c r="M413" s="564" t="s">
        <v>177</v>
      </c>
      <c r="N413" s="52" t="str">
        <f>IF(AND('331-CT'!$E$7=TH!H413,OR(L413="331",M413="331")),"331",IF(AND(OR(L413="131",M413="131"),H413='131-CT'!$E$7),"131",""))</f>
        <v/>
      </c>
      <c r="O413" s="890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09"/>
      <c r="AC413" s="211" t="str">
        <f>IF(F413=VLOOKUP(F413,NXT!$C$12:$C$345,1,0),"","x")</f>
        <v/>
      </c>
    </row>
    <row r="414" spans="1:31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28"/>
        <v>8</v>
      </c>
      <c r="C414" s="184">
        <f t="shared" si="129"/>
        <v>41876</v>
      </c>
      <c r="D414" s="184" t="s">
        <v>948</v>
      </c>
      <c r="E414" s="191">
        <v>41876</v>
      </c>
      <c r="F414" s="192" t="s">
        <v>623</v>
      </c>
      <c r="G414" s="463" t="s">
        <v>656</v>
      </c>
      <c r="H414" s="7" t="s">
        <v>602</v>
      </c>
      <c r="I414" s="251">
        <v>1900</v>
      </c>
      <c r="J414" s="251">
        <v>400</v>
      </c>
      <c r="K414" s="563">
        <f>ROUND(I414*J414,0)</f>
        <v>760000</v>
      </c>
      <c r="L414" s="564" t="s">
        <v>253</v>
      </c>
      <c r="M414" s="564" t="s">
        <v>177</v>
      </c>
      <c r="N414" s="52" t="str">
        <f>IF(AND('331-CT'!$E$7=TH!H414,OR(L414="331",M414="331")),"331",IF(AND(OR(L414="131",M414="131"),H414='131-CT'!$E$7),"131",""))</f>
        <v/>
      </c>
      <c r="O414" s="89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09"/>
      <c r="AC414" s="211" t="str">
        <f>IF(F414=VLOOKUP(F414,NXT!$C$12:$C$345,1,0),"","x")</f>
        <v/>
      </c>
    </row>
    <row r="415" spans="1:31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128"/>
        <v>8</v>
      </c>
      <c r="C415" s="184">
        <f t="shared" si="129"/>
        <v>41876</v>
      </c>
      <c r="D415" s="184" t="s">
        <v>948</v>
      </c>
      <c r="E415" s="191">
        <v>41876</v>
      </c>
      <c r="F415" s="192" t="s">
        <v>420</v>
      </c>
      <c r="G415" s="463" t="s">
        <v>656</v>
      </c>
      <c r="H415" s="7" t="s">
        <v>602</v>
      </c>
      <c r="I415" s="251"/>
      <c r="J415" s="251"/>
      <c r="K415" s="563">
        <v>1180780</v>
      </c>
      <c r="L415" s="564" t="s">
        <v>253</v>
      </c>
      <c r="M415" s="564" t="s">
        <v>365</v>
      </c>
      <c r="N415" s="52" t="str">
        <f>IF(AND('331-CT'!$E$7=TH!H415,OR(L415="331",M415="331")),"331",IF(AND(OR(L415="131",M415="131"),H415='131-CT'!$E$7),"131",""))</f>
        <v/>
      </c>
      <c r="O415" s="89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09"/>
      <c r="AC415" s="555" t="str">
        <f>IF(VLOOKUP(H415,DS_131,1,0)&lt;&gt;"","","x")</f>
        <v/>
      </c>
    </row>
    <row r="416" spans="1:31" s="555" customFormat="1" ht="15.75" customHeight="1">
      <c r="A416" s="204" t="str">
        <f>IF(B416&lt;&gt;"",IF(AND(B416&gt;=_TM1,B416&lt;=_TM2,OR(TH!L416="1111",TH!M416="1111")),TH!D416,""),"")</f>
        <v/>
      </c>
      <c r="B416" s="36">
        <f t="shared" si="128"/>
        <v>8</v>
      </c>
      <c r="C416" s="184">
        <f t="shared" si="129"/>
        <v>41877</v>
      </c>
      <c r="D416" s="184" t="s">
        <v>949</v>
      </c>
      <c r="E416" s="191">
        <v>41877</v>
      </c>
      <c r="F416" s="189" t="s">
        <v>600</v>
      </c>
      <c r="G416" s="463" t="s">
        <v>658</v>
      </c>
      <c r="H416" s="7" t="s">
        <v>602</v>
      </c>
      <c r="I416" s="251">
        <v>612</v>
      </c>
      <c r="J416" s="251">
        <v>13000</v>
      </c>
      <c r="K416" s="563">
        <f>ROUND(I416*J416,0)</f>
        <v>7956000</v>
      </c>
      <c r="L416" s="564" t="s">
        <v>253</v>
      </c>
      <c r="M416" s="564" t="s">
        <v>177</v>
      </c>
      <c r="N416" s="52" t="str">
        <f>IF(AND('331-CT'!$E$7=TH!H416,OR(L416="331",M416="331")),"331",IF(AND(OR(L416="131",M416="131"),H416='131-CT'!$E$7),"131",""))</f>
        <v/>
      </c>
      <c r="O416" s="89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09"/>
      <c r="AC416" s="211" t="str">
        <f>IF(F416=VLOOKUP(F416,NXT!$C$12:$C$345,1,0),"","x")</f>
        <v/>
      </c>
      <c r="AD416" s="211"/>
      <c r="AE416" s="211"/>
    </row>
    <row r="417" spans="1:31" s="555" customFormat="1" ht="15.75" customHeight="1">
      <c r="A417" s="204" t="str">
        <f>IF(B417&lt;&gt;"",IF(AND(B417&gt;=_TM1,B417&lt;=_TM2,OR(TH!L417="1111",TH!M417="1111")),TH!D417,""),"")</f>
        <v/>
      </c>
      <c r="B417" s="36">
        <f t="shared" si="128"/>
        <v>8</v>
      </c>
      <c r="C417" s="184">
        <f t="shared" si="129"/>
        <v>41877</v>
      </c>
      <c r="D417" s="184" t="s">
        <v>949</v>
      </c>
      <c r="E417" s="191">
        <v>41877</v>
      </c>
      <c r="F417" s="192" t="s">
        <v>603</v>
      </c>
      <c r="G417" s="463" t="s">
        <v>658</v>
      </c>
      <c r="H417" s="7" t="s">
        <v>602</v>
      </c>
      <c r="I417" s="251">
        <v>267</v>
      </c>
      <c r="J417" s="251">
        <v>11900</v>
      </c>
      <c r="K417" s="563">
        <f>ROUND(I417*J417,0)</f>
        <v>3177300</v>
      </c>
      <c r="L417" s="564" t="s">
        <v>253</v>
      </c>
      <c r="M417" s="564" t="s">
        <v>177</v>
      </c>
      <c r="N417" s="52" t="str">
        <f>IF(AND('331-CT'!$E$7=TH!H417,OR(L417="331",M417="331")),"331",IF(AND(OR(L417="131",M417="131"),H417='131-CT'!$E$7),"131",""))</f>
        <v/>
      </c>
      <c r="O417" s="89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09"/>
      <c r="AC417" s="211" t="str">
        <f>IF(F417=VLOOKUP(F417,NXT!$C$12:$C$345,1,0),"","x")</f>
        <v/>
      </c>
      <c r="AD417" s="211"/>
      <c r="AE417" s="211"/>
    </row>
    <row r="418" spans="1:31" s="555" customFormat="1" ht="15.75" customHeight="1">
      <c r="A418" s="204" t="str">
        <f>IF(B418&lt;&gt;"",IF(AND(B418&gt;=_TM1,B418&lt;=_TM2,OR(TH!L418="1111",TH!M418="1111")),TH!D418,""),"")</f>
        <v/>
      </c>
      <c r="B418" s="36">
        <f t="shared" si="128"/>
        <v>8</v>
      </c>
      <c r="C418" s="184">
        <f t="shared" si="129"/>
        <v>41877</v>
      </c>
      <c r="D418" s="184" t="s">
        <v>949</v>
      </c>
      <c r="E418" s="191">
        <v>41877</v>
      </c>
      <c r="F418" s="192" t="s">
        <v>600</v>
      </c>
      <c r="G418" s="463" t="s">
        <v>658</v>
      </c>
      <c r="H418" s="7" t="s">
        <v>602</v>
      </c>
      <c r="I418" s="251">
        <v>77</v>
      </c>
      <c r="J418" s="251">
        <v>13000</v>
      </c>
      <c r="K418" s="563">
        <f>ROUND(I418*J418,0)</f>
        <v>1001000</v>
      </c>
      <c r="L418" s="564" t="s">
        <v>253</v>
      </c>
      <c r="M418" s="564" t="s">
        <v>177</v>
      </c>
      <c r="N418" s="52" t="str">
        <f>IF(AND('331-CT'!$E$7=TH!H418,OR(L418="331",M418="331")),"331",IF(AND(OR(L418="131",M418="131"),H418='131-CT'!$E$7),"131",""))</f>
        <v/>
      </c>
      <c r="O418" s="89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09"/>
      <c r="AC418" s="211" t="str">
        <f>IF(F418=VLOOKUP(F418,NXT!$C$12:$C$345,1,0),"","x")</f>
        <v/>
      </c>
      <c r="AD418" s="211"/>
      <c r="AE418" s="211"/>
    </row>
    <row r="419" spans="1:31" s="555" customFormat="1" ht="15.75" customHeight="1">
      <c r="A419" s="204" t="str">
        <f>IF(B419&lt;&gt;"",IF(AND(B419&gt;=_TM1,B419&lt;=_TM2,OR(TH!L419="1111",TH!M419="1111")),TH!D419,""),"")</f>
        <v/>
      </c>
      <c r="B419" s="36">
        <f t="shared" si="128"/>
        <v>8</v>
      </c>
      <c r="C419" s="184">
        <f t="shared" si="129"/>
        <v>41877</v>
      </c>
      <c r="D419" s="184" t="s">
        <v>949</v>
      </c>
      <c r="E419" s="191">
        <v>41877</v>
      </c>
      <c r="F419" s="192" t="s">
        <v>623</v>
      </c>
      <c r="G419" s="463" t="s">
        <v>658</v>
      </c>
      <c r="H419" s="7" t="s">
        <v>602</v>
      </c>
      <c r="I419" s="252">
        <v>2400</v>
      </c>
      <c r="J419" s="252">
        <v>400</v>
      </c>
      <c r="K419" s="563">
        <f>ROUND(I419*J419,0)</f>
        <v>960000</v>
      </c>
      <c r="L419" s="564" t="s">
        <v>253</v>
      </c>
      <c r="M419" s="564" t="s">
        <v>177</v>
      </c>
      <c r="N419" s="52" t="str">
        <f>IF(AND('331-CT'!$E$7=TH!H419,OR(L419="331",M419="331")),"331",IF(AND(OR(L419="131",M419="131"),H419='131-CT'!$E$7),"131",""))</f>
        <v/>
      </c>
      <c r="O419" s="890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09"/>
      <c r="AC419" s="211" t="str">
        <f>IF(F419=VLOOKUP(F419,NXT!$C$12:$C$345,1,0),"","x")</f>
        <v/>
      </c>
      <c r="AD419" s="211"/>
      <c r="AE419" s="211"/>
    </row>
    <row r="420" spans="1:31" s="555" customFormat="1" ht="15.75" customHeight="1">
      <c r="A420" s="204" t="str">
        <f>IF(B420&lt;&gt;"",IF(AND(B420&gt;=_TM1,B420&lt;=_TM2,OR(TH!L420="1111",TH!M420="1111")),TH!D420,""),"")</f>
        <v/>
      </c>
      <c r="B420" s="36">
        <f t="shared" si="128"/>
        <v>8</v>
      </c>
      <c r="C420" s="184">
        <f t="shared" si="129"/>
        <v>41877</v>
      </c>
      <c r="D420" s="184" t="s">
        <v>949</v>
      </c>
      <c r="E420" s="191">
        <v>41877</v>
      </c>
      <c r="F420" s="192" t="s">
        <v>420</v>
      </c>
      <c r="G420" s="463" t="s">
        <v>658</v>
      </c>
      <c r="H420" s="7" t="s">
        <v>602</v>
      </c>
      <c r="I420" s="252"/>
      <c r="J420" s="252"/>
      <c r="K420" s="563">
        <v>1309430</v>
      </c>
      <c r="L420" s="564" t="s">
        <v>253</v>
      </c>
      <c r="M420" s="564" t="s">
        <v>365</v>
      </c>
      <c r="N420" s="52" t="str">
        <f>IF(AND('331-CT'!$E$7=TH!H420,OR(L420="331",M420="331")),"331",IF(AND(OR(L420="131",M420="131"),H420='131-CT'!$E$7),"131",""))</f>
        <v/>
      </c>
      <c r="O420" s="890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09"/>
      <c r="AC420" s="555" t="str">
        <f>IF(VLOOKUP(H420,DS_131,1,0)&lt;&gt;"","","x")</f>
        <v/>
      </c>
      <c r="AD420" s="211"/>
      <c r="AE420" s="211"/>
    </row>
    <row r="421" spans="1:31" s="555" customFormat="1" ht="15.75" customHeight="1">
      <c r="A421" s="204" t="str">
        <f>IF(B421&lt;&gt;"",IF(AND(B421&gt;=_TM1,B421&lt;=_TM2,OR(TH!L421="1111",TH!M421="1111")),TH!D421,""),"")</f>
        <v/>
      </c>
      <c r="B421" s="36">
        <f t="shared" si="128"/>
        <v>8</v>
      </c>
      <c r="C421" s="184">
        <f t="shared" si="129"/>
        <v>41878</v>
      </c>
      <c r="D421" s="184" t="s">
        <v>950</v>
      </c>
      <c r="E421" s="191">
        <v>41878</v>
      </c>
      <c r="F421" s="192" t="s">
        <v>515</v>
      </c>
      <c r="G421" s="463" t="s">
        <v>659</v>
      </c>
      <c r="H421" s="7" t="s">
        <v>908</v>
      </c>
      <c r="I421" s="251">
        <v>981</v>
      </c>
      <c r="J421" s="251">
        <v>12000</v>
      </c>
      <c r="K421" s="563">
        <f>ROUND(I421*J421,0)</f>
        <v>11772000</v>
      </c>
      <c r="L421" s="564" t="s">
        <v>253</v>
      </c>
      <c r="M421" s="564" t="s">
        <v>177</v>
      </c>
      <c r="N421" s="52" t="str">
        <f>IF(AND('331-CT'!$E$7=TH!H421,OR(L421="331",M421="331")),"331",IF(AND(OR(L421="131",M421="131"),H421='131-CT'!$E$7),"131",""))</f>
        <v/>
      </c>
      <c r="O421" s="890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09"/>
      <c r="AC421" s="211" t="str">
        <f>IF(F421=VLOOKUP(F421,NXT!$C$12:$C$345,1,0),"","x")</f>
        <v/>
      </c>
      <c r="AD421" s="211"/>
      <c r="AE421" s="211"/>
    </row>
    <row r="422" spans="1:31" s="555" customFormat="1" ht="15.75" customHeight="1">
      <c r="A422" s="204" t="str">
        <f>IF(B422&lt;&gt;"",IF(AND(B422&gt;=_TM1,B422&lt;=_TM2,OR(TH!L422="1111",TH!M422="1111")),TH!D422,""),"")</f>
        <v/>
      </c>
      <c r="B422" s="36">
        <f t="shared" si="128"/>
        <v>8</v>
      </c>
      <c r="C422" s="184">
        <f t="shared" si="129"/>
        <v>41878</v>
      </c>
      <c r="D422" s="184" t="s">
        <v>950</v>
      </c>
      <c r="E422" s="191">
        <v>41878</v>
      </c>
      <c r="F422" s="192" t="s">
        <v>420</v>
      </c>
      <c r="G422" s="463" t="s">
        <v>659</v>
      </c>
      <c r="H422" s="7" t="s">
        <v>908</v>
      </c>
      <c r="I422" s="251"/>
      <c r="J422" s="251"/>
      <c r="K422" s="563">
        <v>1177200</v>
      </c>
      <c r="L422" s="564" t="s">
        <v>253</v>
      </c>
      <c r="M422" s="564" t="s">
        <v>365</v>
      </c>
      <c r="N422" s="52" t="str">
        <f>IF(AND('331-CT'!$E$7=TH!H422,OR(L422="331",M422="331")),"331",IF(AND(OR(L422="131",M422="131"),H422='131-CT'!$E$7),"131",""))</f>
        <v/>
      </c>
      <c r="O422" s="89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809"/>
      <c r="AC422" s="555" t="str">
        <f>IF(VLOOKUP(H422,DS_131,1,0)&lt;&gt;"","","x")</f>
        <v/>
      </c>
      <c r="AD422" s="211"/>
      <c r="AE422" s="211"/>
    </row>
    <row r="423" spans="1:31" s="555" customFormat="1" ht="15.75" customHeight="1">
      <c r="A423" s="204" t="str">
        <f>IF(B423&lt;&gt;"",IF(AND(B423&gt;=_TM1,B423&lt;=_TM2,OR(TH!L423="1111",TH!M423="1111")),TH!D423,""),"")</f>
        <v/>
      </c>
      <c r="B423" s="36">
        <f t="shared" si="128"/>
        <v>8</v>
      </c>
      <c r="C423" s="184">
        <f t="shared" si="129"/>
        <v>41879</v>
      </c>
      <c r="D423" s="184" t="s">
        <v>951</v>
      </c>
      <c r="E423" s="191">
        <v>41879</v>
      </c>
      <c r="F423" s="192" t="s">
        <v>1199</v>
      </c>
      <c r="G423" s="463" t="s">
        <v>660</v>
      </c>
      <c r="H423" s="7" t="s">
        <v>477</v>
      </c>
      <c r="I423" s="251">
        <v>1200</v>
      </c>
      <c r="J423" s="251">
        <v>1000</v>
      </c>
      <c r="K423" s="563">
        <f>ROUND(I423*J423,0)</f>
        <v>1200000</v>
      </c>
      <c r="L423" s="564" t="s">
        <v>253</v>
      </c>
      <c r="M423" s="564" t="s">
        <v>177</v>
      </c>
      <c r="N423" s="52" t="str">
        <f>IF(AND('331-CT'!$E$7=TH!H423,OR(L423="331",M423="331")),"331",IF(AND(OR(L423="131",M423="131"),H423='131-CT'!$E$7),"131",""))</f>
        <v/>
      </c>
      <c r="O423" s="89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809"/>
      <c r="AC423" s="211" t="str">
        <f>IF(F423=VLOOKUP(F423,NXT!$C$12:$C$345,1,0),"","x")</f>
        <v/>
      </c>
      <c r="AD423" s="211"/>
      <c r="AE423" s="211"/>
    </row>
    <row r="424" spans="1:31" s="555" customFormat="1" ht="15.75" customHeight="1">
      <c r="A424" s="204" t="str">
        <f>IF(B424&lt;&gt;"",IF(AND(B424&gt;=_TM1,B424&lt;=_TM2,OR(TH!L424="1111",TH!M424="1111")),TH!D424,""),"")</f>
        <v/>
      </c>
      <c r="B424" s="36">
        <f t="shared" si="128"/>
        <v>8</v>
      </c>
      <c r="C424" s="184">
        <f t="shared" si="129"/>
        <v>41879</v>
      </c>
      <c r="D424" s="184" t="s">
        <v>951</v>
      </c>
      <c r="E424" s="191">
        <v>41879</v>
      </c>
      <c r="F424" s="192" t="s">
        <v>1200</v>
      </c>
      <c r="G424" s="463" t="s">
        <v>660</v>
      </c>
      <c r="H424" s="7" t="s">
        <v>477</v>
      </c>
      <c r="I424" s="251">
        <v>400</v>
      </c>
      <c r="J424" s="251">
        <v>3500</v>
      </c>
      <c r="K424" s="563">
        <f>ROUND(I424*J424,0)</f>
        <v>1400000</v>
      </c>
      <c r="L424" s="564" t="s">
        <v>253</v>
      </c>
      <c r="M424" s="564" t="s">
        <v>177</v>
      </c>
      <c r="N424" s="52" t="str">
        <f>IF(AND('331-CT'!$E$7=TH!H424,OR(L424="331",M424="331")),"331",IF(AND(OR(L424="131",M424="131"),H424='131-CT'!$E$7),"131",""))</f>
        <v/>
      </c>
      <c r="O424" s="89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809"/>
      <c r="AC424" s="211" t="str">
        <f>IF(F424=VLOOKUP(F424,NXT!$C$12:$C$345,1,0),"","x")</f>
        <v/>
      </c>
      <c r="AD424" s="211"/>
      <c r="AE424" s="211"/>
    </row>
    <row r="425" spans="1:31" s="555" customFormat="1" ht="15.75" customHeight="1">
      <c r="A425" s="204" t="str">
        <f>IF(B425&lt;&gt;"",IF(AND(B425&gt;=_TM1,B425&lt;=_TM2,OR(TH!L425="1111",TH!M425="1111")),TH!D425,""),"")</f>
        <v/>
      </c>
      <c r="B425" s="36">
        <f t="shared" si="128"/>
        <v>8</v>
      </c>
      <c r="C425" s="184">
        <f t="shared" si="129"/>
        <v>41879</v>
      </c>
      <c r="D425" s="184" t="s">
        <v>951</v>
      </c>
      <c r="E425" s="191">
        <v>41879</v>
      </c>
      <c r="F425" s="192" t="s">
        <v>420</v>
      </c>
      <c r="G425" s="463" t="s">
        <v>660</v>
      </c>
      <c r="H425" s="7" t="s">
        <v>477</v>
      </c>
      <c r="I425" s="251"/>
      <c r="J425" s="251"/>
      <c r="K425" s="563">
        <v>260000</v>
      </c>
      <c r="L425" s="564" t="s">
        <v>253</v>
      </c>
      <c r="M425" s="564" t="s">
        <v>365</v>
      </c>
      <c r="N425" s="52" t="str">
        <f>IF(AND('331-CT'!$E$7=TH!H425,OR(L425="331",M425="331")),"331",IF(AND(OR(L425="131",M425="131"),H425='131-CT'!$E$7),"131",""))</f>
        <v/>
      </c>
      <c r="O425" s="89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809"/>
      <c r="AC425" s="555" t="str">
        <f>IF(VLOOKUP(H425,DS_131,1,0)&lt;&gt;"","","x")</f>
        <v/>
      </c>
      <c r="AD425" s="211"/>
      <c r="AE425" s="211"/>
    </row>
    <row r="426" spans="1:31" s="555" customFormat="1" ht="15.75" customHeight="1">
      <c r="A426" s="204" t="str">
        <f>IF(B426&lt;&gt;"",IF(AND(B426&gt;=_TM1,B426&lt;=_TM2,OR(TH!L426="1111",TH!M426="1111")),TH!D426,""),"")</f>
        <v/>
      </c>
      <c r="B426" s="36">
        <f t="shared" ref="B426" si="141">IF(C426&lt;&gt;"",MONTH(C426),"")</f>
        <v>8</v>
      </c>
      <c r="C426" s="184">
        <f t="shared" ref="C426" si="142">E426</f>
        <v>41879</v>
      </c>
      <c r="D426" s="184"/>
      <c r="E426" s="191">
        <v>41879</v>
      </c>
      <c r="F426" s="192" t="s">
        <v>894</v>
      </c>
      <c r="G426" s="463" t="s">
        <v>660</v>
      </c>
      <c r="H426" s="7" t="s">
        <v>477</v>
      </c>
      <c r="I426" s="251"/>
      <c r="J426" s="251"/>
      <c r="K426" s="563">
        <v>2860000</v>
      </c>
      <c r="L426" s="564" t="s">
        <v>47</v>
      </c>
      <c r="M426" s="564" t="s">
        <v>253</v>
      </c>
      <c r="N426" s="52" t="str">
        <f>IF(AND('331-CT'!$E$7=TH!H426,OR(L426="331",M426="331")),"331",IF(AND(OR(L426="131",M426="131"),H426='131-CT'!$E$7),"131",""))</f>
        <v/>
      </c>
      <c r="O426" s="890" t="str">
        <f>IF(AND('341-CT'!$E$9=H426,OR(LEFT(L426,3)=$O$7,LEFT(M426,3)=$O$7)),"x","")</f>
        <v/>
      </c>
      <c r="P426" s="52" t="str">
        <f>IF(AND($B426&gt;='111'!$N$11,$B426&lt;='111'!$O$11,OR($L426=$P$7,$M426=$P$7)),"x","")</f>
        <v>x</v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809"/>
      <c r="AC426" s="555" t="str">
        <f>IF(VLOOKUP(H426,DS_131,1,0)&lt;&gt;"","","x")</f>
        <v/>
      </c>
      <c r="AD426" s="211"/>
      <c r="AE426" s="211"/>
    </row>
    <row r="427" spans="1:31" s="555" customFormat="1" ht="15.75" customHeight="1">
      <c r="A427" s="204" t="str">
        <f>IF(B427&lt;&gt;"",IF(AND(B427&gt;=_TM1,B427&lt;=_TM2,OR(TH!L427="1111",TH!M427="1111")),TH!D427,""),"")</f>
        <v/>
      </c>
      <c r="B427" s="36">
        <f t="shared" ref="B427:B493" si="143">IF(C427&lt;&gt;"",MONTH(C427),"")</f>
        <v>9</v>
      </c>
      <c r="C427" s="184">
        <f t="shared" ref="C427:C493" si="144">E427</f>
        <v>41883</v>
      </c>
      <c r="D427" s="184" t="s">
        <v>952</v>
      </c>
      <c r="E427" s="191">
        <v>41883</v>
      </c>
      <c r="F427" s="192" t="s">
        <v>664</v>
      </c>
      <c r="G427" s="463" t="s">
        <v>665</v>
      </c>
      <c r="H427" s="7" t="s">
        <v>641</v>
      </c>
      <c r="I427" s="251">
        <v>509</v>
      </c>
      <c r="J427" s="251">
        <v>6600</v>
      </c>
      <c r="K427" s="563">
        <f>ROUND(I427*J427,0)</f>
        <v>3359400</v>
      </c>
      <c r="L427" s="564" t="s">
        <v>253</v>
      </c>
      <c r="M427" s="564" t="s">
        <v>177</v>
      </c>
      <c r="N427" s="52" t="str">
        <f>IF(AND('331-CT'!$E$7=TH!H427,OR(L427="331",M427="331")),"331",IF(AND(OR(L427="131",M427="131"),H427='131-CT'!$E$7),"131",""))</f>
        <v/>
      </c>
      <c r="O427" s="89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809"/>
      <c r="AC427" s="211" t="str">
        <f>IF(F427=VLOOKUP(F427,NXT!$C$12:$C$345,1,0),"","x")</f>
        <v/>
      </c>
      <c r="AD427" s="211"/>
      <c r="AE427" s="211"/>
    </row>
    <row r="428" spans="1:31" s="555" customFormat="1" ht="15.75" customHeight="1">
      <c r="A428" s="204" t="str">
        <f>IF(B428&lt;&gt;"",IF(AND(B428&gt;=_TM1,B428&lt;=_TM2,OR(TH!L428="1111",TH!M428="1111")),TH!D428,""),"")</f>
        <v/>
      </c>
      <c r="B428" s="36">
        <f t="shared" si="143"/>
        <v>9</v>
      </c>
      <c r="C428" s="184">
        <f t="shared" si="144"/>
        <v>41883</v>
      </c>
      <c r="D428" s="184" t="s">
        <v>952</v>
      </c>
      <c r="E428" s="191">
        <v>41883</v>
      </c>
      <c r="F428" s="192" t="s">
        <v>666</v>
      </c>
      <c r="G428" s="463" t="s">
        <v>665</v>
      </c>
      <c r="H428" s="7" t="s">
        <v>641</v>
      </c>
      <c r="I428" s="251">
        <v>210</v>
      </c>
      <c r="J428" s="251">
        <v>6400</v>
      </c>
      <c r="K428" s="563">
        <f>ROUND(I428*J428,0)</f>
        <v>1344000</v>
      </c>
      <c r="L428" s="564" t="s">
        <v>253</v>
      </c>
      <c r="M428" s="564" t="s">
        <v>177</v>
      </c>
      <c r="N428" s="52" t="str">
        <f>IF(AND('331-CT'!$E$7=TH!H428,OR(L428="331",M428="331")),"331",IF(AND(OR(L428="131",M428="131"),H428='131-CT'!$E$7),"131",""))</f>
        <v/>
      </c>
      <c r="O428" s="89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809"/>
      <c r="AC428" s="211" t="str">
        <f>IF(F428=VLOOKUP(F428,NXT!$C$12:$C$345,1,0),"","x")</f>
        <v/>
      </c>
      <c r="AD428" s="211"/>
      <c r="AE428" s="211"/>
    </row>
    <row r="429" spans="1:31" s="555" customFormat="1" ht="15.75" customHeight="1">
      <c r="A429" s="204" t="str">
        <f>IF(B429&lt;&gt;"",IF(AND(B429&gt;=_TM1,B429&lt;=_TM2,OR(TH!L429="1111",TH!M429="1111")),TH!D429,""),"")</f>
        <v/>
      </c>
      <c r="B429" s="36">
        <f t="shared" si="143"/>
        <v>9</v>
      </c>
      <c r="C429" s="184">
        <f t="shared" si="144"/>
        <v>41883</v>
      </c>
      <c r="D429" s="184" t="s">
        <v>952</v>
      </c>
      <c r="E429" s="191">
        <v>41883</v>
      </c>
      <c r="F429" s="192" t="s">
        <v>420</v>
      </c>
      <c r="G429" s="463" t="s">
        <v>665</v>
      </c>
      <c r="H429" s="7" t="s">
        <v>641</v>
      </c>
      <c r="I429" s="252"/>
      <c r="J429" s="252"/>
      <c r="K429" s="563">
        <v>470340</v>
      </c>
      <c r="L429" s="564" t="s">
        <v>253</v>
      </c>
      <c r="M429" s="564" t="s">
        <v>365</v>
      </c>
      <c r="N429" s="52" t="str">
        <f>IF(AND('331-CT'!$E$7=TH!H429,OR(L429="331",M429="331")),"331",IF(AND(OR(L429="131",M429="131"),H429='131-CT'!$E$7),"131",""))</f>
        <v/>
      </c>
      <c r="O429" s="89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809"/>
      <c r="AC429" s="555" t="str">
        <f>IF(VLOOKUP(H429,DS_131,1,0)&lt;&gt;"","","x")</f>
        <v/>
      </c>
      <c r="AD429" s="211"/>
      <c r="AE429" s="211"/>
    </row>
    <row r="430" spans="1:31" s="555" customFormat="1" ht="15.75" customHeight="1">
      <c r="A430" s="204" t="str">
        <f>IF(B430&lt;&gt;"",IF(AND(B430&gt;=_TM1,B430&lt;=_TM2,OR(TH!L430="1111",TH!M430="1111")),TH!D430,""),"")</f>
        <v/>
      </c>
      <c r="B430" s="36">
        <f t="shared" si="143"/>
        <v>9</v>
      </c>
      <c r="C430" s="184">
        <f t="shared" si="144"/>
        <v>41883</v>
      </c>
      <c r="D430" s="184" t="s">
        <v>953</v>
      </c>
      <c r="E430" s="191">
        <v>41883</v>
      </c>
      <c r="F430" s="192" t="s">
        <v>600</v>
      </c>
      <c r="G430" s="463" t="s">
        <v>667</v>
      </c>
      <c r="H430" s="7" t="s">
        <v>602</v>
      </c>
      <c r="I430" s="251">
        <v>1116</v>
      </c>
      <c r="J430" s="251">
        <v>13000</v>
      </c>
      <c r="K430" s="563">
        <f>ROUND(I430*J430,0)</f>
        <v>14508000</v>
      </c>
      <c r="L430" s="564" t="s">
        <v>253</v>
      </c>
      <c r="M430" s="564" t="s">
        <v>177</v>
      </c>
      <c r="N430" s="52" t="str">
        <f>IF(AND('331-CT'!$E$7=TH!H430,OR(L430="331",M430="331")),"331",IF(AND(OR(L430="131",M430="131"),H430='131-CT'!$E$7),"131",""))</f>
        <v/>
      </c>
      <c r="O430" s="89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809"/>
      <c r="AC430" s="211" t="str">
        <f>IF(F430=VLOOKUP(F430,NXT!$C$12:$C$345,1,0),"","x")</f>
        <v/>
      </c>
      <c r="AD430" s="211"/>
      <c r="AE430" s="211"/>
    </row>
    <row r="431" spans="1:31" s="555" customFormat="1" ht="15.75" customHeight="1">
      <c r="A431" s="204" t="str">
        <f>IF(B431&lt;&gt;"",IF(AND(B431&gt;=_TM1,B431&lt;=_TM2,OR(TH!L431="1111",TH!M431="1111")),TH!D431,""),"")</f>
        <v/>
      </c>
      <c r="B431" s="36">
        <f t="shared" si="143"/>
        <v>9</v>
      </c>
      <c r="C431" s="184">
        <f t="shared" si="144"/>
        <v>41883</v>
      </c>
      <c r="D431" s="184" t="s">
        <v>953</v>
      </c>
      <c r="E431" s="191">
        <v>41883</v>
      </c>
      <c r="F431" s="192" t="s">
        <v>662</v>
      </c>
      <c r="G431" s="463" t="s">
        <v>667</v>
      </c>
      <c r="H431" s="7" t="s">
        <v>602</v>
      </c>
      <c r="I431" s="251">
        <v>1273</v>
      </c>
      <c r="J431" s="251">
        <v>10050</v>
      </c>
      <c r="K431" s="563">
        <f>ROUND(I431*J431,0)</f>
        <v>12793650</v>
      </c>
      <c r="L431" s="564" t="s">
        <v>253</v>
      </c>
      <c r="M431" s="564" t="s">
        <v>177</v>
      </c>
      <c r="N431" s="52" t="str">
        <f>IF(AND('331-CT'!$E$7=TH!H431,OR(L431="331",M431="331")),"331",IF(AND(OR(L431="131",M431="131"),H431='131-CT'!$E$7),"131",""))</f>
        <v/>
      </c>
      <c r="O431" s="89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809"/>
      <c r="AC431" s="211" t="str">
        <f>IF(F431=VLOOKUP(F431,NXT!$C$12:$C$345,1,0),"","x")</f>
        <v/>
      </c>
      <c r="AD431" s="211"/>
      <c r="AE431" s="211"/>
    </row>
    <row r="432" spans="1:31" s="555" customFormat="1" ht="15.75" customHeight="1">
      <c r="A432" s="204" t="str">
        <f>IF(B432&lt;&gt;"",IF(AND(B432&gt;=_TM1,B432&lt;=_TM2,OR(TH!L432="1111",TH!M432="1111")),TH!D432,""),"")</f>
        <v/>
      </c>
      <c r="B432" s="36">
        <f t="shared" si="143"/>
        <v>9</v>
      </c>
      <c r="C432" s="184">
        <f t="shared" si="144"/>
        <v>41883</v>
      </c>
      <c r="D432" s="184" t="s">
        <v>953</v>
      </c>
      <c r="E432" s="191">
        <v>41883</v>
      </c>
      <c r="F432" s="192" t="s">
        <v>603</v>
      </c>
      <c r="G432" s="463" t="s">
        <v>667</v>
      </c>
      <c r="H432" s="7" t="s">
        <v>602</v>
      </c>
      <c r="I432" s="251">
        <v>373</v>
      </c>
      <c r="J432" s="251">
        <v>11900</v>
      </c>
      <c r="K432" s="563">
        <f>ROUND(I432*J432,0)</f>
        <v>4438700</v>
      </c>
      <c r="L432" s="564" t="s">
        <v>253</v>
      </c>
      <c r="M432" s="564" t="s">
        <v>177</v>
      </c>
      <c r="N432" s="52" t="str">
        <f>IF(AND('331-CT'!$E$7=TH!H432,OR(L432="331",M432="331")),"331",IF(AND(OR(L432="131",M432="131"),H432='131-CT'!$E$7),"131",""))</f>
        <v/>
      </c>
      <c r="O432" s="89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809"/>
      <c r="AC432" s="211" t="str">
        <f>IF(F432=VLOOKUP(F432,NXT!$C$12:$C$345,1,0),"","x")</f>
        <v/>
      </c>
      <c r="AD432" s="211"/>
      <c r="AE432" s="211"/>
    </row>
    <row r="433" spans="1:31" s="555" customFormat="1" ht="15.75" customHeight="1">
      <c r="A433" s="204" t="str">
        <f>IF(B433&lt;&gt;"",IF(AND(B433&gt;=_TM1,B433&lt;=_TM2,OR(TH!L433="1111",TH!M433="1111")),TH!D433,""),"")</f>
        <v/>
      </c>
      <c r="B433" s="36">
        <f t="shared" si="143"/>
        <v>9</v>
      </c>
      <c r="C433" s="184">
        <f t="shared" si="144"/>
        <v>41883</v>
      </c>
      <c r="D433" s="184" t="s">
        <v>953</v>
      </c>
      <c r="E433" s="191">
        <v>41883</v>
      </c>
      <c r="F433" s="192" t="s">
        <v>663</v>
      </c>
      <c r="G433" s="463" t="s">
        <v>667</v>
      </c>
      <c r="H433" s="7" t="s">
        <v>602</v>
      </c>
      <c r="I433" s="251">
        <v>176</v>
      </c>
      <c r="J433" s="251">
        <v>13650</v>
      </c>
      <c r="K433" s="563">
        <f>ROUND(I433*J433,0)</f>
        <v>2402400</v>
      </c>
      <c r="L433" s="564" t="s">
        <v>253</v>
      </c>
      <c r="M433" s="564" t="s">
        <v>177</v>
      </c>
      <c r="N433" s="52" t="str">
        <f>IF(AND('331-CT'!$E$7=TH!H433,OR(L433="331",M433="331")),"331",IF(AND(OR(L433="131",M433="131"),H433='131-CT'!$E$7),"131",""))</f>
        <v/>
      </c>
      <c r="O433" s="89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809"/>
      <c r="AC433" s="211" t="str">
        <f>IF(F433=VLOOKUP(F433,NXT!$C$12:$C$345,1,0),"","x")</f>
        <v/>
      </c>
      <c r="AD433" s="211"/>
      <c r="AE433" s="211"/>
    </row>
    <row r="434" spans="1:31" s="555" customFormat="1" ht="15.75" customHeight="1">
      <c r="A434" s="204" t="str">
        <f>IF(B434&lt;&gt;"",IF(AND(B434&gt;=_TM1,B434&lt;=_TM2,OR(TH!L434="1111",TH!M434="1111")),TH!D434,""),"")</f>
        <v/>
      </c>
      <c r="B434" s="36">
        <f t="shared" si="143"/>
        <v>9</v>
      </c>
      <c r="C434" s="184">
        <f t="shared" si="144"/>
        <v>41883</v>
      </c>
      <c r="D434" s="184" t="s">
        <v>953</v>
      </c>
      <c r="E434" s="191">
        <v>41883</v>
      </c>
      <c r="F434" s="192" t="s">
        <v>623</v>
      </c>
      <c r="G434" s="463" t="s">
        <v>667</v>
      </c>
      <c r="H434" s="7" t="s">
        <v>602</v>
      </c>
      <c r="I434" s="251">
        <v>4500</v>
      </c>
      <c r="J434" s="251">
        <v>400</v>
      </c>
      <c r="K434" s="563">
        <f>ROUND(I434*J434,0)</f>
        <v>1800000</v>
      </c>
      <c r="L434" s="564" t="s">
        <v>253</v>
      </c>
      <c r="M434" s="564" t="s">
        <v>177</v>
      </c>
      <c r="N434" s="52" t="str">
        <f>IF(AND('331-CT'!$E$7=TH!H434,OR(L434="331",M434="331")),"331",IF(AND(OR(L434="131",M434="131"),H434='131-CT'!$E$7),"131",""))</f>
        <v/>
      </c>
      <c r="O434" s="89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809"/>
      <c r="AC434" s="211" t="str">
        <f>IF(F434=VLOOKUP(F434,NXT!$C$12:$C$345,1,0),"","x")</f>
        <v/>
      </c>
      <c r="AD434" s="211"/>
      <c r="AE434" s="211"/>
    </row>
    <row r="435" spans="1:31" s="555" customFormat="1" ht="15.75" customHeight="1">
      <c r="A435" s="204" t="str">
        <f>IF(B435&lt;&gt;"",IF(AND(B435&gt;=_TM1,B435&lt;=_TM2,OR(TH!L435="1111",TH!M435="1111")),TH!D435,""),"")</f>
        <v/>
      </c>
      <c r="B435" s="36">
        <f t="shared" si="143"/>
        <v>9</v>
      </c>
      <c r="C435" s="184">
        <f t="shared" si="144"/>
        <v>41883</v>
      </c>
      <c r="D435" s="184" t="s">
        <v>953</v>
      </c>
      <c r="E435" s="191">
        <v>41883</v>
      </c>
      <c r="F435" s="192" t="s">
        <v>420</v>
      </c>
      <c r="G435" s="463" t="s">
        <v>667</v>
      </c>
      <c r="H435" s="7" t="s">
        <v>602</v>
      </c>
      <c r="I435" s="251"/>
      <c r="J435" s="251"/>
      <c r="K435" s="563">
        <v>3594275</v>
      </c>
      <c r="L435" s="564" t="s">
        <v>253</v>
      </c>
      <c r="M435" s="564" t="s">
        <v>365</v>
      </c>
      <c r="N435" s="52" t="str">
        <f>IF(AND('331-CT'!$E$7=TH!H435,OR(L435="331",M435="331")),"331",IF(AND(OR(L435="131",M435="131"),H435='131-CT'!$E$7),"131",""))</f>
        <v/>
      </c>
      <c r="O435" s="89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809"/>
      <c r="AC435" s="555" t="str">
        <f>IF(VLOOKUP(H435,DS_131,1,0)&lt;&gt;"","","x")</f>
        <v/>
      </c>
      <c r="AD435" s="211"/>
      <c r="AE435" s="211"/>
    </row>
    <row r="436" spans="1:31" s="555" customFormat="1" ht="15.75" customHeight="1">
      <c r="A436" s="204" t="str">
        <f>IF(B436&lt;&gt;"",IF(AND(B436&gt;=_TM1,B436&lt;=_TM2,OR(TH!L436="1111",TH!M436="1111")),TH!D436,""),"")</f>
        <v/>
      </c>
      <c r="B436" s="36">
        <f t="shared" si="143"/>
        <v>9</v>
      </c>
      <c r="C436" s="184">
        <f t="shared" si="144"/>
        <v>41883</v>
      </c>
      <c r="D436" s="184" t="s">
        <v>954</v>
      </c>
      <c r="E436" s="191">
        <v>41883</v>
      </c>
      <c r="F436" s="192" t="s">
        <v>668</v>
      </c>
      <c r="G436" s="463" t="s">
        <v>669</v>
      </c>
      <c r="H436" s="7" t="s">
        <v>454</v>
      </c>
      <c r="I436" s="251">
        <v>500</v>
      </c>
      <c r="J436" s="251">
        <v>7000</v>
      </c>
      <c r="K436" s="563">
        <f>ROUND(I436*J436,0)</f>
        <v>3500000</v>
      </c>
      <c r="L436" s="564" t="s">
        <v>253</v>
      </c>
      <c r="M436" s="564" t="s">
        <v>177</v>
      </c>
      <c r="N436" s="52" t="str">
        <f>IF(AND('331-CT'!$E$7=TH!H436,OR(L436="331",M436="331")),"331",IF(AND(OR(L436="131",M436="131"),H436='131-CT'!$E$7),"131",""))</f>
        <v>131</v>
      </c>
      <c r="O436" s="89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809"/>
      <c r="AC436" s="211" t="str">
        <f>IF(F436=VLOOKUP(F436,NXT!$C$12:$C$345,1,0),"","x")</f>
        <v/>
      </c>
      <c r="AD436" s="211"/>
      <c r="AE436" s="211"/>
    </row>
    <row r="437" spans="1:31" s="555" customFormat="1" ht="15.75" customHeight="1">
      <c r="A437" s="204" t="str">
        <f>IF(B437&lt;&gt;"",IF(AND(B437&gt;=_TM1,B437&lt;=_TM2,OR(TH!L437="1111",TH!M437="1111")),TH!D437,""),"")</f>
        <v/>
      </c>
      <c r="B437" s="36">
        <f t="shared" si="143"/>
        <v>9</v>
      </c>
      <c r="C437" s="184">
        <f t="shared" si="144"/>
        <v>41883</v>
      </c>
      <c r="D437" s="184" t="s">
        <v>954</v>
      </c>
      <c r="E437" s="191">
        <v>41883</v>
      </c>
      <c r="F437" s="192" t="s">
        <v>420</v>
      </c>
      <c r="G437" s="463" t="s">
        <v>669</v>
      </c>
      <c r="H437" s="7" t="s">
        <v>454</v>
      </c>
      <c r="I437" s="251"/>
      <c r="J437" s="251"/>
      <c r="K437" s="563">
        <v>350000</v>
      </c>
      <c r="L437" s="564" t="s">
        <v>253</v>
      </c>
      <c r="M437" s="564" t="s">
        <v>365</v>
      </c>
      <c r="N437" s="52" t="str">
        <f>IF(AND('331-CT'!$E$7=TH!H437,OR(L437="331",M437="331")),"331",IF(AND(OR(L437="131",M437="131"),H437='131-CT'!$E$7),"131",""))</f>
        <v>131</v>
      </c>
      <c r="O437" s="89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809"/>
      <c r="AC437" s="555" t="str">
        <f>IF(VLOOKUP(H437,DS_131,1,0)&lt;&gt;"","","x")</f>
        <v/>
      </c>
      <c r="AD437" s="211"/>
      <c r="AE437" s="211"/>
    </row>
    <row r="438" spans="1:31" s="555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" si="145">IF(C438&lt;&gt;"",MONTH(C438),"")</f>
        <v>9</v>
      </c>
      <c r="C438" s="184">
        <f t="shared" ref="C438" si="146">E438</f>
        <v>41883</v>
      </c>
      <c r="D438" s="184"/>
      <c r="E438" s="191">
        <v>41883</v>
      </c>
      <c r="F438" s="192" t="s">
        <v>894</v>
      </c>
      <c r="G438" s="463" t="s">
        <v>669</v>
      </c>
      <c r="H438" s="7" t="s">
        <v>454</v>
      </c>
      <c r="I438" s="251"/>
      <c r="J438" s="251"/>
      <c r="K438" s="563">
        <v>3850000</v>
      </c>
      <c r="L438" s="564" t="s">
        <v>47</v>
      </c>
      <c r="M438" s="564" t="s">
        <v>253</v>
      </c>
      <c r="N438" s="52" t="str">
        <f>IF(AND('331-CT'!$E$7=TH!H438,OR(L438="331",M438="331")),"331",IF(AND(OR(L438="131",M438="131"),H438='131-CT'!$E$7),"131",""))</f>
        <v>131</v>
      </c>
      <c r="O438" s="890" t="str">
        <f>IF(AND('341-CT'!$E$9=H438,OR(LEFT(L438,3)=$O$7,LEFT(M438,3)=$O$7)),"x","")</f>
        <v/>
      </c>
      <c r="P438" s="52" t="str">
        <f>IF(AND($B438&gt;='111'!$N$11,$B438&lt;='111'!$O$11,OR($L438=$P$7,$M438=$P$7)),"x","")</f>
        <v>x</v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809"/>
      <c r="AC438" s="555" t="str">
        <f>IF(VLOOKUP(H438,DS_131,1,0)&lt;&gt;"","","x")</f>
        <v/>
      </c>
      <c r="AD438" s="211"/>
      <c r="AE438" s="211"/>
    </row>
    <row r="439" spans="1:31" s="555" customFormat="1" ht="15.75" customHeight="1">
      <c r="A439" s="204" t="str">
        <f>IF(B439&lt;&gt;"",IF(AND(B439&gt;=_TM1,B439&lt;=_TM2,OR(TH!L439="1111",TH!M439="1111")),TH!D439,""),"")</f>
        <v/>
      </c>
      <c r="B439" s="36">
        <f t="shared" si="143"/>
        <v>9</v>
      </c>
      <c r="C439" s="184">
        <f t="shared" si="144"/>
        <v>41886</v>
      </c>
      <c r="D439" s="184" t="s">
        <v>955</v>
      </c>
      <c r="E439" s="191">
        <v>41886</v>
      </c>
      <c r="F439" s="192" t="s">
        <v>670</v>
      </c>
      <c r="G439" s="463" t="s">
        <v>671</v>
      </c>
      <c r="H439" s="7" t="s">
        <v>672</v>
      </c>
      <c r="I439" s="251">
        <v>711</v>
      </c>
      <c r="J439" s="251">
        <v>9500</v>
      </c>
      <c r="K439" s="563">
        <f>ROUND(I439*J439,0)</f>
        <v>6754500</v>
      </c>
      <c r="L439" s="564" t="s">
        <v>253</v>
      </c>
      <c r="M439" s="564" t="s">
        <v>177</v>
      </c>
      <c r="N439" s="52" t="str">
        <f>IF(AND('331-CT'!$E$7=TH!H439,OR(L439="331",M439="331")),"331",IF(AND(OR(L439="131",M439="131"),H439='131-CT'!$E$7),"131",""))</f>
        <v/>
      </c>
      <c r="O439" s="890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809"/>
      <c r="AC439" s="211" t="str">
        <f>IF(F439=VLOOKUP(F439,NXT!$C$12:$C$345,1,0),"","x")</f>
        <v/>
      </c>
      <c r="AD439" s="211"/>
      <c r="AE439" s="211"/>
    </row>
    <row r="440" spans="1:31" s="555" customFormat="1" ht="15.75" customHeight="1">
      <c r="A440" s="204" t="str">
        <f>IF(B440&lt;&gt;"",IF(AND(B440&gt;=_TM1,B440&lt;=_TM2,OR(TH!L440="1111",TH!M440="1111")),TH!D440,""),"")</f>
        <v/>
      </c>
      <c r="B440" s="36">
        <f t="shared" si="143"/>
        <v>9</v>
      </c>
      <c r="C440" s="184">
        <f t="shared" si="144"/>
        <v>41886</v>
      </c>
      <c r="D440" s="184" t="s">
        <v>955</v>
      </c>
      <c r="E440" s="191">
        <v>41886</v>
      </c>
      <c r="F440" s="192" t="s">
        <v>420</v>
      </c>
      <c r="G440" s="463" t="s">
        <v>671</v>
      </c>
      <c r="H440" s="7" t="s">
        <v>672</v>
      </c>
      <c r="I440" s="251"/>
      <c r="J440" s="251"/>
      <c r="K440" s="563">
        <v>675450</v>
      </c>
      <c r="L440" s="564" t="s">
        <v>253</v>
      </c>
      <c r="M440" s="564" t="s">
        <v>365</v>
      </c>
      <c r="N440" s="52" t="str">
        <f>IF(AND('331-CT'!$E$7=TH!H440,OR(L440="331",M440="331")),"331",IF(AND(OR(L440="131",M440="131"),H440='131-CT'!$E$7),"131",""))</f>
        <v/>
      </c>
      <c r="O440" s="89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809"/>
      <c r="AC440" s="555" t="str">
        <f>IF(VLOOKUP(H440,DS_131,1,0)&lt;&gt;"","","x")</f>
        <v/>
      </c>
      <c r="AD440" s="211"/>
      <c r="AE440" s="211"/>
    </row>
    <row r="441" spans="1:31" s="555" customFormat="1" ht="15.75" customHeight="1">
      <c r="A441" s="204" t="str">
        <f>IF(B441&lt;&gt;"",IF(AND(B441&gt;=_TM1,B441&lt;=_TM2,OR(TH!L441="1111",TH!M441="1111")),TH!D441,""),"")</f>
        <v/>
      </c>
      <c r="B441" s="36">
        <f t="shared" ref="B441" si="147">IF(C441&lt;&gt;"",MONTH(C441),"")</f>
        <v>9</v>
      </c>
      <c r="C441" s="184">
        <f t="shared" ref="C441" si="148">E441</f>
        <v>41886</v>
      </c>
      <c r="D441" s="184"/>
      <c r="E441" s="191">
        <v>41886</v>
      </c>
      <c r="F441" s="192" t="s">
        <v>894</v>
      </c>
      <c r="G441" s="463" t="s">
        <v>671</v>
      </c>
      <c r="H441" s="7" t="s">
        <v>672</v>
      </c>
      <c r="I441" s="251"/>
      <c r="J441" s="251"/>
      <c r="K441" s="563">
        <v>7429950</v>
      </c>
      <c r="L441" s="564" t="s">
        <v>47</v>
      </c>
      <c r="M441" s="564" t="s">
        <v>253</v>
      </c>
      <c r="N441" s="52" t="str">
        <f>IF(AND('331-CT'!$E$7=TH!H441,OR(L441="331",M441="331")),"331",IF(AND(OR(L441="131",M441="131"),H441='131-CT'!$E$7),"131",""))</f>
        <v/>
      </c>
      <c r="O441" s="890" t="str">
        <f>IF(AND('341-CT'!$E$9=H441,OR(LEFT(L441,3)=$O$7,LEFT(M441,3)=$O$7)),"x","")</f>
        <v/>
      </c>
      <c r="P441" s="52" t="str">
        <f>IF(AND($B441&gt;='111'!$N$11,$B441&lt;='111'!$O$11,OR($L441=$P$7,$M441=$P$7)),"x","")</f>
        <v>x</v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809"/>
      <c r="AC441" s="555" t="str">
        <f>IF(VLOOKUP(H441,DS_131,1,0)&lt;&gt;"","","x")</f>
        <v/>
      </c>
      <c r="AD441" s="211"/>
      <c r="AE441" s="211"/>
    </row>
    <row r="442" spans="1:31" s="555" customFormat="1" ht="15.75" customHeight="1">
      <c r="A442" s="204" t="str">
        <f>IF(B442&lt;&gt;"",IF(AND(B442&gt;=_TM1,B442&lt;=_TM2,OR(TH!L442="1111",TH!M442="1111")),TH!D442,""),"")</f>
        <v/>
      </c>
      <c r="B442" s="36">
        <f t="shared" si="143"/>
        <v>9</v>
      </c>
      <c r="C442" s="184">
        <f t="shared" si="144"/>
        <v>41886</v>
      </c>
      <c r="D442" s="184" t="s">
        <v>956</v>
      </c>
      <c r="E442" s="191">
        <v>41886</v>
      </c>
      <c r="F442" s="192" t="s">
        <v>483</v>
      </c>
      <c r="G442" s="463" t="s">
        <v>673</v>
      </c>
      <c r="H442" s="7" t="s">
        <v>907</v>
      </c>
      <c r="I442" s="251">
        <v>197</v>
      </c>
      <c r="J442" s="251">
        <v>12900</v>
      </c>
      <c r="K442" s="563">
        <f>ROUND(I442*J442,0)</f>
        <v>2541300</v>
      </c>
      <c r="L442" s="564" t="s">
        <v>253</v>
      </c>
      <c r="M442" s="564" t="s">
        <v>177</v>
      </c>
      <c r="N442" s="52" t="str">
        <f>IF(AND('331-CT'!$E$7=TH!H442,OR(L442="331",M442="331")),"331",IF(AND(OR(L442="131",M442="131"),H442='131-CT'!$E$7),"131",""))</f>
        <v/>
      </c>
      <c r="O442" s="89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809"/>
      <c r="AC442" s="211" t="str">
        <f>IF(F442=VLOOKUP(F442,NXT!$C$12:$C$345,1,0),"","x")</f>
        <v/>
      </c>
      <c r="AD442" s="211"/>
      <c r="AE442" s="211"/>
    </row>
    <row r="443" spans="1:31" s="555" customFormat="1" ht="15.75" customHeight="1">
      <c r="A443" s="204" t="str">
        <f>IF(B443&lt;&gt;"",IF(AND(B443&gt;=_TM1,B443&lt;=_TM2,OR(TH!L443="1111",TH!M443="1111")),TH!D443,""),"")</f>
        <v/>
      </c>
      <c r="B443" s="36">
        <f t="shared" si="143"/>
        <v>9</v>
      </c>
      <c r="C443" s="184">
        <f t="shared" si="144"/>
        <v>41886</v>
      </c>
      <c r="D443" s="184" t="s">
        <v>956</v>
      </c>
      <c r="E443" s="191">
        <v>41886</v>
      </c>
      <c r="F443" s="192" t="s">
        <v>486</v>
      </c>
      <c r="G443" s="463" t="s">
        <v>673</v>
      </c>
      <c r="H443" s="7" t="s">
        <v>907</v>
      </c>
      <c r="I443" s="251">
        <v>307</v>
      </c>
      <c r="J443" s="251">
        <v>9900</v>
      </c>
      <c r="K443" s="563">
        <f>ROUND(I443*J443,0)</f>
        <v>3039300</v>
      </c>
      <c r="L443" s="564" t="s">
        <v>253</v>
      </c>
      <c r="M443" s="564" t="s">
        <v>177</v>
      </c>
      <c r="N443" s="52" t="str">
        <f>IF(AND('331-CT'!$E$7=TH!H443,OR(L443="331",M443="331")),"331",IF(AND(OR(L443="131",M443="131"),H443='131-CT'!$E$7),"131",""))</f>
        <v/>
      </c>
      <c r="O443" s="89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809"/>
      <c r="AC443" s="211" t="str">
        <f>IF(F443=VLOOKUP(F443,NXT!$C$12:$C$345,1,0),"","x")</f>
        <v/>
      </c>
      <c r="AD443" s="211"/>
      <c r="AE443" s="211"/>
    </row>
    <row r="444" spans="1:31" s="555" customFormat="1" ht="15.75" customHeight="1">
      <c r="A444" s="204" t="str">
        <f>IF(B444&lt;&gt;"",IF(AND(B444&gt;=_TM1,B444&lt;=_TM2,OR(TH!L444="1111",TH!M444="1111")),TH!D444,""),"")</f>
        <v/>
      </c>
      <c r="B444" s="36">
        <f t="shared" si="143"/>
        <v>9</v>
      </c>
      <c r="C444" s="184">
        <f t="shared" si="144"/>
        <v>41886</v>
      </c>
      <c r="D444" s="184" t="s">
        <v>956</v>
      </c>
      <c r="E444" s="191">
        <v>41886</v>
      </c>
      <c r="F444" s="192" t="s">
        <v>420</v>
      </c>
      <c r="G444" s="463" t="s">
        <v>673</v>
      </c>
      <c r="H444" s="7" t="s">
        <v>907</v>
      </c>
      <c r="I444" s="251"/>
      <c r="J444" s="251"/>
      <c r="K444" s="563">
        <v>558060</v>
      </c>
      <c r="L444" s="564" t="s">
        <v>253</v>
      </c>
      <c r="M444" s="564" t="s">
        <v>365</v>
      </c>
      <c r="N444" s="52" t="str">
        <f>IF(AND('331-CT'!$E$7=TH!H444,OR(L444="331",M444="331")),"331",IF(AND(OR(L444="131",M444="131"),H444='131-CT'!$E$7),"131",""))</f>
        <v/>
      </c>
      <c r="O444" s="89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809"/>
      <c r="AC444" s="555" t="str">
        <f>IF(VLOOKUP(H444,DS_131,1,0)&lt;&gt;"","","x")</f>
        <v/>
      </c>
      <c r="AD444" s="211"/>
      <c r="AE444" s="211"/>
    </row>
    <row r="445" spans="1:31" s="555" customFormat="1" ht="15.75" customHeight="1">
      <c r="A445" s="204" t="str">
        <f>IF(B445&lt;&gt;"",IF(AND(B445&gt;=_TM1,B445&lt;=_TM2,OR(TH!L445="1111",TH!M445="1111")),TH!D445,""),"")</f>
        <v/>
      </c>
      <c r="B445" s="36">
        <f t="shared" si="143"/>
        <v>9</v>
      </c>
      <c r="C445" s="184">
        <f t="shared" si="144"/>
        <v>41890</v>
      </c>
      <c r="D445" s="184" t="s">
        <v>957</v>
      </c>
      <c r="E445" s="191">
        <v>41890</v>
      </c>
      <c r="F445" s="192" t="s">
        <v>674</v>
      </c>
      <c r="G445" s="463" t="s">
        <v>675</v>
      </c>
      <c r="H445" s="7" t="s">
        <v>441</v>
      </c>
      <c r="I445" s="251">
        <v>860</v>
      </c>
      <c r="J445" s="251">
        <v>18600</v>
      </c>
      <c r="K445" s="563">
        <f>ROUND(I445*J445,0)</f>
        <v>15996000</v>
      </c>
      <c r="L445" s="564" t="s">
        <v>253</v>
      </c>
      <c r="M445" s="564" t="s">
        <v>177</v>
      </c>
      <c r="N445" s="52" t="str">
        <f>IF(AND('331-CT'!$E$7=TH!H445,OR(L445="331",M445="331")),"331",IF(AND(OR(L445="131",M445="131"),H445='131-CT'!$E$7),"131",""))</f>
        <v/>
      </c>
      <c r="O445" s="89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809"/>
      <c r="AC445" s="211" t="str">
        <f>IF(F445=VLOOKUP(F445,NXT!$C$12:$C$345,1,0),"","x")</f>
        <v/>
      </c>
      <c r="AD445" s="211"/>
      <c r="AE445" s="211"/>
    </row>
    <row r="446" spans="1:31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143"/>
        <v>9</v>
      </c>
      <c r="C446" s="184">
        <f t="shared" si="144"/>
        <v>41890</v>
      </c>
      <c r="D446" s="184" t="s">
        <v>957</v>
      </c>
      <c r="E446" s="191">
        <v>41890</v>
      </c>
      <c r="F446" s="192" t="s">
        <v>420</v>
      </c>
      <c r="G446" s="463" t="s">
        <v>675</v>
      </c>
      <c r="H446" s="7" t="s">
        <v>441</v>
      </c>
      <c r="I446" s="251"/>
      <c r="J446" s="251"/>
      <c r="K446" s="563">
        <v>1599600</v>
      </c>
      <c r="L446" s="564" t="s">
        <v>253</v>
      </c>
      <c r="M446" s="564" t="s">
        <v>365</v>
      </c>
      <c r="N446" s="52" t="str">
        <f>IF(AND('331-CT'!$E$7=TH!H446,OR(L446="331",M446="331")),"331",IF(AND(OR(L446="131",M446="131"),H446='131-CT'!$E$7),"131",""))</f>
        <v/>
      </c>
      <c r="O446" s="89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809"/>
      <c r="AC446" s="555" t="str">
        <f>IF(VLOOKUP(H446,DS_131,1,0)&lt;&gt;"","","x")</f>
        <v/>
      </c>
    </row>
    <row r="447" spans="1:31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ref="B447" si="149">IF(C447&lt;&gt;"",MONTH(C447),"")</f>
        <v>9</v>
      </c>
      <c r="C447" s="184">
        <f t="shared" ref="C447" si="150">E447</f>
        <v>41890</v>
      </c>
      <c r="D447" s="184"/>
      <c r="E447" s="191">
        <v>41890</v>
      </c>
      <c r="F447" s="192" t="s">
        <v>894</v>
      </c>
      <c r="G447" s="463" t="s">
        <v>675</v>
      </c>
      <c r="H447" s="7" t="s">
        <v>441</v>
      </c>
      <c r="I447" s="251"/>
      <c r="J447" s="251"/>
      <c r="K447" s="563">
        <v>17595600</v>
      </c>
      <c r="L447" s="564" t="s">
        <v>47</v>
      </c>
      <c r="M447" s="564" t="s">
        <v>253</v>
      </c>
      <c r="N447" s="52" t="str">
        <f>IF(AND('331-CT'!$E$7=TH!H447,OR(L447="331",M447="331")),"331",IF(AND(OR(L447="131",M447="131"),H447='131-CT'!$E$7),"131",""))</f>
        <v/>
      </c>
      <c r="O447" s="890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809"/>
      <c r="AC447" s="555" t="str">
        <f>IF(VLOOKUP(H447,DS_131,1,0)&lt;&gt;"","","x")</f>
        <v/>
      </c>
    </row>
    <row r="448" spans="1:31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143"/>
        <v>9</v>
      </c>
      <c r="C448" s="184">
        <f t="shared" si="144"/>
        <v>41890</v>
      </c>
      <c r="D448" s="184" t="s">
        <v>958</v>
      </c>
      <c r="E448" s="191">
        <v>41890</v>
      </c>
      <c r="F448" s="192" t="s">
        <v>663</v>
      </c>
      <c r="G448" s="463" t="s">
        <v>676</v>
      </c>
      <c r="H448" s="7" t="s">
        <v>602</v>
      </c>
      <c r="I448" s="251">
        <v>2153</v>
      </c>
      <c r="J448" s="251">
        <v>13650</v>
      </c>
      <c r="K448" s="563">
        <f>ROUND(I448*J448,0)</f>
        <v>29388450</v>
      </c>
      <c r="L448" s="564" t="s">
        <v>253</v>
      </c>
      <c r="M448" s="564" t="s">
        <v>177</v>
      </c>
      <c r="N448" s="52" t="str">
        <f>IF(AND('331-CT'!$E$7=TH!H448,OR(L448="331",M448="331")),"331",IF(AND(OR(L448="131",M448="131"),H448='131-CT'!$E$7),"131",""))</f>
        <v/>
      </c>
      <c r="O448" s="89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809"/>
      <c r="AC448" s="211" t="str">
        <f>IF(F448=VLOOKUP(F448,NXT!$C$12:$C$345,1,0),"","x")</f>
        <v/>
      </c>
    </row>
    <row r="449" spans="1:31" s="555" customFormat="1" ht="15.75" customHeight="1">
      <c r="A449" s="204" t="str">
        <f>IF(B449&lt;&gt;"",IF(AND(B449&gt;=_TM1,B449&lt;=_TM2,OR(TH!L449="1111",TH!M449="1111")),TH!D449,""),"")</f>
        <v/>
      </c>
      <c r="B449" s="36">
        <f t="shared" si="143"/>
        <v>9</v>
      </c>
      <c r="C449" s="184">
        <f t="shared" si="144"/>
        <v>41890</v>
      </c>
      <c r="D449" s="184" t="s">
        <v>958</v>
      </c>
      <c r="E449" s="191">
        <v>41890</v>
      </c>
      <c r="F449" s="192" t="s">
        <v>623</v>
      </c>
      <c r="G449" s="463" t="s">
        <v>676</v>
      </c>
      <c r="H449" s="7" t="s">
        <v>602</v>
      </c>
      <c r="I449" s="251">
        <v>2000</v>
      </c>
      <c r="J449" s="251">
        <v>400</v>
      </c>
      <c r="K449" s="563">
        <f>ROUND(I449*J449,0)</f>
        <v>800000</v>
      </c>
      <c r="L449" s="564" t="s">
        <v>253</v>
      </c>
      <c r="M449" s="564" t="s">
        <v>177</v>
      </c>
      <c r="N449" s="52" t="str">
        <f>IF(AND('331-CT'!$E$7=TH!H449,OR(L449="331",M449="331")),"331",IF(AND(OR(L449="131",M449="131"),H449='131-CT'!$E$7),"131",""))</f>
        <v/>
      </c>
      <c r="O449" s="890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809"/>
      <c r="AC449" s="211" t="str">
        <f>IF(F449=VLOOKUP(F449,NXT!$C$12:$C$345,1,0),"","x")</f>
        <v/>
      </c>
      <c r="AD449" s="211"/>
      <c r="AE449" s="211"/>
    </row>
    <row r="450" spans="1:31" s="555" customFormat="1" ht="15.75" customHeight="1">
      <c r="A450" s="204" t="str">
        <f>IF(B450&lt;&gt;"",IF(AND(B450&gt;=_TM1,B450&lt;=_TM2,OR(TH!L450="1111",TH!M450="1111")),TH!D450,""),"")</f>
        <v/>
      </c>
      <c r="B450" s="36">
        <f t="shared" si="143"/>
        <v>9</v>
      </c>
      <c r="C450" s="184">
        <f t="shared" si="144"/>
        <v>41890</v>
      </c>
      <c r="D450" s="184" t="s">
        <v>958</v>
      </c>
      <c r="E450" s="191">
        <v>41890</v>
      </c>
      <c r="F450" s="192" t="s">
        <v>420</v>
      </c>
      <c r="G450" s="463" t="s">
        <v>676</v>
      </c>
      <c r="H450" s="7" t="s">
        <v>602</v>
      </c>
      <c r="I450" s="251"/>
      <c r="J450" s="251"/>
      <c r="K450" s="563">
        <v>3018845</v>
      </c>
      <c r="L450" s="564" t="s">
        <v>253</v>
      </c>
      <c r="M450" s="564" t="s">
        <v>365</v>
      </c>
      <c r="N450" s="52" t="str">
        <f>IF(AND('331-CT'!$E$7=TH!H450,OR(L450="331",M450="331")),"331",IF(AND(OR(L450="131",M450="131"),H450='131-CT'!$E$7),"131",""))</f>
        <v/>
      </c>
      <c r="O450" s="890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809"/>
      <c r="AC450" s="555" t="str">
        <f>IF(VLOOKUP(H450,DS_131,1,0)&lt;&gt;"","","x")</f>
        <v/>
      </c>
      <c r="AD450" s="211"/>
      <c r="AE450" s="211"/>
    </row>
    <row r="451" spans="1:31" s="555" customFormat="1" ht="15.75" customHeight="1">
      <c r="A451" s="204" t="str">
        <f>IF(B451&lt;&gt;"",IF(AND(B451&gt;=_TM1,B451&lt;=_TM2,OR(TH!L451="1111",TH!M451="1111")),TH!D451,""),"")</f>
        <v/>
      </c>
      <c r="B451" s="36">
        <f t="shared" si="143"/>
        <v>9</v>
      </c>
      <c r="C451" s="184">
        <f t="shared" si="144"/>
        <v>41890</v>
      </c>
      <c r="D451" s="184" t="s">
        <v>959</v>
      </c>
      <c r="E451" s="191">
        <v>41890</v>
      </c>
      <c r="F451" s="192" t="s">
        <v>1157</v>
      </c>
      <c r="G451" s="463" t="s">
        <v>677</v>
      </c>
      <c r="H451" s="7" t="s">
        <v>654</v>
      </c>
      <c r="I451" s="251">
        <v>1000</v>
      </c>
      <c r="J451" s="251">
        <v>1500</v>
      </c>
      <c r="K451" s="563">
        <f>ROUND(I451*J451,0)</f>
        <v>1500000</v>
      </c>
      <c r="L451" s="564" t="s">
        <v>253</v>
      </c>
      <c r="M451" s="564" t="s">
        <v>177</v>
      </c>
      <c r="N451" s="52" t="str">
        <f>IF(AND('331-CT'!$E$7=TH!H451,OR(L451="331",M451="331")),"331",IF(AND(OR(L451="131",M451="131"),H451='131-CT'!$E$7),"131",""))</f>
        <v/>
      </c>
      <c r="O451" s="89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809"/>
      <c r="AC451" s="211" t="str">
        <f>IF(F451=VLOOKUP(F451,NXT!$C$12:$C$345,1,0),"","x")</f>
        <v/>
      </c>
      <c r="AD451" s="211"/>
      <c r="AE451" s="211"/>
    </row>
    <row r="452" spans="1:31" s="555" customFormat="1" ht="15.75" customHeight="1">
      <c r="A452" s="204" t="str">
        <f>IF(B452&lt;&gt;"",IF(AND(B452&gt;=_TM1,B452&lt;=_TM2,OR(TH!L452="1111",TH!M452="1111")),TH!D452,""),"")</f>
        <v/>
      </c>
      <c r="B452" s="36">
        <f t="shared" si="143"/>
        <v>9</v>
      </c>
      <c r="C452" s="184">
        <f t="shared" si="144"/>
        <v>41890</v>
      </c>
      <c r="D452" s="184" t="s">
        <v>959</v>
      </c>
      <c r="E452" s="191">
        <v>41890</v>
      </c>
      <c r="F452" s="192" t="s">
        <v>678</v>
      </c>
      <c r="G452" s="463" t="s">
        <v>677</v>
      </c>
      <c r="H452" s="7" t="s">
        <v>654</v>
      </c>
      <c r="I452" s="251"/>
      <c r="J452" s="251"/>
      <c r="K452" s="563">
        <v>150000</v>
      </c>
      <c r="L452" s="564" t="s">
        <v>253</v>
      </c>
      <c r="M452" s="564" t="s">
        <v>365</v>
      </c>
      <c r="N452" s="52" t="str">
        <f>IF(AND('331-CT'!$E$7=TH!H452,OR(L452="331",M452="331")),"331",IF(AND(OR(L452="131",M452="131"),H452='131-CT'!$E$7),"131",""))</f>
        <v/>
      </c>
      <c r="O452" s="89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809"/>
      <c r="AC452" s="555" t="str">
        <f>IF(VLOOKUP(H452,DS_131,1,0)&lt;&gt;"","","x")</f>
        <v/>
      </c>
      <c r="AD452" s="211"/>
      <c r="AE452" s="211"/>
    </row>
    <row r="453" spans="1:31" s="555" customFormat="1" ht="15.75" customHeight="1">
      <c r="A453" s="204" t="str">
        <f>IF(B453&lt;&gt;"",IF(AND(B453&gt;=_TM1,B453&lt;=_TM2,OR(TH!L453="1111",TH!M453="1111")),TH!D453,""),"")</f>
        <v/>
      </c>
      <c r="B453" s="36">
        <f t="shared" ref="B453" si="151">IF(C453&lt;&gt;"",MONTH(C453),"")</f>
        <v>9</v>
      </c>
      <c r="C453" s="184">
        <f t="shared" ref="C453" si="152">E453</f>
        <v>41890</v>
      </c>
      <c r="D453" s="184"/>
      <c r="E453" s="191">
        <v>41890</v>
      </c>
      <c r="F453" s="192" t="s">
        <v>894</v>
      </c>
      <c r="G453" s="463" t="s">
        <v>677</v>
      </c>
      <c r="H453" s="7" t="s">
        <v>654</v>
      </c>
      <c r="I453" s="251"/>
      <c r="J453" s="251"/>
      <c r="K453" s="563">
        <v>1650000</v>
      </c>
      <c r="L453" s="564" t="s">
        <v>47</v>
      </c>
      <c r="M453" s="564" t="s">
        <v>253</v>
      </c>
      <c r="N453" s="52" t="str">
        <f>IF(AND('331-CT'!$E$7=TH!H453,OR(L453="331",M453="331")),"331",IF(AND(OR(L453="131",M453="131"),H453='131-CT'!$E$7),"131",""))</f>
        <v/>
      </c>
      <c r="O453" s="890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809"/>
      <c r="AC453" s="555" t="str">
        <f>IF(VLOOKUP(H453,DS_131,1,0)&lt;&gt;"","","x")</f>
        <v/>
      </c>
      <c r="AD453" s="211"/>
      <c r="AE453" s="211"/>
    </row>
    <row r="454" spans="1:31" s="555" customFormat="1" ht="15.75" customHeight="1">
      <c r="A454" s="204" t="str">
        <f>IF(B454&lt;&gt;"",IF(AND(B454&gt;=_TM1,B454&lt;=_TM2,OR(TH!L454="1111",TH!M454="1111")),TH!D454,""),"")</f>
        <v/>
      </c>
      <c r="B454" s="36">
        <f t="shared" si="143"/>
        <v>9</v>
      </c>
      <c r="C454" s="184">
        <f t="shared" si="144"/>
        <v>41894</v>
      </c>
      <c r="D454" s="184" t="s">
        <v>960</v>
      </c>
      <c r="E454" s="191">
        <v>41894</v>
      </c>
      <c r="F454" s="192" t="s">
        <v>593</v>
      </c>
      <c r="G454" s="463" t="s">
        <v>679</v>
      </c>
      <c r="H454" s="7" t="s">
        <v>472</v>
      </c>
      <c r="I454" s="251">
        <v>210</v>
      </c>
      <c r="J454" s="251">
        <v>19000</v>
      </c>
      <c r="K454" s="563">
        <f>ROUND(I454*J454,0)</f>
        <v>3990000</v>
      </c>
      <c r="L454" s="564" t="s">
        <v>253</v>
      </c>
      <c r="M454" s="564" t="s">
        <v>177</v>
      </c>
      <c r="N454" s="52" t="str">
        <f>IF(AND('331-CT'!$E$7=TH!H454,OR(L454="331",M454="331")),"331",IF(AND(OR(L454="131",M454="131"),H454='131-CT'!$E$7),"131",""))</f>
        <v/>
      </c>
      <c r="O454" s="890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809"/>
      <c r="AC454" s="211" t="str">
        <f>IF(F454=VLOOKUP(F454,NXT!$C$12:$C$345,1,0),"","x")</f>
        <v/>
      </c>
      <c r="AD454" s="211"/>
      <c r="AE454" s="211"/>
    </row>
    <row r="455" spans="1:31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43"/>
        <v>9</v>
      </c>
      <c r="C455" s="184">
        <f t="shared" si="144"/>
        <v>41894</v>
      </c>
      <c r="D455" s="184" t="s">
        <v>960</v>
      </c>
      <c r="E455" s="191">
        <v>41894</v>
      </c>
      <c r="F455" s="192" t="s">
        <v>420</v>
      </c>
      <c r="G455" s="463" t="s">
        <v>679</v>
      </c>
      <c r="H455" s="7" t="s">
        <v>472</v>
      </c>
      <c r="I455" s="251"/>
      <c r="J455" s="251"/>
      <c r="K455" s="563">
        <v>399000</v>
      </c>
      <c r="L455" s="564" t="s">
        <v>253</v>
      </c>
      <c r="M455" s="564" t="s">
        <v>365</v>
      </c>
      <c r="N455" s="52" t="str">
        <f>IF(AND('331-CT'!$E$7=TH!H455,OR(L455="331",M455="331")),"331",IF(AND(OR(L455="131",M455="131"),H455='131-CT'!$E$7),"131",""))</f>
        <v/>
      </c>
      <c r="O455" s="890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809"/>
      <c r="AC455" s="555" t="str">
        <f>IF(VLOOKUP(H455,DS_131,1,0)&lt;&gt;"","","x")</f>
        <v/>
      </c>
    </row>
    <row r="456" spans="1:31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" si="153">IF(C456&lt;&gt;"",MONTH(C456),"")</f>
        <v>9</v>
      </c>
      <c r="C456" s="184">
        <f t="shared" ref="C456" si="154">E456</f>
        <v>41894</v>
      </c>
      <c r="D456" s="184"/>
      <c r="E456" s="191">
        <v>41894</v>
      </c>
      <c r="F456" s="192" t="s">
        <v>894</v>
      </c>
      <c r="G456" s="463" t="s">
        <v>679</v>
      </c>
      <c r="H456" s="7" t="s">
        <v>472</v>
      </c>
      <c r="I456" s="251"/>
      <c r="J456" s="251"/>
      <c r="K456" s="563">
        <v>4389000</v>
      </c>
      <c r="L456" s="564" t="s">
        <v>47</v>
      </c>
      <c r="M456" s="564" t="s">
        <v>253</v>
      </c>
      <c r="N456" s="52" t="str">
        <f>IF(AND('331-CT'!$E$7=TH!H456,OR(L456="331",M456="331")),"331",IF(AND(OR(L456="131",M456="131"),H456='131-CT'!$E$7),"131",""))</f>
        <v/>
      </c>
      <c r="O456" s="890" t="str">
        <f>IF(AND('341-CT'!$E$9=H456,OR(LEFT(L456,3)=$O$7,LEFT(M456,3)=$O$7)),"x","")</f>
        <v/>
      </c>
      <c r="P456" s="52" t="str">
        <f>IF(AND($B456&gt;='111'!$N$11,$B456&lt;='111'!$O$11,OR($L456=$P$7,$M456=$P$7)),"x","")</f>
        <v>x</v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809"/>
      <c r="AC456" s="555" t="str">
        <f>IF(VLOOKUP(H456,DS_131,1,0)&lt;&gt;"","","x")</f>
        <v/>
      </c>
    </row>
    <row r="457" spans="1:31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143"/>
        <v>9</v>
      </c>
      <c r="C457" s="184">
        <f t="shared" si="144"/>
        <v>41895</v>
      </c>
      <c r="D457" s="184" t="s">
        <v>961</v>
      </c>
      <c r="E457" s="191">
        <v>41895</v>
      </c>
      <c r="F457" s="189" t="s">
        <v>1206</v>
      </c>
      <c r="G457" s="463" t="s">
        <v>680</v>
      </c>
      <c r="H457" s="7" t="s">
        <v>906</v>
      </c>
      <c r="I457" s="251">
        <v>200</v>
      </c>
      <c r="J457" s="251">
        <v>13900</v>
      </c>
      <c r="K457" s="563">
        <f>ROUND(I457*J457,0)</f>
        <v>2780000</v>
      </c>
      <c r="L457" s="564" t="s">
        <v>253</v>
      </c>
      <c r="M457" s="564" t="s">
        <v>177</v>
      </c>
      <c r="N457" s="52" t="str">
        <f>IF(AND('331-CT'!$E$7=TH!H457,OR(L457="331",M457="331")),"331",IF(AND(OR(L457="131",M457="131"),H457='131-CT'!$E$7),"131",""))</f>
        <v/>
      </c>
      <c r="O457" s="89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809"/>
      <c r="AC457" s="211" t="str">
        <f>IF(F457=VLOOKUP(F457,NXT!$C$12:$C$345,1,0),"","x")</f>
        <v/>
      </c>
    </row>
    <row r="458" spans="1:31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43"/>
        <v>9</v>
      </c>
      <c r="C458" s="184">
        <f t="shared" si="144"/>
        <v>41895</v>
      </c>
      <c r="D458" s="184" t="s">
        <v>961</v>
      </c>
      <c r="E458" s="191">
        <v>41895</v>
      </c>
      <c r="F458" s="189" t="s">
        <v>1206</v>
      </c>
      <c r="G458" s="463" t="s">
        <v>680</v>
      </c>
      <c r="H458" s="7" t="s">
        <v>906</v>
      </c>
      <c r="I458" s="251">
        <v>989</v>
      </c>
      <c r="J458" s="251">
        <v>14300</v>
      </c>
      <c r="K458" s="563">
        <f>ROUND(I458*J458,0)</f>
        <v>14142700</v>
      </c>
      <c r="L458" s="564" t="s">
        <v>253</v>
      </c>
      <c r="M458" s="564" t="s">
        <v>177</v>
      </c>
      <c r="N458" s="52" t="str">
        <f>IF(AND('331-CT'!$E$7=TH!H458,OR(L458="331",M458="331")),"331",IF(AND(OR(L458="131",M458="131"),H458='131-CT'!$E$7),"131",""))</f>
        <v/>
      </c>
      <c r="O458" s="89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809"/>
      <c r="AC458" s="211" t="str">
        <f>IF(F458=VLOOKUP(F458,NXT!$C$12:$C$345,1,0),"","x")</f>
        <v/>
      </c>
    </row>
    <row r="459" spans="1:31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43"/>
        <v>9</v>
      </c>
      <c r="C459" s="184">
        <f t="shared" si="144"/>
        <v>41895</v>
      </c>
      <c r="D459" s="184" t="s">
        <v>961</v>
      </c>
      <c r="E459" s="191">
        <v>41895</v>
      </c>
      <c r="F459" s="40" t="s">
        <v>445</v>
      </c>
      <c r="G459" s="463" t="s">
        <v>680</v>
      </c>
      <c r="H459" s="7" t="s">
        <v>906</v>
      </c>
      <c r="I459" s="251">
        <v>2400</v>
      </c>
      <c r="J459" s="251">
        <v>1500</v>
      </c>
      <c r="K459" s="563">
        <f>ROUND(I459*J459,0)</f>
        <v>3600000</v>
      </c>
      <c r="L459" s="564" t="s">
        <v>253</v>
      </c>
      <c r="M459" s="564" t="s">
        <v>177</v>
      </c>
      <c r="N459" s="52" t="str">
        <f>IF(AND('331-CT'!$E$7=TH!H459,OR(L459="331",M459="331")),"331",IF(AND(OR(L459="131",M459="131"),H459='131-CT'!$E$7),"131",""))</f>
        <v/>
      </c>
      <c r="O459" s="890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809"/>
      <c r="AC459" s="211" t="str">
        <f>IF(F459=VLOOKUP(F459,NXT!$C$12:$C$345,1,0),"","x")</f>
        <v/>
      </c>
    </row>
    <row r="460" spans="1:31" s="555" customFormat="1" ht="15.75" customHeight="1">
      <c r="A460" s="204" t="str">
        <f>IF(B460&lt;&gt;"",IF(AND(B460&gt;=_TM1,B460&lt;=_TM2,OR(TH!L460="1111",TH!M460="1111")),TH!D460,""),"")</f>
        <v/>
      </c>
      <c r="B460" s="36">
        <f t="shared" si="143"/>
        <v>9</v>
      </c>
      <c r="C460" s="184">
        <f t="shared" si="144"/>
        <v>41895</v>
      </c>
      <c r="D460" s="184" t="s">
        <v>961</v>
      </c>
      <c r="E460" s="191">
        <v>41895</v>
      </c>
      <c r="F460" s="192" t="s">
        <v>420</v>
      </c>
      <c r="G460" s="463" t="s">
        <v>680</v>
      </c>
      <c r="H460" s="7" t="s">
        <v>906</v>
      </c>
      <c r="I460" s="251"/>
      <c r="J460" s="251"/>
      <c r="K460" s="563">
        <v>2052270</v>
      </c>
      <c r="L460" s="564" t="s">
        <v>253</v>
      </c>
      <c r="M460" s="564" t="s">
        <v>365</v>
      </c>
      <c r="N460" s="52" t="str">
        <f>IF(AND('331-CT'!$E$7=TH!H460,OR(L460="331",M460="331")),"331",IF(AND(OR(L460="131",M460="131"),H460='131-CT'!$E$7),"131",""))</f>
        <v/>
      </c>
      <c r="O460" s="890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809"/>
      <c r="AC460" s="555" t="str">
        <f>IF(VLOOKUP(H460,DS_131,1,0)&lt;&gt;"","","x")</f>
        <v/>
      </c>
      <c r="AD460" s="211"/>
      <c r="AE460" s="211"/>
    </row>
    <row r="461" spans="1:31" s="555" customFormat="1" ht="15.75" customHeight="1">
      <c r="A461" s="204" t="str">
        <f>IF(B461&lt;&gt;"",IF(AND(B461&gt;=_TM1,B461&lt;=_TM2,OR(TH!L461="1111",TH!M461="1111")),TH!D461,""),"")</f>
        <v/>
      </c>
      <c r="B461" s="36">
        <f t="shared" si="143"/>
        <v>9</v>
      </c>
      <c r="C461" s="184">
        <f t="shared" si="144"/>
        <v>41897</v>
      </c>
      <c r="D461" s="184" t="s">
        <v>962</v>
      </c>
      <c r="E461" s="191">
        <v>41897</v>
      </c>
      <c r="F461" s="192" t="s">
        <v>436</v>
      </c>
      <c r="G461" s="463" t="s">
        <v>681</v>
      </c>
      <c r="H461" s="7" t="s">
        <v>438</v>
      </c>
      <c r="I461" s="251">
        <v>495</v>
      </c>
      <c r="J461" s="251">
        <v>10500</v>
      </c>
      <c r="K461" s="563">
        <f>ROUND(I461*J461,0)</f>
        <v>5197500</v>
      </c>
      <c r="L461" s="564" t="s">
        <v>253</v>
      </c>
      <c r="M461" s="564" t="s">
        <v>177</v>
      </c>
      <c r="N461" s="52" t="str">
        <f>IF(AND('331-CT'!$E$7=TH!H461,OR(L461="331",M461="331")),"331",IF(AND(OR(L461="131",M461="131"),H461='131-CT'!$E$7),"131",""))</f>
        <v/>
      </c>
      <c r="O461" s="890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809"/>
      <c r="AC461" s="211" t="str">
        <f>IF(F461=VLOOKUP(F461,NXT!$C$12:$C$345,1,0),"","x")</f>
        <v/>
      </c>
      <c r="AD461" s="211"/>
      <c r="AE461" s="211"/>
    </row>
    <row r="462" spans="1:31" s="555" customFormat="1" ht="15.75" customHeight="1">
      <c r="A462" s="204" t="str">
        <f>IF(B462&lt;&gt;"",IF(AND(B462&gt;=_TM1,B462&lt;=_TM2,OR(TH!L462="1111",TH!M462="1111")),TH!D462,""),"")</f>
        <v/>
      </c>
      <c r="B462" s="36">
        <f t="shared" si="143"/>
        <v>9</v>
      </c>
      <c r="C462" s="184">
        <f t="shared" si="144"/>
        <v>41897</v>
      </c>
      <c r="D462" s="184" t="s">
        <v>962</v>
      </c>
      <c r="E462" s="191">
        <v>41897</v>
      </c>
      <c r="F462" s="192" t="s">
        <v>420</v>
      </c>
      <c r="G462" s="463" t="s">
        <v>681</v>
      </c>
      <c r="H462" s="7" t="s">
        <v>438</v>
      </c>
      <c r="I462" s="251"/>
      <c r="J462" s="251"/>
      <c r="K462" s="563">
        <v>519750</v>
      </c>
      <c r="L462" s="564" t="s">
        <v>253</v>
      </c>
      <c r="M462" s="564" t="s">
        <v>365</v>
      </c>
      <c r="N462" s="52" t="str">
        <f>IF(AND('331-CT'!$E$7=TH!H462,OR(L462="331",M462="331")),"331",IF(AND(OR(L462="131",M462="131"),H462='131-CT'!$E$7),"131",""))</f>
        <v/>
      </c>
      <c r="O462" s="89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809"/>
      <c r="AC462" s="555" t="str">
        <f>IF(VLOOKUP(H462,DS_131,1,0)&lt;&gt;"","","x")</f>
        <v/>
      </c>
      <c r="AD462" s="211"/>
      <c r="AE462" s="211"/>
    </row>
    <row r="463" spans="1:31" s="555" customFormat="1" ht="15.75" customHeight="1">
      <c r="A463" s="204" t="str">
        <f>IF(B463&lt;&gt;"",IF(AND(B463&gt;=_TM1,B463&lt;=_TM2,OR(TH!L463="1111",TH!M463="1111")),TH!D463,""),"")</f>
        <v/>
      </c>
      <c r="B463" s="36">
        <f t="shared" ref="B463" si="155">IF(C463&lt;&gt;"",MONTH(C463),"")</f>
        <v>9</v>
      </c>
      <c r="C463" s="184">
        <f t="shared" ref="C463" si="156">E463</f>
        <v>41897</v>
      </c>
      <c r="D463" s="184"/>
      <c r="E463" s="191">
        <v>41897</v>
      </c>
      <c r="F463" s="192" t="s">
        <v>894</v>
      </c>
      <c r="G463" s="463" t="s">
        <v>681</v>
      </c>
      <c r="H463" s="7" t="s">
        <v>438</v>
      </c>
      <c r="I463" s="251"/>
      <c r="J463" s="251"/>
      <c r="K463" s="563">
        <v>5717250</v>
      </c>
      <c r="L463" s="564" t="s">
        <v>47</v>
      </c>
      <c r="M463" s="564" t="s">
        <v>253</v>
      </c>
      <c r="N463" s="52" t="str">
        <f>IF(AND('331-CT'!$E$7=TH!H463,OR(L463="331",M463="331")),"331",IF(AND(OR(L463="131",M463="131"),H463='131-CT'!$E$7),"131",""))</f>
        <v/>
      </c>
      <c r="O463" s="890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809"/>
      <c r="AC463" s="555" t="str">
        <f>IF(VLOOKUP(H463,DS_131,1,0)&lt;&gt;"","","x")</f>
        <v/>
      </c>
      <c r="AD463" s="211"/>
      <c r="AE463" s="211"/>
    </row>
    <row r="464" spans="1:31" s="555" customFormat="1" ht="15.75" customHeight="1">
      <c r="A464" s="204" t="str">
        <f>IF(B464&lt;&gt;"",IF(AND(B464&gt;=_TM1,B464&lt;=_TM2,OR(TH!L464="1111",TH!M464="1111")),TH!D464,""),"")</f>
        <v/>
      </c>
      <c r="B464" s="36">
        <f t="shared" si="143"/>
        <v>9</v>
      </c>
      <c r="C464" s="184">
        <f t="shared" si="144"/>
        <v>41898</v>
      </c>
      <c r="D464" s="184" t="s">
        <v>963</v>
      </c>
      <c r="E464" s="191">
        <v>41898</v>
      </c>
      <c r="F464" s="192" t="s">
        <v>682</v>
      </c>
      <c r="G464" s="463" t="s">
        <v>683</v>
      </c>
      <c r="H464" s="7" t="s">
        <v>684</v>
      </c>
      <c r="I464" s="251">
        <v>451</v>
      </c>
      <c r="J464" s="251">
        <v>34770</v>
      </c>
      <c r="K464" s="563">
        <f>ROUND(I464*J464,0)</f>
        <v>15681270</v>
      </c>
      <c r="L464" s="564" t="s">
        <v>253</v>
      </c>
      <c r="M464" s="564" t="s">
        <v>177</v>
      </c>
      <c r="N464" s="52" t="str">
        <f>IF(AND('331-CT'!$E$7=TH!H464,OR(L464="331",M464="331")),"331",IF(AND(OR(L464="131",M464="131"),H464='131-CT'!$E$7),"131",""))</f>
        <v/>
      </c>
      <c r="O464" s="89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809"/>
      <c r="AC464" s="211" t="str">
        <f>IF(F464=VLOOKUP(F464,NXT!$C$12:$C$345,1,0),"","x")</f>
        <v/>
      </c>
      <c r="AD464" s="211"/>
      <c r="AE464" s="211"/>
    </row>
    <row r="465" spans="1:31" s="555" customFormat="1" ht="15.75" customHeight="1">
      <c r="A465" s="204" t="str">
        <f>IF(B465&lt;&gt;"",IF(AND(B465&gt;=_TM1,B465&lt;=_TM2,OR(TH!L465="1111",TH!M465="1111")),TH!D465,""),"")</f>
        <v/>
      </c>
      <c r="B465" s="36">
        <f t="shared" si="143"/>
        <v>9</v>
      </c>
      <c r="C465" s="184">
        <f t="shared" si="144"/>
        <v>41898</v>
      </c>
      <c r="D465" s="184" t="s">
        <v>963</v>
      </c>
      <c r="E465" s="191">
        <v>41898</v>
      </c>
      <c r="F465" s="192" t="s">
        <v>746</v>
      </c>
      <c r="G465" s="463" t="s">
        <v>683</v>
      </c>
      <c r="H465" s="7" t="s">
        <v>684</v>
      </c>
      <c r="I465" s="251">
        <v>902</v>
      </c>
      <c r="J465" s="251">
        <v>1440</v>
      </c>
      <c r="K465" s="563">
        <f>ROUND(I465*J465,0)</f>
        <v>1298880</v>
      </c>
      <c r="L465" s="564" t="s">
        <v>253</v>
      </c>
      <c r="M465" s="564" t="s">
        <v>177</v>
      </c>
      <c r="N465" s="52" t="str">
        <f>IF(AND('331-CT'!$E$7=TH!H465,OR(L465="331",M465="331")),"331",IF(AND(OR(L465="131",M465="131"),H465='131-CT'!$E$7),"131",""))</f>
        <v/>
      </c>
      <c r="O465" s="89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809"/>
      <c r="AC465" s="211" t="str">
        <f>IF(F465=VLOOKUP(F465,NXT!$C$12:$C$345,1,0),"","x")</f>
        <v/>
      </c>
      <c r="AD465" s="211"/>
      <c r="AE465" s="211"/>
    </row>
    <row r="466" spans="1:31" s="555" customFormat="1" ht="15.75" customHeight="1">
      <c r="A466" s="204" t="str">
        <f>IF(B466&lt;&gt;"",IF(AND(B466&gt;=_TM1,B466&lt;=_TM2,OR(TH!L466="1111",TH!M466="1111")),TH!D466,""),"")</f>
        <v/>
      </c>
      <c r="B466" s="36">
        <f t="shared" si="143"/>
        <v>9</v>
      </c>
      <c r="C466" s="184">
        <f t="shared" si="144"/>
        <v>41898</v>
      </c>
      <c r="D466" s="184" t="s">
        <v>963</v>
      </c>
      <c r="E466" s="191">
        <v>41898</v>
      </c>
      <c r="F466" s="192" t="s">
        <v>420</v>
      </c>
      <c r="G466" s="463" t="s">
        <v>683</v>
      </c>
      <c r="H466" s="7" t="s">
        <v>684</v>
      </c>
      <c r="I466" s="251"/>
      <c r="J466" s="251"/>
      <c r="K466" s="563">
        <v>1698015</v>
      </c>
      <c r="L466" s="564" t="s">
        <v>253</v>
      </c>
      <c r="M466" s="564" t="s">
        <v>365</v>
      </c>
      <c r="N466" s="52" t="str">
        <f>IF(AND('331-CT'!$E$7=TH!H466,OR(L466="331",M466="331")),"331",IF(AND(OR(L466="131",M466="131"),H466='131-CT'!$E$7),"131",""))</f>
        <v/>
      </c>
      <c r="O466" s="89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809"/>
      <c r="AC466" s="555" t="str">
        <f>IF(VLOOKUP(H466,DS_131,1,0)&lt;&gt;"","","x")</f>
        <v/>
      </c>
      <c r="AD466" s="211"/>
      <c r="AE466" s="211"/>
    </row>
    <row r="467" spans="1:31" s="555" customFormat="1" ht="15.75" customHeight="1">
      <c r="A467" s="204" t="str">
        <f>IF(B467&lt;&gt;"",IF(AND(B467&gt;=_TM1,B467&lt;=_TM2,OR(TH!L467="1111",TH!M467="1111")),TH!D467,""),"")</f>
        <v/>
      </c>
      <c r="B467" s="36">
        <f t="shared" si="143"/>
        <v>9</v>
      </c>
      <c r="C467" s="184">
        <f t="shared" si="144"/>
        <v>41898</v>
      </c>
      <c r="D467" s="184" t="s">
        <v>964</v>
      </c>
      <c r="E467" s="191">
        <v>41898</v>
      </c>
      <c r="F467" s="192" t="s">
        <v>663</v>
      </c>
      <c r="G467" s="463" t="s">
        <v>685</v>
      </c>
      <c r="H467" s="7" t="s">
        <v>602</v>
      </c>
      <c r="I467" s="251">
        <v>175</v>
      </c>
      <c r="J467" s="251">
        <v>13650</v>
      </c>
      <c r="K467" s="563">
        <f>ROUND(I467*J467,0)</f>
        <v>2388750</v>
      </c>
      <c r="L467" s="564" t="s">
        <v>253</v>
      </c>
      <c r="M467" s="564" t="s">
        <v>177</v>
      </c>
      <c r="N467" s="52" t="str">
        <f>IF(AND('331-CT'!$E$7=TH!H467,OR(L467="331",M467="331")),"331",IF(AND(OR(L467="131",M467="131"),H467='131-CT'!$E$7),"131",""))</f>
        <v/>
      </c>
      <c r="O467" s="89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809"/>
      <c r="AC467" s="211" t="str">
        <f>IF(F467=VLOOKUP(F467,NXT!$C$12:$C$345,1,0),"","x")</f>
        <v/>
      </c>
      <c r="AD467" s="211"/>
      <c r="AE467" s="211"/>
    </row>
    <row r="468" spans="1:31" s="555" customFormat="1" ht="15.75" customHeight="1">
      <c r="A468" s="204" t="str">
        <f>IF(B468&lt;&gt;"",IF(AND(B468&gt;=_TM1,B468&lt;=_TM2,OR(TH!L468="1111",TH!M468="1111")),TH!D468,""),"")</f>
        <v/>
      </c>
      <c r="B468" s="36">
        <f t="shared" si="143"/>
        <v>9</v>
      </c>
      <c r="C468" s="184">
        <f t="shared" si="144"/>
        <v>41898</v>
      </c>
      <c r="D468" s="184" t="s">
        <v>964</v>
      </c>
      <c r="E468" s="191">
        <v>41898</v>
      </c>
      <c r="F468" s="192" t="s">
        <v>663</v>
      </c>
      <c r="G468" s="463" t="s">
        <v>685</v>
      </c>
      <c r="H468" s="7" t="s">
        <v>602</v>
      </c>
      <c r="I468" s="251">
        <v>1686</v>
      </c>
      <c r="J468" s="251">
        <v>13650</v>
      </c>
      <c r="K468" s="563">
        <f>ROUND(I468*J468,0)</f>
        <v>23013900</v>
      </c>
      <c r="L468" s="564" t="s">
        <v>253</v>
      </c>
      <c r="M468" s="564" t="s">
        <v>177</v>
      </c>
      <c r="N468" s="52" t="str">
        <f>IF(AND('331-CT'!$E$7=TH!H468,OR(L468="331",M468="331")),"331",IF(AND(OR(L468="131",M468="131"),H468='131-CT'!$E$7),"131",""))</f>
        <v/>
      </c>
      <c r="O468" s="890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809"/>
      <c r="AC468" s="211" t="str">
        <f>IF(F468=VLOOKUP(F468,NXT!$C$12:$C$345,1,0),"","x")</f>
        <v/>
      </c>
      <c r="AD468" s="211"/>
      <c r="AE468" s="211"/>
    </row>
    <row r="469" spans="1:31" s="555" customFormat="1" ht="15.75" customHeight="1">
      <c r="A469" s="204" t="str">
        <f>IF(B469&lt;&gt;"",IF(AND(B469&gt;=_TM1,B469&lt;=_TM2,OR(TH!L469="1111",TH!M469="1111")),TH!D469,""),"")</f>
        <v/>
      </c>
      <c r="B469" s="36">
        <f t="shared" si="143"/>
        <v>9</v>
      </c>
      <c r="C469" s="184">
        <f t="shared" si="144"/>
        <v>41898</v>
      </c>
      <c r="D469" s="184" t="s">
        <v>964</v>
      </c>
      <c r="E469" s="191">
        <v>41898</v>
      </c>
      <c r="F469" s="192" t="s">
        <v>662</v>
      </c>
      <c r="G469" s="463" t="s">
        <v>685</v>
      </c>
      <c r="H469" s="7" t="s">
        <v>602</v>
      </c>
      <c r="I469" s="251">
        <v>827</v>
      </c>
      <c r="J469" s="251">
        <v>10050</v>
      </c>
      <c r="K469" s="563">
        <f>ROUND(I469*J469,0)</f>
        <v>8311350</v>
      </c>
      <c r="L469" s="564" t="s">
        <v>253</v>
      </c>
      <c r="M469" s="564" t="s">
        <v>177</v>
      </c>
      <c r="N469" s="52" t="str">
        <f>IF(AND('331-CT'!$E$7=TH!H469,OR(L469="331",M469="331")),"331",IF(AND(OR(L469="131",M469="131"),H469='131-CT'!$E$7),"131",""))</f>
        <v/>
      </c>
      <c r="O469" s="890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809"/>
      <c r="AC469" s="211" t="str">
        <f>IF(F469=VLOOKUP(F469,NXT!$C$12:$C$345,1,0),"","x")</f>
        <v/>
      </c>
      <c r="AD469" s="211"/>
      <c r="AE469" s="211"/>
    </row>
    <row r="470" spans="1:31" s="555" customFormat="1" ht="15.75" customHeight="1">
      <c r="A470" s="204" t="str">
        <f>IF(B470&lt;&gt;"",IF(AND(B470&gt;=_TM1,B470&lt;=_TM2,OR(TH!L470="1111",TH!M470="1111")),TH!D470,""),"")</f>
        <v/>
      </c>
      <c r="B470" s="36">
        <f t="shared" si="143"/>
        <v>9</v>
      </c>
      <c r="C470" s="184">
        <f t="shared" si="144"/>
        <v>41898</v>
      </c>
      <c r="D470" s="184" t="s">
        <v>964</v>
      </c>
      <c r="E470" s="191">
        <v>41898</v>
      </c>
      <c r="F470" s="192" t="s">
        <v>662</v>
      </c>
      <c r="G470" s="463" t="s">
        <v>685</v>
      </c>
      <c r="H470" s="7" t="s">
        <v>602</v>
      </c>
      <c r="I470" s="251">
        <v>1700</v>
      </c>
      <c r="J470" s="251">
        <v>10050</v>
      </c>
      <c r="K470" s="563">
        <f>ROUND(I470*J470,0)</f>
        <v>17085000</v>
      </c>
      <c r="L470" s="564" t="s">
        <v>253</v>
      </c>
      <c r="M470" s="564" t="s">
        <v>177</v>
      </c>
      <c r="N470" s="52" t="str">
        <f>IF(AND('331-CT'!$E$7=TH!H470,OR(L470="331",M470="331")),"331",IF(AND(OR(L470="131",M470="131"),H470='131-CT'!$E$7),"131",""))</f>
        <v/>
      </c>
      <c r="O470" s="89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809"/>
      <c r="AC470" s="211" t="str">
        <f>IF(F470=VLOOKUP(F470,NXT!$C$12:$C$345,1,0),"","x")</f>
        <v/>
      </c>
      <c r="AD470" s="211"/>
      <c r="AE470" s="211"/>
    </row>
    <row r="471" spans="1:31" s="555" customFormat="1" ht="15.75" customHeight="1">
      <c r="A471" s="204" t="str">
        <f>IF(B471&lt;&gt;"",IF(AND(B471&gt;=_TM1,B471&lt;=_TM2,OR(TH!L471="1111",TH!M471="1111")),TH!D471,""),"")</f>
        <v/>
      </c>
      <c r="B471" s="36">
        <f t="shared" si="143"/>
        <v>9</v>
      </c>
      <c r="C471" s="184">
        <f t="shared" si="144"/>
        <v>41898</v>
      </c>
      <c r="D471" s="184" t="s">
        <v>964</v>
      </c>
      <c r="E471" s="191">
        <v>41898</v>
      </c>
      <c r="F471" s="192" t="s">
        <v>623</v>
      </c>
      <c r="G471" s="463" t="s">
        <v>685</v>
      </c>
      <c r="H471" s="7" t="s">
        <v>602</v>
      </c>
      <c r="I471" s="251">
        <v>10500</v>
      </c>
      <c r="J471" s="251">
        <v>400</v>
      </c>
      <c r="K471" s="563">
        <f>ROUND(I471*J471,0)</f>
        <v>4200000</v>
      </c>
      <c r="L471" s="564" t="s">
        <v>253</v>
      </c>
      <c r="M471" s="564" t="s">
        <v>177</v>
      </c>
      <c r="N471" s="52" t="str">
        <f>IF(AND('331-CT'!$E$7=TH!H471,OR(L471="331",M471="331")),"331",IF(AND(OR(L471="131",M471="131"),H471='131-CT'!$E$7),"131",""))</f>
        <v/>
      </c>
      <c r="O471" s="89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809"/>
      <c r="AC471" s="211" t="str">
        <f>IF(F471=VLOOKUP(F471,NXT!$C$12:$C$345,1,0),"","x")</f>
        <v/>
      </c>
      <c r="AD471" s="211"/>
      <c r="AE471" s="211"/>
    </row>
    <row r="472" spans="1:31" s="555" customFormat="1" ht="15.75" customHeight="1">
      <c r="A472" s="204" t="str">
        <f>IF(B472&lt;&gt;"",IF(AND(B472&gt;=_TM1,B472&lt;=_TM2,OR(TH!L472="1111",TH!M472="1111")),TH!D472,""),"")</f>
        <v/>
      </c>
      <c r="B472" s="36">
        <f t="shared" si="143"/>
        <v>9</v>
      </c>
      <c r="C472" s="184">
        <f t="shared" si="144"/>
        <v>41898</v>
      </c>
      <c r="D472" s="184" t="s">
        <v>964</v>
      </c>
      <c r="E472" s="191">
        <v>41898</v>
      </c>
      <c r="F472" s="192" t="s">
        <v>420</v>
      </c>
      <c r="G472" s="463" t="s">
        <v>685</v>
      </c>
      <c r="H472" s="7" t="s">
        <v>602</v>
      </c>
      <c r="I472" s="251"/>
      <c r="J472" s="251"/>
      <c r="K472" s="563">
        <v>5499900</v>
      </c>
      <c r="L472" s="564" t="s">
        <v>253</v>
      </c>
      <c r="M472" s="564" t="s">
        <v>365</v>
      </c>
      <c r="N472" s="52" t="str">
        <f>IF(AND('331-CT'!$E$7=TH!H472,OR(L472="331",M472="331")),"331",IF(AND(OR(L472="131",M472="131"),H472='131-CT'!$E$7),"131",""))</f>
        <v/>
      </c>
      <c r="O472" s="89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809"/>
      <c r="AC472" s="555" t="str">
        <f>IF(VLOOKUP(H472,DS_131,1,0)&lt;&gt;"","","x")</f>
        <v/>
      </c>
      <c r="AD472" s="211"/>
      <c r="AE472" s="211"/>
    </row>
    <row r="473" spans="1:31" s="555" customFormat="1" ht="15.75" customHeight="1">
      <c r="A473" s="204" t="str">
        <f>IF(B473&lt;&gt;"",IF(AND(B473&gt;=_TM1,B473&lt;=_TM2,OR(TH!L473="1111",TH!M473="1111")),TH!D473,""),"")</f>
        <v/>
      </c>
      <c r="B473" s="36">
        <f t="shared" si="143"/>
        <v>9</v>
      </c>
      <c r="C473" s="184">
        <f t="shared" si="144"/>
        <v>41899</v>
      </c>
      <c r="D473" s="184" t="s">
        <v>965</v>
      </c>
      <c r="E473" s="191">
        <v>41899</v>
      </c>
      <c r="F473" s="192" t="s">
        <v>686</v>
      </c>
      <c r="G473" s="463" t="s">
        <v>687</v>
      </c>
      <c r="H473" s="7" t="s">
        <v>688</v>
      </c>
      <c r="I473" s="251">
        <v>833</v>
      </c>
      <c r="J473" s="251">
        <v>30000</v>
      </c>
      <c r="K473" s="563">
        <f>ROUND(I473*J473,0)</f>
        <v>24990000</v>
      </c>
      <c r="L473" s="564" t="s">
        <v>253</v>
      </c>
      <c r="M473" s="564" t="s">
        <v>177</v>
      </c>
      <c r="N473" s="52" t="str">
        <f>IF(AND('331-CT'!$E$7=TH!H473,OR(L473="331",M473="331")),"331",IF(AND(OR(L473="131",M473="131"),H473='131-CT'!$E$7),"131",""))</f>
        <v/>
      </c>
      <c r="O473" s="89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809"/>
      <c r="AC473" s="211" t="str">
        <f>IF(F473=VLOOKUP(F473,NXT!$C$12:$C$345,1,0),"","x")</f>
        <v/>
      </c>
      <c r="AD473" s="211"/>
      <c r="AE473" s="211"/>
    </row>
    <row r="474" spans="1:31" s="555" customFormat="1" ht="15.75" customHeight="1">
      <c r="A474" s="204" t="str">
        <f>IF(B474&lt;&gt;"",IF(AND(B474&gt;=_TM1,B474&lt;=_TM2,OR(TH!L474="1111",TH!M474="1111")),TH!D474,""),"")</f>
        <v/>
      </c>
      <c r="B474" s="36">
        <f t="shared" si="143"/>
        <v>9</v>
      </c>
      <c r="C474" s="184">
        <f t="shared" si="144"/>
        <v>41899</v>
      </c>
      <c r="D474" s="184" t="s">
        <v>965</v>
      </c>
      <c r="E474" s="191">
        <v>41899</v>
      </c>
      <c r="F474" s="192" t="s">
        <v>420</v>
      </c>
      <c r="G474" s="463" t="s">
        <v>687</v>
      </c>
      <c r="H474" s="7" t="s">
        <v>688</v>
      </c>
      <c r="I474" s="251"/>
      <c r="J474" s="251"/>
      <c r="K474" s="563">
        <v>2499000</v>
      </c>
      <c r="L474" s="564" t="s">
        <v>253</v>
      </c>
      <c r="M474" s="564" t="s">
        <v>365</v>
      </c>
      <c r="N474" s="52" t="str">
        <f>IF(AND('331-CT'!$E$7=TH!H474,OR(L474="331",M474="331")),"331",IF(AND(OR(L474="131",M474="131"),H474='131-CT'!$E$7),"131",""))</f>
        <v/>
      </c>
      <c r="O474" s="89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809"/>
      <c r="AC474" s="555" t="str">
        <f>IF(VLOOKUP(H474,DS_131,1,0)&lt;&gt;"","","x")</f>
        <v/>
      </c>
      <c r="AD474" s="211"/>
      <c r="AE474" s="211"/>
    </row>
    <row r="475" spans="1:31" s="555" customFormat="1" ht="15.75" customHeight="1">
      <c r="A475" s="204" t="str">
        <f>IF(B475&lt;&gt;"",IF(AND(B475&gt;=_TM1,B475&lt;=_TM2,OR(TH!L475="1111",TH!M475="1111")),TH!D475,""),"")</f>
        <v/>
      </c>
      <c r="B475" s="36">
        <f t="shared" ref="B475" si="157">IF(C475&lt;&gt;"",MONTH(C475),"")</f>
        <v>9</v>
      </c>
      <c r="C475" s="184">
        <f t="shared" ref="C475" si="158">E475</f>
        <v>41899</v>
      </c>
      <c r="D475" s="184"/>
      <c r="E475" s="191">
        <v>41899</v>
      </c>
      <c r="F475" s="192" t="s">
        <v>894</v>
      </c>
      <c r="G475" s="463" t="s">
        <v>687</v>
      </c>
      <c r="H475" s="7" t="s">
        <v>688</v>
      </c>
      <c r="I475" s="251"/>
      <c r="J475" s="251"/>
      <c r="K475" s="563">
        <v>10000000</v>
      </c>
      <c r="L475" s="564" t="s">
        <v>47</v>
      </c>
      <c r="M475" s="564" t="s">
        <v>253</v>
      </c>
      <c r="N475" s="52" t="str">
        <f>IF(AND('331-CT'!$E$7=TH!H475,OR(L475="331",M475="331")),"331",IF(AND(OR(L475="131",M475="131"),H475='131-CT'!$E$7),"131",""))</f>
        <v/>
      </c>
      <c r="O475" s="890" t="str">
        <f>IF(AND('341-CT'!$E$9=H475,OR(LEFT(L475,3)=$O$7,LEFT(M475,3)=$O$7)),"x","")</f>
        <v/>
      </c>
      <c r="P475" s="52" t="str">
        <f>IF(AND($B475&gt;='111'!$N$11,$B475&lt;='111'!$O$11,OR($L475=$P$7,$M475=$P$7)),"x","")</f>
        <v>x</v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809"/>
      <c r="AC475" s="555" t="str">
        <f>IF(VLOOKUP(H475,DS_131,1,0)&lt;&gt;"","","x")</f>
        <v/>
      </c>
      <c r="AD475" s="211"/>
      <c r="AE475" s="211"/>
    </row>
    <row r="476" spans="1:31" s="555" customFormat="1" ht="15.75" customHeight="1">
      <c r="A476" s="204" t="str">
        <f>IF(B476&lt;&gt;"",IF(AND(B476&gt;=_TM1,B476&lt;=_TM2,OR(TH!L476="1111",TH!M476="1111")),TH!D476,""),"")</f>
        <v/>
      </c>
      <c r="B476" s="36">
        <f t="shared" si="143"/>
        <v>9</v>
      </c>
      <c r="C476" s="184">
        <f t="shared" si="144"/>
        <v>41900</v>
      </c>
      <c r="D476" s="184" t="s">
        <v>966</v>
      </c>
      <c r="E476" s="191">
        <v>41900</v>
      </c>
      <c r="F476" s="192" t="s">
        <v>487</v>
      </c>
      <c r="G476" s="463" t="s">
        <v>689</v>
      </c>
      <c r="H476" s="7" t="s">
        <v>907</v>
      </c>
      <c r="I476" s="251">
        <v>195</v>
      </c>
      <c r="J476" s="251">
        <v>6400</v>
      </c>
      <c r="K476" s="563">
        <f>ROUND(I476*J476,0)</f>
        <v>1248000</v>
      </c>
      <c r="L476" s="564" t="s">
        <v>253</v>
      </c>
      <c r="M476" s="564" t="s">
        <v>177</v>
      </c>
      <c r="N476" s="52" t="str">
        <f>IF(AND('331-CT'!$E$7=TH!H476,OR(L476="331",M476="331")),"331",IF(AND(OR(L476="131",M476="131"),H476='131-CT'!$E$7),"131",""))</f>
        <v/>
      </c>
      <c r="O476" s="89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809"/>
      <c r="AC476" s="211" t="str">
        <f>IF(F476=VLOOKUP(F476,NXT!$C$12:$C$345,1,0),"","x")</f>
        <v/>
      </c>
      <c r="AD476" s="211"/>
      <c r="AE476" s="211"/>
    </row>
    <row r="477" spans="1:31" s="555" customFormat="1" ht="15.75" customHeight="1">
      <c r="A477" s="204" t="str">
        <f>IF(B477&lt;&gt;"",IF(AND(B477&gt;=_TM1,B477&lt;=_TM2,OR(TH!L477="1111",TH!M477="1111")),TH!D477,""),"")</f>
        <v/>
      </c>
      <c r="B477" s="36">
        <f t="shared" si="143"/>
        <v>9</v>
      </c>
      <c r="C477" s="184">
        <f t="shared" si="144"/>
        <v>41900</v>
      </c>
      <c r="D477" s="184" t="s">
        <v>966</v>
      </c>
      <c r="E477" s="191">
        <v>41900</v>
      </c>
      <c r="F477" s="192" t="s">
        <v>494</v>
      </c>
      <c r="G477" s="463" t="s">
        <v>689</v>
      </c>
      <c r="H477" s="7" t="s">
        <v>907</v>
      </c>
      <c r="I477" s="251">
        <v>300</v>
      </c>
      <c r="J477" s="251">
        <v>8600</v>
      </c>
      <c r="K477" s="563">
        <f>ROUND(I477*J477,0)</f>
        <v>2580000</v>
      </c>
      <c r="L477" s="564" t="s">
        <v>253</v>
      </c>
      <c r="M477" s="564" t="s">
        <v>177</v>
      </c>
      <c r="N477" s="52" t="str">
        <f>IF(AND('331-CT'!$E$7=TH!H477,OR(L477="331",M477="331")),"331",IF(AND(OR(L477="131",M477="131"),H477='131-CT'!$E$7),"131",""))</f>
        <v/>
      </c>
      <c r="O477" s="89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809"/>
      <c r="AC477" s="211" t="str">
        <f>IF(F477=VLOOKUP(F477,NXT!$C$12:$C$345,1,0),"","x")</f>
        <v/>
      </c>
      <c r="AD477" s="211"/>
      <c r="AE477" s="211"/>
    </row>
    <row r="478" spans="1:31" s="555" customFormat="1" ht="15.75" customHeight="1">
      <c r="A478" s="204" t="str">
        <f>IF(B478&lt;&gt;"",IF(AND(B478&gt;=_TM1,B478&lt;=_TM2,OR(TH!L478="1111",TH!M478="1111")),TH!D478,""),"")</f>
        <v/>
      </c>
      <c r="B478" s="36">
        <f t="shared" si="143"/>
        <v>9</v>
      </c>
      <c r="C478" s="184">
        <f t="shared" si="144"/>
        <v>41900</v>
      </c>
      <c r="D478" s="184" t="s">
        <v>966</v>
      </c>
      <c r="E478" s="191">
        <v>41900</v>
      </c>
      <c r="F478" s="192" t="s">
        <v>420</v>
      </c>
      <c r="G478" s="463" t="s">
        <v>689</v>
      </c>
      <c r="H478" s="7" t="s">
        <v>907</v>
      </c>
      <c r="I478" s="251"/>
      <c r="J478" s="251"/>
      <c r="K478" s="563">
        <v>382800</v>
      </c>
      <c r="L478" s="564" t="s">
        <v>253</v>
      </c>
      <c r="M478" s="564" t="s">
        <v>365</v>
      </c>
      <c r="N478" s="52" t="str">
        <f>IF(AND('331-CT'!$E$7=TH!H478,OR(L478="331",M478="331")),"331",IF(AND(OR(L478="131",M478="131"),H478='131-CT'!$E$7),"131",""))</f>
        <v/>
      </c>
      <c r="O478" s="89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809"/>
      <c r="AC478" s="555" t="str">
        <f>IF(VLOOKUP(H478,DS_131,1,0)&lt;&gt;"","","x")</f>
        <v/>
      </c>
      <c r="AD478" s="211"/>
      <c r="AE478" s="211"/>
    </row>
    <row r="479" spans="1:31" s="555" customFormat="1" ht="15.75" customHeight="1">
      <c r="A479" s="204" t="str">
        <f>IF(B479&lt;&gt;"",IF(AND(B479&gt;=_TM1,B479&lt;=_TM2,OR(TH!L479="1111",TH!M479="1111")),TH!D479,""),"")</f>
        <v/>
      </c>
      <c r="B479" s="36">
        <f t="shared" ref="B479" si="159">IF(C479&lt;&gt;"",MONTH(C479),"")</f>
        <v>9</v>
      </c>
      <c r="C479" s="184">
        <f t="shared" ref="C479" si="160">E479</f>
        <v>41900</v>
      </c>
      <c r="D479" s="184"/>
      <c r="E479" s="191">
        <v>41900</v>
      </c>
      <c r="F479" s="192" t="s">
        <v>894</v>
      </c>
      <c r="G479" s="463" t="s">
        <v>689</v>
      </c>
      <c r="H479" s="7" t="s">
        <v>907</v>
      </c>
      <c r="I479" s="251"/>
      <c r="J479" s="251"/>
      <c r="K479" s="563">
        <v>3496680</v>
      </c>
      <c r="L479" s="564" t="s">
        <v>47</v>
      </c>
      <c r="M479" s="564" t="s">
        <v>253</v>
      </c>
      <c r="N479" s="52" t="str">
        <f>IF(AND('331-CT'!$E$7=TH!H479,OR(L479="331",M479="331")),"331",IF(AND(OR(L479="131",M479="131"),H479='131-CT'!$E$7),"131",""))</f>
        <v/>
      </c>
      <c r="O479" s="890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809"/>
      <c r="AC479" s="555" t="str">
        <f>IF(VLOOKUP(H479,DS_131,1,0)&lt;&gt;"","","x")</f>
        <v/>
      </c>
      <c r="AD479" s="211"/>
      <c r="AE479" s="211"/>
    </row>
    <row r="480" spans="1:31" s="555" customFormat="1" ht="15.75" customHeight="1">
      <c r="A480" s="204" t="str">
        <f>IF(B480&lt;&gt;"",IF(AND(B480&gt;=_TM1,B480&lt;=_TM2,OR(TH!L480="1111",TH!M480="1111")),TH!D480,""),"")</f>
        <v/>
      </c>
      <c r="B480" s="36">
        <f t="shared" si="143"/>
        <v>9</v>
      </c>
      <c r="C480" s="184">
        <f t="shared" si="144"/>
        <v>41904</v>
      </c>
      <c r="D480" s="184" t="s">
        <v>967</v>
      </c>
      <c r="E480" s="191">
        <v>41904</v>
      </c>
      <c r="F480" s="192" t="s">
        <v>690</v>
      </c>
      <c r="G480" s="463" t="s">
        <v>691</v>
      </c>
      <c r="H480" s="7" t="s">
        <v>641</v>
      </c>
      <c r="I480" s="251">
        <v>314</v>
      </c>
      <c r="J480" s="251">
        <v>6300</v>
      </c>
      <c r="K480" s="563">
        <f>ROUND(I480*J480,0)</f>
        <v>1978200</v>
      </c>
      <c r="L480" s="564" t="s">
        <v>253</v>
      </c>
      <c r="M480" s="564" t="s">
        <v>177</v>
      </c>
      <c r="N480" s="52" t="str">
        <f>IF(AND('331-CT'!$E$7=TH!H480,OR(L480="331",M480="331")),"331",IF(AND(OR(L480="131",M480="131"),H480='131-CT'!$E$7),"131",""))</f>
        <v/>
      </c>
      <c r="O480" s="89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809"/>
      <c r="AC480" s="211" t="str">
        <f>IF(F480=VLOOKUP(F480,NXT!$C$12:$C$345,1,0),"","x")</f>
        <v/>
      </c>
      <c r="AD480" s="211"/>
      <c r="AE480" s="211"/>
    </row>
    <row r="481" spans="1:31" s="555" customFormat="1" ht="15.75" customHeight="1">
      <c r="A481" s="204" t="str">
        <f>IF(B481&lt;&gt;"",IF(AND(B481&gt;=_TM1,B481&lt;=_TM2,OR(TH!L481="1111",TH!M481="1111")),TH!D481,""),"")</f>
        <v/>
      </c>
      <c r="B481" s="36">
        <f t="shared" si="143"/>
        <v>9</v>
      </c>
      <c r="C481" s="184">
        <f t="shared" si="144"/>
        <v>41904</v>
      </c>
      <c r="D481" s="184" t="s">
        <v>967</v>
      </c>
      <c r="E481" s="191">
        <v>41904</v>
      </c>
      <c r="F481" s="192" t="s">
        <v>692</v>
      </c>
      <c r="G481" s="463" t="s">
        <v>691</v>
      </c>
      <c r="H481" s="7" t="s">
        <v>641</v>
      </c>
      <c r="I481" s="251">
        <v>103</v>
      </c>
      <c r="J481" s="251">
        <v>5700</v>
      </c>
      <c r="K481" s="563">
        <f>ROUND(I481*J481,0)</f>
        <v>587100</v>
      </c>
      <c r="L481" s="564" t="s">
        <v>253</v>
      </c>
      <c r="M481" s="564" t="s">
        <v>177</v>
      </c>
      <c r="N481" s="52" t="str">
        <f>IF(AND('331-CT'!$E$7=TH!H481,OR(L481="331",M481="331")),"331",IF(AND(OR(L481="131",M481="131"),H481='131-CT'!$E$7),"131",""))</f>
        <v/>
      </c>
      <c r="O481" s="89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809"/>
      <c r="AC481" s="211" t="str">
        <f>IF(F481=VLOOKUP(F481,NXT!$C$12:$C$345,1,0),"","x")</f>
        <v/>
      </c>
      <c r="AD481" s="211"/>
      <c r="AE481" s="211"/>
    </row>
    <row r="482" spans="1:31" s="555" customFormat="1" ht="15.75" customHeight="1">
      <c r="A482" s="204" t="str">
        <f>IF(B482&lt;&gt;"",IF(AND(B482&gt;=_TM1,B482&lt;=_TM2,OR(TH!L482="1111",TH!M482="1111")),TH!D482,""),"")</f>
        <v/>
      </c>
      <c r="B482" s="36">
        <f t="shared" si="143"/>
        <v>9</v>
      </c>
      <c r="C482" s="184">
        <f t="shared" si="144"/>
        <v>41904</v>
      </c>
      <c r="D482" s="184" t="s">
        <v>967</v>
      </c>
      <c r="E482" s="191">
        <v>41904</v>
      </c>
      <c r="F482" s="192" t="s">
        <v>693</v>
      </c>
      <c r="G482" s="463" t="s">
        <v>691</v>
      </c>
      <c r="H482" s="7" t="s">
        <v>641</v>
      </c>
      <c r="I482" s="251">
        <v>497</v>
      </c>
      <c r="J482" s="251">
        <v>5000</v>
      </c>
      <c r="K482" s="563">
        <f>ROUND(I482*J482,0)</f>
        <v>2485000</v>
      </c>
      <c r="L482" s="564" t="s">
        <v>253</v>
      </c>
      <c r="M482" s="564" t="s">
        <v>177</v>
      </c>
      <c r="N482" s="52" t="str">
        <f>IF(AND('331-CT'!$E$7=TH!H482,OR(L482="331",M482="331")),"331",IF(AND(OR(L482="131",M482="131"),H482='131-CT'!$E$7),"131",""))</f>
        <v/>
      </c>
      <c r="O482" s="89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809"/>
      <c r="AC482" s="211" t="str">
        <f>IF(F482=VLOOKUP(F482,NXT!$C$12:$C$345,1,0),"","x")</f>
        <v/>
      </c>
      <c r="AD482" s="211"/>
      <c r="AE482" s="211"/>
    </row>
    <row r="483" spans="1:31" s="555" customFormat="1" ht="15.75" customHeight="1">
      <c r="A483" s="204" t="str">
        <f>IF(B483&lt;&gt;"",IF(AND(B483&gt;=_TM1,B483&lt;=_TM2,OR(TH!L483="1111",TH!M483="1111")),TH!D483,""),"")</f>
        <v/>
      </c>
      <c r="B483" s="36">
        <f t="shared" si="143"/>
        <v>9</v>
      </c>
      <c r="C483" s="184">
        <f t="shared" si="144"/>
        <v>41904</v>
      </c>
      <c r="D483" s="184" t="s">
        <v>967</v>
      </c>
      <c r="E483" s="191">
        <v>41904</v>
      </c>
      <c r="F483" s="192" t="s">
        <v>694</v>
      </c>
      <c r="G483" s="463" t="s">
        <v>691</v>
      </c>
      <c r="H483" s="7" t="s">
        <v>641</v>
      </c>
      <c r="I483" s="251">
        <v>300</v>
      </c>
      <c r="J483" s="251">
        <v>4500</v>
      </c>
      <c r="K483" s="563">
        <f>ROUND(I483*J483,0)</f>
        <v>1350000</v>
      </c>
      <c r="L483" s="564" t="s">
        <v>253</v>
      </c>
      <c r="M483" s="564" t="s">
        <v>177</v>
      </c>
      <c r="N483" s="52" t="str">
        <f>IF(AND('331-CT'!$E$7=TH!H483,OR(L483="331",M483="331")),"331",IF(AND(OR(L483="131",M483="131"),H483='131-CT'!$E$7),"131",""))</f>
        <v/>
      </c>
      <c r="O483" s="890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809"/>
      <c r="AC483" s="211" t="str">
        <f>IF(F483=VLOOKUP(F483,NXT!$C$12:$C$345,1,0),"","x")</f>
        <v/>
      </c>
      <c r="AD483" s="211"/>
      <c r="AE483" s="211"/>
    </row>
    <row r="484" spans="1:31" s="555" customFormat="1" ht="15.75" customHeight="1">
      <c r="A484" s="204" t="str">
        <f>IF(B484&lt;&gt;"",IF(AND(B484&gt;=_TM1,B484&lt;=_TM2,OR(TH!L484="1111",TH!M484="1111")),TH!D484,""),"")</f>
        <v/>
      </c>
      <c r="B484" s="36">
        <f t="shared" si="143"/>
        <v>9</v>
      </c>
      <c r="C484" s="184">
        <f t="shared" si="144"/>
        <v>41904</v>
      </c>
      <c r="D484" s="184" t="s">
        <v>967</v>
      </c>
      <c r="E484" s="191">
        <v>41904</v>
      </c>
      <c r="F484" s="192" t="s">
        <v>420</v>
      </c>
      <c r="G484" s="463" t="s">
        <v>691</v>
      </c>
      <c r="H484" s="7" t="s">
        <v>641</v>
      </c>
      <c r="I484" s="252"/>
      <c r="J484" s="252"/>
      <c r="K484" s="563">
        <v>640030</v>
      </c>
      <c r="L484" s="564" t="s">
        <v>253</v>
      </c>
      <c r="M484" s="564" t="s">
        <v>365</v>
      </c>
      <c r="N484" s="52" t="str">
        <f>IF(AND('331-CT'!$E$7=TH!H484,OR(L484="331",M484="331")),"331",IF(AND(OR(L484="131",M484="131"),H484='131-CT'!$E$7),"131",""))</f>
        <v/>
      </c>
      <c r="O484" s="890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809"/>
      <c r="AC484" s="555" t="str">
        <f>IF(VLOOKUP(H484,DS_131,1,0)&lt;&gt;"","","x")</f>
        <v/>
      </c>
      <c r="AD484" s="211"/>
      <c r="AE484" s="211"/>
    </row>
    <row r="485" spans="1:31" s="555" customFormat="1" ht="15.75" customHeight="1">
      <c r="A485" s="204" t="str">
        <f>IF(B485&lt;&gt;"",IF(AND(B485&gt;=_TM1,B485&lt;=_TM2,OR(TH!L485="1111",TH!M485="1111")),TH!D485,""),"")</f>
        <v/>
      </c>
      <c r="B485" s="36">
        <f t="shared" si="143"/>
        <v>9</v>
      </c>
      <c r="C485" s="184">
        <f t="shared" si="144"/>
        <v>41905</v>
      </c>
      <c r="D485" s="184" t="s">
        <v>968</v>
      </c>
      <c r="E485" s="191">
        <v>41905</v>
      </c>
      <c r="F485" s="192" t="s">
        <v>695</v>
      </c>
      <c r="G485" s="463" t="s">
        <v>696</v>
      </c>
      <c r="H485" s="7" t="s">
        <v>684</v>
      </c>
      <c r="I485" s="251">
        <v>184</v>
      </c>
      <c r="J485" s="251">
        <v>32800</v>
      </c>
      <c r="K485" s="563">
        <f>ROUND(I485*J485,0)</f>
        <v>6035200</v>
      </c>
      <c r="L485" s="564" t="s">
        <v>253</v>
      </c>
      <c r="M485" s="564" t="s">
        <v>177</v>
      </c>
      <c r="N485" s="52" t="str">
        <f>IF(AND('331-CT'!$E$7=TH!H485,OR(L485="331",M485="331")),"331",IF(AND(OR(L485="131",M485="131"),H485='131-CT'!$E$7),"131",""))</f>
        <v/>
      </c>
      <c r="O485" s="89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809"/>
      <c r="AC485" s="211" t="str">
        <f>IF(F485=VLOOKUP(F485,NXT!$C$12:$C$345,1,0),"","x")</f>
        <v/>
      </c>
      <c r="AD485" s="211"/>
      <c r="AE485" s="211"/>
    </row>
    <row r="486" spans="1:31" s="555" customFormat="1" ht="15.75" customHeight="1">
      <c r="A486" s="204" t="str">
        <f>IF(B486&lt;&gt;"",IF(AND(B486&gt;=_TM1,B486&lt;=_TM2,OR(TH!L486="1111",TH!M486="1111")),TH!D486,""),"")</f>
        <v/>
      </c>
      <c r="B486" s="36">
        <f t="shared" si="143"/>
        <v>9</v>
      </c>
      <c r="C486" s="184">
        <f t="shared" si="144"/>
        <v>41905</v>
      </c>
      <c r="D486" s="184" t="s">
        <v>968</v>
      </c>
      <c r="E486" s="191">
        <v>41905</v>
      </c>
      <c r="F486" s="192" t="s">
        <v>746</v>
      </c>
      <c r="G486" s="463" t="s">
        <v>696</v>
      </c>
      <c r="H486" s="7" t="s">
        <v>684</v>
      </c>
      <c r="I486" s="251">
        <v>368</v>
      </c>
      <c r="J486" s="251">
        <v>1440</v>
      </c>
      <c r="K486" s="563">
        <f>ROUND(I486*J486,0)</f>
        <v>529920</v>
      </c>
      <c r="L486" s="564" t="s">
        <v>253</v>
      </c>
      <c r="M486" s="564" t="s">
        <v>177</v>
      </c>
      <c r="N486" s="52" t="str">
        <f>IF(AND('331-CT'!$E$7=TH!H486,OR(L486="331",M486="331")),"331",IF(AND(OR(L486="131",M486="131"),H486='131-CT'!$E$7),"131",""))</f>
        <v/>
      </c>
      <c r="O486" s="89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809"/>
      <c r="AC486" s="211" t="str">
        <f>IF(F486=VLOOKUP(F486,NXT!$C$12:$C$345,1,0),"","x")</f>
        <v/>
      </c>
      <c r="AD486" s="211"/>
      <c r="AE486" s="211"/>
    </row>
    <row r="487" spans="1:31" s="555" customFormat="1" ht="15.75" customHeight="1">
      <c r="A487" s="204" t="str">
        <f>IF(B487&lt;&gt;"",IF(AND(B487&gt;=_TM1,B487&lt;=_TM2,OR(TH!L487="1111",TH!M487="1111")),TH!D487,""),"")</f>
        <v/>
      </c>
      <c r="B487" s="36">
        <f t="shared" si="143"/>
        <v>9</v>
      </c>
      <c r="C487" s="184">
        <f t="shared" si="144"/>
        <v>41905</v>
      </c>
      <c r="D487" s="184" t="s">
        <v>968</v>
      </c>
      <c r="E487" s="191">
        <v>41905</v>
      </c>
      <c r="F487" s="192" t="s">
        <v>420</v>
      </c>
      <c r="G487" s="463" t="s">
        <v>696</v>
      </c>
      <c r="H487" s="7" t="s">
        <v>684</v>
      </c>
      <c r="I487" s="252"/>
      <c r="J487" s="252"/>
      <c r="K487" s="563">
        <v>656512</v>
      </c>
      <c r="L487" s="564" t="s">
        <v>253</v>
      </c>
      <c r="M487" s="564" t="s">
        <v>365</v>
      </c>
      <c r="N487" s="52" t="str">
        <f>IF(AND('331-CT'!$E$7=TH!H487,OR(L487="331",M487="331")),"331",IF(AND(OR(L487="131",M487="131"),H487='131-CT'!$E$7),"131",""))</f>
        <v/>
      </c>
      <c r="O487" s="89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809"/>
      <c r="AC487" s="555" t="str">
        <f>IF(VLOOKUP(H487,DS_131,1,0)&lt;&gt;"","","x")</f>
        <v/>
      </c>
      <c r="AD487" s="211"/>
      <c r="AE487" s="211"/>
    </row>
    <row r="488" spans="1:31" s="555" customFormat="1" ht="15.75" customHeight="1">
      <c r="A488" s="204" t="str">
        <f>IF(B488&lt;&gt;"",IF(AND(B488&gt;=_TM1,B488&lt;=_TM2,OR(TH!L488="1111",TH!M488="1111")),TH!D488,""),"")</f>
        <v/>
      </c>
      <c r="B488" s="36">
        <f t="shared" si="143"/>
        <v>9</v>
      </c>
      <c r="C488" s="184">
        <f t="shared" si="144"/>
        <v>41905</v>
      </c>
      <c r="D488" s="184" t="s">
        <v>969</v>
      </c>
      <c r="E488" s="191">
        <v>41905</v>
      </c>
      <c r="F488" s="192" t="s">
        <v>682</v>
      </c>
      <c r="G488" s="463" t="s">
        <v>697</v>
      </c>
      <c r="H488" s="7" t="s">
        <v>684</v>
      </c>
      <c r="I488" s="251">
        <v>13</v>
      </c>
      <c r="J488" s="251">
        <v>34770</v>
      </c>
      <c r="K488" s="563">
        <f>ROUND(I488*J488,0)</f>
        <v>452010</v>
      </c>
      <c r="L488" s="564" t="s">
        <v>253</v>
      </c>
      <c r="M488" s="564" t="s">
        <v>177</v>
      </c>
      <c r="N488" s="52" t="str">
        <f>IF(AND('331-CT'!$E$7=TH!H488,OR(L488="331",M488="331")),"331",IF(AND(OR(L488="131",M488="131"),H488='131-CT'!$E$7),"131",""))</f>
        <v/>
      </c>
      <c r="O488" s="890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809"/>
      <c r="AC488" s="211" t="str">
        <f>IF(F488=VLOOKUP(F488,NXT!$C$12:$C$345,1,0),"","x")</f>
        <v/>
      </c>
      <c r="AD488" s="211"/>
      <c r="AE488" s="211"/>
    </row>
    <row r="489" spans="1:31" s="555" customFormat="1" ht="15.75" customHeight="1">
      <c r="A489" s="204" t="str">
        <f>IF(B489&lt;&gt;"",IF(AND(B489&gt;=_TM1,B489&lt;=_TM2,OR(TH!L489="1111",TH!M489="1111")),TH!D489,""),"")</f>
        <v/>
      </c>
      <c r="B489" s="36">
        <f t="shared" si="143"/>
        <v>9</v>
      </c>
      <c r="C489" s="184">
        <f t="shared" si="144"/>
        <v>41905</v>
      </c>
      <c r="D489" s="184" t="s">
        <v>969</v>
      </c>
      <c r="E489" s="191">
        <v>41905</v>
      </c>
      <c r="F489" s="192" t="s">
        <v>420</v>
      </c>
      <c r="G489" s="463" t="s">
        <v>697</v>
      </c>
      <c r="H489" s="7" t="s">
        <v>684</v>
      </c>
      <c r="I489" s="251"/>
      <c r="J489" s="251"/>
      <c r="K489" s="563">
        <v>45201</v>
      </c>
      <c r="L489" s="564" t="s">
        <v>253</v>
      </c>
      <c r="M489" s="564" t="s">
        <v>365</v>
      </c>
      <c r="N489" s="52" t="str">
        <f>IF(AND('331-CT'!$E$7=TH!H489,OR(L489="331",M489="331")),"331",IF(AND(OR(L489="131",M489="131"),H489='131-CT'!$E$7),"131",""))</f>
        <v/>
      </c>
      <c r="O489" s="89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809"/>
      <c r="AC489" s="555" t="str">
        <f>IF(VLOOKUP(H489,DS_131,1,0)&lt;&gt;"","","x")</f>
        <v/>
      </c>
      <c r="AD489" s="211"/>
      <c r="AE489" s="211"/>
    </row>
    <row r="490" spans="1:31" s="555" customFormat="1" ht="15.75" customHeight="1">
      <c r="A490" s="204" t="str">
        <f>IF(B490&lt;&gt;"",IF(AND(B490&gt;=_TM1,B490&lt;=_TM2,OR(TH!L490="1111",TH!M490="1111")),TH!D490,""),"")</f>
        <v/>
      </c>
      <c r="B490" s="36">
        <f t="shared" si="143"/>
        <v>9</v>
      </c>
      <c r="C490" s="184">
        <f t="shared" si="144"/>
        <v>41907</v>
      </c>
      <c r="D490" s="184" t="s">
        <v>970</v>
      </c>
      <c r="E490" s="191">
        <v>41907</v>
      </c>
      <c r="F490" s="192" t="s">
        <v>515</v>
      </c>
      <c r="G490" s="463" t="s">
        <v>698</v>
      </c>
      <c r="H490" s="7" t="s">
        <v>908</v>
      </c>
      <c r="I490" s="251">
        <v>994</v>
      </c>
      <c r="J490" s="251">
        <v>12000</v>
      </c>
      <c r="K490" s="563">
        <f>ROUND(I490*J490,0)</f>
        <v>11928000</v>
      </c>
      <c r="L490" s="564" t="s">
        <v>253</v>
      </c>
      <c r="M490" s="564" t="s">
        <v>177</v>
      </c>
      <c r="N490" s="52" t="str">
        <f>IF(AND('331-CT'!$E$7=TH!H490,OR(L490="331",M490="331")),"331",IF(AND(OR(L490="131",M490="131"),H490='131-CT'!$E$7),"131",""))</f>
        <v/>
      </c>
      <c r="O490" s="89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809"/>
      <c r="AC490" s="211" t="str">
        <f>IF(F490=VLOOKUP(F490,NXT!$C$12:$C$345,1,0),"","x")</f>
        <v/>
      </c>
      <c r="AD490" s="211"/>
      <c r="AE490" s="211"/>
    </row>
    <row r="491" spans="1:31" s="555" customFormat="1" ht="15.75" customHeight="1">
      <c r="A491" s="204" t="str">
        <f>IF(B491&lt;&gt;"",IF(AND(B491&gt;=_TM1,B491&lt;=_TM2,OR(TH!L491="1111",TH!M491="1111")),TH!D491,""),"")</f>
        <v/>
      </c>
      <c r="B491" s="36">
        <f t="shared" si="143"/>
        <v>9</v>
      </c>
      <c r="C491" s="184">
        <f t="shared" si="144"/>
        <v>41907</v>
      </c>
      <c r="D491" s="184" t="s">
        <v>970</v>
      </c>
      <c r="E491" s="191">
        <v>41907</v>
      </c>
      <c r="F491" s="192" t="s">
        <v>420</v>
      </c>
      <c r="G491" s="463" t="s">
        <v>698</v>
      </c>
      <c r="H491" s="7" t="s">
        <v>908</v>
      </c>
      <c r="I491" s="251"/>
      <c r="J491" s="251"/>
      <c r="K491" s="563">
        <v>1192800</v>
      </c>
      <c r="L491" s="564" t="s">
        <v>253</v>
      </c>
      <c r="M491" s="564" t="s">
        <v>365</v>
      </c>
      <c r="N491" s="52" t="str">
        <f>IF(AND('331-CT'!$E$7=TH!H491,OR(L491="331",M491="331")),"331",IF(AND(OR(L491="131",M491="131"),H491='131-CT'!$E$7),"131",""))</f>
        <v/>
      </c>
      <c r="O491" s="89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809"/>
      <c r="AC491" s="555" t="str">
        <f>IF(VLOOKUP(H491,DS_131,1,0)&lt;&gt;"","","x")</f>
        <v/>
      </c>
      <c r="AD491" s="211"/>
      <c r="AE491" s="211"/>
    </row>
    <row r="492" spans="1:31" s="555" customFormat="1" ht="15.75" customHeight="1">
      <c r="A492" s="204" t="str">
        <f>IF(B492&lt;&gt;"",IF(AND(B492&gt;=_TM1,B492&lt;=_TM2,OR(TH!L492="1111",TH!M492="1111")),TH!D492,""),"")</f>
        <v/>
      </c>
      <c r="B492" s="36">
        <f t="shared" si="143"/>
        <v>9</v>
      </c>
      <c r="C492" s="184">
        <f t="shared" si="144"/>
        <v>41908</v>
      </c>
      <c r="D492" s="184" t="s">
        <v>971</v>
      </c>
      <c r="E492" s="191">
        <v>41908</v>
      </c>
      <c r="F492" s="192" t="s">
        <v>639</v>
      </c>
      <c r="G492" s="463" t="s">
        <v>699</v>
      </c>
      <c r="H492" s="7" t="s">
        <v>641</v>
      </c>
      <c r="I492" s="252">
        <v>1500</v>
      </c>
      <c r="J492" s="252">
        <v>4800</v>
      </c>
      <c r="K492" s="563">
        <f>ROUND(I492*J492,0)</f>
        <v>7200000</v>
      </c>
      <c r="L492" s="564" t="s">
        <v>253</v>
      </c>
      <c r="M492" s="564" t="s">
        <v>177</v>
      </c>
      <c r="N492" s="52" t="str">
        <f>IF(AND('331-CT'!$E$7=TH!H492,OR(L492="331",M492="331")),"331",IF(AND(OR(L492="131",M492="131"),H492='131-CT'!$E$7),"131",""))</f>
        <v/>
      </c>
      <c r="O492" s="89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809"/>
      <c r="AC492" s="211" t="str">
        <f>IF(F492=VLOOKUP(F492,NXT!$C$12:$C$345,1,0),"","x")</f>
        <v/>
      </c>
      <c r="AD492" s="211"/>
      <c r="AE492" s="211"/>
    </row>
    <row r="493" spans="1:31" s="555" customFormat="1" ht="15.75" customHeight="1">
      <c r="A493" s="204" t="str">
        <f>IF(B493&lt;&gt;"",IF(AND(B493&gt;=_TM1,B493&lt;=_TM2,OR(TH!L493="1111",TH!M493="1111")),TH!D493,""),"")</f>
        <v/>
      </c>
      <c r="B493" s="36">
        <f t="shared" si="143"/>
        <v>9</v>
      </c>
      <c r="C493" s="184">
        <f t="shared" si="144"/>
        <v>41908</v>
      </c>
      <c r="D493" s="184" t="s">
        <v>971</v>
      </c>
      <c r="E493" s="191">
        <v>41908</v>
      </c>
      <c r="F493" s="192" t="s">
        <v>420</v>
      </c>
      <c r="G493" s="463" t="s">
        <v>699</v>
      </c>
      <c r="H493" s="7" t="s">
        <v>641</v>
      </c>
      <c r="I493" s="251"/>
      <c r="J493" s="251"/>
      <c r="K493" s="563">
        <v>720000</v>
      </c>
      <c r="L493" s="564" t="s">
        <v>253</v>
      </c>
      <c r="M493" s="564" t="s">
        <v>365</v>
      </c>
      <c r="N493" s="52" t="str">
        <f>IF(AND('331-CT'!$E$7=TH!H493,OR(L493="331",M493="331")),"331",IF(AND(OR(L493="131",M493="131"),H493='131-CT'!$E$7),"131",""))</f>
        <v/>
      </c>
      <c r="O493" s="89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809"/>
      <c r="AC493" s="555" t="str">
        <f>IF(VLOOKUP(H493,DS_131,1,0)&lt;&gt;"","","x")</f>
        <v/>
      </c>
      <c r="AD493" s="211"/>
      <c r="AE493" s="211"/>
    </row>
    <row r="494" spans="1:31" s="555" customFormat="1" ht="15.75" customHeight="1">
      <c r="A494" s="204" t="str">
        <f>IF(B494&lt;&gt;"",IF(AND(B494&gt;=_TM1,B494&lt;=_TM2,OR(TH!L494="1111",TH!M494="1111")),TH!D494,""),"")</f>
        <v/>
      </c>
      <c r="B494" s="36">
        <f t="shared" ref="B494:B562" si="161">IF(C494&lt;&gt;"",MONTH(C494),"")</f>
        <v>9</v>
      </c>
      <c r="C494" s="184">
        <f t="shared" ref="C494:C562" si="162">E494</f>
        <v>41908</v>
      </c>
      <c r="D494" s="184" t="s">
        <v>972</v>
      </c>
      <c r="E494" s="191">
        <v>41908</v>
      </c>
      <c r="F494" s="192" t="s">
        <v>500</v>
      </c>
      <c r="G494" s="463" t="s">
        <v>700</v>
      </c>
      <c r="H494" s="7" t="s">
        <v>502</v>
      </c>
      <c r="I494" s="251">
        <v>399</v>
      </c>
      <c r="J494" s="251">
        <v>5900</v>
      </c>
      <c r="K494" s="563">
        <f>ROUND(I494*J494,0)</f>
        <v>2354100</v>
      </c>
      <c r="L494" s="564" t="s">
        <v>253</v>
      </c>
      <c r="M494" s="564" t="s">
        <v>177</v>
      </c>
      <c r="N494" s="52" t="str">
        <f>IF(AND('331-CT'!$E$7=TH!H494,OR(L494="331",M494="331")),"331",IF(AND(OR(L494="131",M494="131"),H494='131-CT'!$E$7),"131",""))</f>
        <v/>
      </c>
      <c r="O494" s="89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809"/>
      <c r="AC494" s="211" t="str">
        <f>IF(F494=VLOOKUP(F494,NXT!$C$12:$C$345,1,0),"","x")</f>
        <v/>
      </c>
      <c r="AD494" s="211"/>
      <c r="AE494" s="211"/>
    </row>
    <row r="495" spans="1:31" s="555" customFormat="1" ht="15.75" customHeight="1">
      <c r="A495" s="204" t="str">
        <f>IF(B495&lt;&gt;"",IF(AND(B495&gt;=_TM1,B495&lt;=_TM2,OR(TH!L495="1111",TH!M495="1111")),TH!D495,""),"")</f>
        <v/>
      </c>
      <c r="B495" s="36">
        <f t="shared" si="161"/>
        <v>9</v>
      </c>
      <c r="C495" s="184">
        <f t="shared" si="162"/>
        <v>41908</v>
      </c>
      <c r="D495" s="184" t="s">
        <v>972</v>
      </c>
      <c r="E495" s="191">
        <v>41908</v>
      </c>
      <c r="F495" s="192" t="s">
        <v>503</v>
      </c>
      <c r="G495" s="463" t="s">
        <v>700</v>
      </c>
      <c r="H495" s="7" t="s">
        <v>502</v>
      </c>
      <c r="I495" s="251">
        <v>295</v>
      </c>
      <c r="J495" s="251">
        <v>6250</v>
      </c>
      <c r="K495" s="563">
        <f>ROUND(I495*J495,0)</f>
        <v>1843750</v>
      </c>
      <c r="L495" s="564" t="s">
        <v>253</v>
      </c>
      <c r="M495" s="564" t="s">
        <v>177</v>
      </c>
      <c r="N495" s="52" t="str">
        <f>IF(AND('331-CT'!$E$7=TH!H495,OR(L495="331",M495="331")),"331",IF(AND(OR(L495="131",M495="131"),H495='131-CT'!$E$7),"131",""))</f>
        <v/>
      </c>
      <c r="O495" s="890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809"/>
      <c r="AC495" s="211" t="str">
        <f>IF(F495=VLOOKUP(F495,NXT!$C$12:$C$345,1,0),"","x")</f>
        <v/>
      </c>
      <c r="AD495" s="211"/>
      <c r="AE495" s="211"/>
    </row>
    <row r="496" spans="1:31" s="211" customFormat="1" ht="15.75" customHeight="1">
      <c r="A496" s="204" t="str">
        <f>IF(B496&lt;&gt;"",IF(AND(B496&gt;=_TM1,B496&lt;=_TM2,OR(TH!L496="1111",TH!M496="1111")),TH!D496,""),"")</f>
        <v/>
      </c>
      <c r="B496" s="36">
        <f t="shared" si="161"/>
        <v>9</v>
      </c>
      <c r="C496" s="184">
        <f t="shared" si="162"/>
        <v>41908</v>
      </c>
      <c r="D496" s="184" t="s">
        <v>972</v>
      </c>
      <c r="E496" s="191">
        <v>41908</v>
      </c>
      <c r="F496" s="192" t="s">
        <v>504</v>
      </c>
      <c r="G496" s="463" t="s">
        <v>700</v>
      </c>
      <c r="H496" s="7" t="s">
        <v>502</v>
      </c>
      <c r="I496" s="251">
        <v>200</v>
      </c>
      <c r="J496" s="251">
        <v>6550</v>
      </c>
      <c r="K496" s="563">
        <f>ROUND(I496*J496,0)</f>
        <v>1310000</v>
      </c>
      <c r="L496" s="564" t="s">
        <v>253</v>
      </c>
      <c r="M496" s="564" t="s">
        <v>177</v>
      </c>
      <c r="N496" s="52" t="str">
        <f>IF(AND('331-CT'!$E$7=TH!H496,OR(L496="331",M496="331")),"331",IF(AND(OR(L496="131",M496="131"),H496='131-CT'!$E$7),"131",""))</f>
        <v/>
      </c>
      <c r="O496" s="89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809"/>
      <c r="AC496" s="211" t="str">
        <f>IF(F496=VLOOKUP(F496,NXT!$C$12:$C$345,1,0),"","x")</f>
        <v/>
      </c>
    </row>
    <row r="497" spans="1:31" s="211" customFormat="1" ht="15.75" customHeight="1">
      <c r="A497" s="204" t="str">
        <f>IF(B497&lt;&gt;"",IF(AND(B497&gt;=_TM1,B497&lt;=_TM2,OR(TH!L497="1111",TH!M497="1111")),TH!D497,""),"")</f>
        <v/>
      </c>
      <c r="B497" s="36">
        <f t="shared" si="161"/>
        <v>9</v>
      </c>
      <c r="C497" s="184">
        <f t="shared" si="162"/>
        <v>41908</v>
      </c>
      <c r="D497" s="184" t="s">
        <v>972</v>
      </c>
      <c r="E497" s="191">
        <v>41908</v>
      </c>
      <c r="F497" s="192" t="s">
        <v>406</v>
      </c>
      <c r="G497" s="463" t="s">
        <v>700</v>
      </c>
      <c r="H497" s="7" t="s">
        <v>502</v>
      </c>
      <c r="I497" s="251">
        <v>298</v>
      </c>
      <c r="J497" s="251">
        <v>6800</v>
      </c>
      <c r="K497" s="563">
        <f>ROUND(I497*J497,0)</f>
        <v>2026400</v>
      </c>
      <c r="L497" s="564" t="s">
        <v>253</v>
      </c>
      <c r="M497" s="564" t="s">
        <v>177</v>
      </c>
      <c r="N497" s="52" t="str">
        <f>IF(AND('331-CT'!$E$7=TH!H497,OR(L497="331",M497="331")),"331",IF(AND(OR(L497="131",M497="131"),H497='131-CT'!$E$7),"131",""))</f>
        <v/>
      </c>
      <c r="O497" s="89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809"/>
      <c r="AC497" s="211" t="str">
        <f>IF(F497=VLOOKUP(F497,NXT!$C$12:$C$345,1,0),"","x")</f>
        <v/>
      </c>
    </row>
    <row r="498" spans="1:31" s="555" customFormat="1" ht="15.75" customHeight="1">
      <c r="A498" s="204" t="str">
        <f>IF(B498&lt;&gt;"",IF(AND(B498&gt;=_TM1,B498&lt;=_TM2,OR(TH!L498="1111",TH!M498="1111")),TH!D498,""),"")</f>
        <v/>
      </c>
      <c r="B498" s="36">
        <f t="shared" si="161"/>
        <v>9</v>
      </c>
      <c r="C498" s="184">
        <f t="shared" si="162"/>
        <v>41908</v>
      </c>
      <c r="D498" s="184" t="s">
        <v>972</v>
      </c>
      <c r="E498" s="191">
        <v>41908</v>
      </c>
      <c r="F498" s="192" t="s">
        <v>701</v>
      </c>
      <c r="G498" s="463" t="s">
        <v>700</v>
      </c>
      <c r="H498" s="7" t="s">
        <v>502</v>
      </c>
      <c r="I498" s="251">
        <v>360</v>
      </c>
      <c r="J498" s="251">
        <v>5500</v>
      </c>
      <c r="K498" s="563">
        <f>ROUND(I498*J498,0)</f>
        <v>1980000</v>
      </c>
      <c r="L498" s="564" t="s">
        <v>253</v>
      </c>
      <c r="M498" s="564" t="s">
        <v>177</v>
      </c>
      <c r="N498" s="52" t="str">
        <f>IF(AND('331-CT'!$E$7=TH!H498,OR(L498="331",M498="331")),"331",IF(AND(OR(L498="131",M498="131"),H498='131-CT'!$E$7),"131",""))</f>
        <v/>
      </c>
      <c r="O498" s="89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809"/>
      <c r="AC498" s="211" t="str">
        <f>IF(F498=VLOOKUP(F498,NXT!$C$12:$C$345,1,0),"","x")</f>
        <v/>
      </c>
      <c r="AD498" s="211"/>
      <c r="AE498" s="211"/>
    </row>
    <row r="499" spans="1:31" s="555" customFormat="1" ht="15.75" customHeight="1">
      <c r="A499" s="204" t="str">
        <f>IF(B499&lt;&gt;"",IF(AND(B499&gt;=_TM1,B499&lt;=_TM2,OR(TH!L499="1111",TH!M499="1111")),TH!D499,""),"")</f>
        <v/>
      </c>
      <c r="B499" s="36">
        <f t="shared" si="161"/>
        <v>9</v>
      </c>
      <c r="C499" s="184">
        <f t="shared" si="162"/>
        <v>41908</v>
      </c>
      <c r="D499" s="184" t="s">
        <v>972</v>
      </c>
      <c r="E499" s="191">
        <v>41908</v>
      </c>
      <c r="F499" s="192" t="s">
        <v>420</v>
      </c>
      <c r="G499" s="463" t="s">
        <v>700</v>
      </c>
      <c r="H499" s="7" t="s">
        <v>502</v>
      </c>
      <c r="I499" s="251"/>
      <c r="J499" s="251"/>
      <c r="K499" s="563">
        <v>951425</v>
      </c>
      <c r="L499" s="564" t="s">
        <v>253</v>
      </c>
      <c r="M499" s="564" t="s">
        <v>365</v>
      </c>
      <c r="N499" s="52" t="str">
        <f>IF(AND('331-CT'!$E$7=TH!H499,OR(L499="331",M499="331")),"331",IF(AND(OR(L499="131",M499="131"),H499='131-CT'!$E$7),"131",""))</f>
        <v/>
      </c>
      <c r="O499" s="89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809"/>
      <c r="AC499" s="555" t="str">
        <f>IF(VLOOKUP(H499,DS_131,1,0)&lt;&gt;"","","x")</f>
        <v/>
      </c>
      <c r="AD499" s="211"/>
      <c r="AE499" s="211"/>
    </row>
    <row r="500" spans="1:31" s="555" customFormat="1" ht="15.75" customHeight="1">
      <c r="A500" s="204" t="str">
        <f>IF(B500&lt;&gt;"",IF(AND(B500&gt;=_TM1,B500&lt;=_TM2,OR(TH!L500="1111",TH!M500="1111")),TH!D500,""),"")</f>
        <v/>
      </c>
      <c r="B500" s="36">
        <f t="shared" ref="B500" si="163">IF(C500&lt;&gt;"",MONTH(C500),"")</f>
        <v>9</v>
      </c>
      <c r="C500" s="184">
        <f t="shared" ref="C500" si="164">E500</f>
        <v>41908</v>
      </c>
      <c r="D500" s="184"/>
      <c r="E500" s="191">
        <v>41908</v>
      </c>
      <c r="F500" s="192" t="s">
        <v>894</v>
      </c>
      <c r="G500" s="463" t="s">
        <v>700</v>
      </c>
      <c r="H500" s="7" t="s">
        <v>502</v>
      </c>
      <c r="I500" s="251"/>
      <c r="J500" s="251"/>
      <c r="K500" s="563">
        <v>10465675</v>
      </c>
      <c r="L500" s="564" t="s">
        <v>47</v>
      </c>
      <c r="M500" s="564" t="s">
        <v>253</v>
      </c>
      <c r="N500" s="52" t="str">
        <f>IF(AND('331-CT'!$E$7=TH!H500,OR(L500="331",M500="331")),"331",IF(AND(OR(L500="131",M500="131"),H500='131-CT'!$E$7),"131",""))</f>
        <v/>
      </c>
      <c r="O500" s="890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809"/>
      <c r="AC500" s="555" t="str">
        <f>IF(VLOOKUP(H500,DS_131,1,0)&lt;&gt;"","","x")</f>
        <v/>
      </c>
      <c r="AD500" s="211"/>
      <c r="AE500" s="211"/>
    </row>
    <row r="501" spans="1:31" s="555" customFormat="1" ht="15.75" customHeight="1">
      <c r="A501" s="204" t="str">
        <f>IF(B501&lt;&gt;"",IF(AND(B501&gt;=_TM1,B501&lt;=_TM2,OR(TH!L501="1111",TH!M501="1111")),TH!D501,""),"")</f>
        <v/>
      </c>
      <c r="B501" s="36">
        <f t="shared" si="161"/>
        <v>9</v>
      </c>
      <c r="C501" s="184">
        <f t="shared" si="162"/>
        <v>41908</v>
      </c>
      <c r="D501" s="184" t="s">
        <v>973</v>
      </c>
      <c r="E501" s="191">
        <v>41908</v>
      </c>
      <c r="F501" s="192" t="s">
        <v>436</v>
      </c>
      <c r="G501" s="463" t="s">
        <v>702</v>
      </c>
      <c r="H501" s="7" t="s">
        <v>438</v>
      </c>
      <c r="I501" s="251">
        <v>498</v>
      </c>
      <c r="J501" s="251">
        <v>10500</v>
      </c>
      <c r="K501" s="563">
        <f>ROUND(I501*J501,0)</f>
        <v>5229000</v>
      </c>
      <c r="L501" s="564" t="s">
        <v>253</v>
      </c>
      <c r="M501" s="564" t="s">
        <v>177</v>
      </c>
      <c r="N501" s="52" t="str">
        <f>IF(AND('331-CT'!$E$7=TH!H501,OR(L501="331",M501="331")),"331",IF(AND(OR(L501="131",M501="131"),H501='131-CT'!$E$7),"131",""))</f>
        <v/>
      </c>
      <c r="O501" s="89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809"/>
      <c r="AC501" s="211" t="str">
        <f>IF(F501=VLOOKUP(F501,NXT!$C$12:$C$345,1,0),"","x")</f>
        <v/>
      </c>
      <c r="AD501" s="211"/>
      <c r="AE501" s="211"/>
    </row>
    <row r="502" spans="1:31" s="555" customFormat="1" ht="15.75" customHeight="1">
      <c r="A502" s="204" t="str">
        <f>IF(B502&lt;&gt;"",IF(AND(B502&gt;=_TM1,B502&lt;=_TM2,OR(TH!L502="1111",TH!M502="1111")),TH!D502,""),"")</f>
        <v/>
      </c>
      <c r="B502" s="36">
        <f t="shared" si="161"/>
        <v>9</v>
      </c>
      <c r="C502" s="184">
        <f t="shared" si="162"/>
        <v>41908</v>
      </c>
      <c r="D502" s="184" t="s">
        <v>973</v>
      </c>
      <c r="E502" s="191">
        <v>41908</v>
      </c>
      <c r="F502" s="192" t="s">
        <v>566</v>
      </c>
      <c r="G502" s="463" t="s">
        <v>702</v>
      </c>
      <c r="H502" s="7" t="s">
        <v>438</v>
      </c>
      <c r="I502" s="251">
        <v>493</v>
      </c>
      <c r="J502" s="251">
        <v>10500</v>
      </c>
      <c r="K502" s="563">
        <f>ROUND(I502*J502,0)</f>
        <v>5176500</v>
      </c>
      <c r="L502" s="564" t="s">
        <v>253</v>
      </c>
      <c r="M502" s="564" t="s">
        <v>177</v>
      </c>
      <c r="N502" s="52" t="str">
        <f>IF(AND('331-CT'!$E$7=TH!H502,OR(L502="331",M502="331")),"331",IF(AND(OR(L502="131",M502="131"),H502='131-CT'!$E$7),"131",""))</f>
        <v/>
      </c>
      <c r="O502" s="890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809"/>
      <c r="AC502" s="211" t="str">
        <f>IF(F502=VLOOKUP(F502,NXT!$C$12:$C$345,1,0),"","x")</f>
        <v/>
      </c>
      <c r="AD502" s="211"/>
      <c r="AE502" s="211"/>
    </row>
    <row r="503" spans="1:31" s="555" customFormat="1" ht="15.75" customHeight="1">
      <c r="A503" s="204" t="str">
        <f>IF(B503&lt;&gt;"",IF(AND(B503&gt;=_TM1,B503&lt;=_TM2,OR(TH!L503="1111",TH!M503="1111")),TH!D503,""),"")</f>
        <v/>
      </c>
      <c r="B503" s="36">
        <f t="shared" si="161"/>
        <v>9</v>
      </c>
      <c r="C503" s="184">
        <f t="shared" si="162"/>
        <v>41908</v>
      </c>
      <c r="D503" s="184" t="s">
        <v>973</v>
      </c>
      <c r="E503" s="191">
        <v>41908</v>
      </c>
      <c r="F503" s="192" t="s">
        <v>420</v>
      </c>
      <c r="G503" s="463" t="s">
        <v>702</v>
      </c>
      <c r="H503" s="7" t="s">
        <v>438</v>
      </c>
      <c r="I503" s="251"/>
      <c r="J503" s="251"/>
      <c r="K503" s="563">
        <v>1040550</v>
      </c>
      <c r="L503" s="564" t="s">
        <v>253</v>
      </c>
      <c r="M503" s="564" t="s">
        <v>365</v>
      </c>
      <c r="N503" s="52" t="str">
        <f>IF(AND('331-CT'!$E$7=TH!H503,OR(L503="331",M503="331")),"331",IF(AND(OR(L503="131",M503="131"),H503='131-CT'!$E$7),"131",""))</f>
        <v/>
      </c>
      <c r="O503" s="89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809"/>
      <c r="AC503" s="555" t="str">
        <f>IF(VLOOKUP(H503,DS_131,1,0)&lt;&gt;"","","x")</f>
        <v/>
      </c>
      <c r="AD503" s="211"/>
      <c r="AE503" s="211"/>
    </row>
    <row r="504" spans="1:31" s="555" customFormat="1" ht="15.75" customHeight="1">
      <c r="A504" s="204" t="str">
        <f>IF(B504&lt;&gt;"",IF(AND(B504&gt;=_TM1,B504&lt;=_TM2,OR(TH!L504="1111",TH!M504="1111")),TH!D504,""),"")</f>
        <v/>
      </c>
      <c r="B504" s="36">
        <f t="shared" ref="B504" si="165">IF(C504&lt;&gt;"",MONTH(C504),"")</f>
        <v>9</v>
      </c>
      <c r="C504" s="184">
        <f t="shared" ref="C504" si="166">E504</f>
        <v>41908</v>
      </c>
      <c r="D504" s="184"/>
      <c r="E504" s="191">
        <v>41908</v>
      </c>
      <c r="F504" s="192" t="s">
        <v>894</v>
      </c>
      <c r="G504" s="463" t="s">
        <v>702</v>
      </c>
      <c r="H504" s="7" t="s">
        <v>438</v>
      </c>
      <c r="I504" s="251"/>
      <c r="J504" s="251"/>
      <c r="K504" s="563">
        <v>11446050</v>
      </c>
      <c r="L504" s="564" t="s">
        <v>47</v>
      </c>
      <c r="M504" s="564" t="s">
        <v>253</v>
      </c>
      <c r="N504" s="52" t="str">
        <f>IF(AND('331-CT'!$E$7=TH!H504,OR(L504="331",M504="331")),"331",IF(AND(OR(L504="131",M504="131"),H504='131-CT'!$E$7),"131",""))</f>
        <v/>
      </c>
      <c r="O504" s="890" t="str">
        <f>IF(AND('341-CT'!$E$9=H504,OR(LEFT(L504,3)=$O$7,LEFT(M504,3)=$O$7)),"x","")</f>
        <v/>
      </c>
      <c r="P504" s="52" t="str">
        <f>IF(AND($B504&gt;='111'!$N$11,$B504&lt;='111'!$O$11,OR($L504=$P$7,$M504=$P$7)),"x","")</f>
        <v>x</v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809"/>
      <c r="AC504" s="555" t="str">
        <f>IF(VLOOKUP(H504,DS_131,1,0)&lt;&gt;"","","x")</f>
        <v/>
      </c>
      <c r="AD504" s="211"/>
      <c r="AE504" s="211"/>
    </row>
    <row r="505" spans="1:31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61"/>
        <v>9</v>
      </c>
      <c r="C505" s="184">
        <f t="shared" si="162"/>
        <v>41908</v>
      </c>
      <c r="D505" s="184" t="s">
        <v>974</v>
      </c>
      <c r="E505" s="191">
        <v>41908</v>
      </c>
      <c r="F505" s="192" t="s">
        <v>703</v>
      </c>
      <c r="G505" s="463" t="s">
        <v>704</v>
      </c>
      <c r="H505" s="7" t="s">
        <v>582</v>
      </c>
      <c r="I505" s="251">
        <v>51</v>
      </c>
      <c r="J505" s="251">
        <v>7200</v>
      </c>
      <c r="K505" s="563">
        <f t="shared" ref="K505:K512" si="167">ROUND(I505*J505,0)</f>
        <v>367200</v>
      </c>
      <c r="L505" s="564" t="s">
        <v>253</v>
      </c>
      <c r="M505" s="564" t="s">
        <v>177</v>
      </c>
      <c r="N505" s="52" t="str">
        <f>IF(AND('331-CT'!$E$7=TH!H505,OR(L505="331",M505="331")),"331",IF(AND(OR(L505="131",M505="131"),H505='131-CT'!$E$7),"131",""))</f>
        <v/>
      </c>
      <c r="O505" s="89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809"/>
      <c r="AC505" s="211" t="str">
        <f>IF(F505=VLOOKUP(F505,NXT!$C$12:$C$345,1,0),"","x")</f>
        <v/>
      </c>
    </row>
    <row r="506" spans="1:31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61"/>
        <v>9</v>
      </c>
      <c r="C506" s="184">
        <f t="shared" si="162"/>
        <v>41908</v>
      </c>
      <c r="D506" s="184" t="s">
        <v>974</v>
      </c>
      <c r="E506" s="191">
        <v>41908</v>
      </c>
      <c r="F506" s="192" t="s">
        <v>705</v>
      </c>
      <c r="G506" s="463" t="s">
        <v>704</v>
      </c>
      <c r="H506" s="7" t="s">
        <v>582</v>
      </c>
      <c r="I506" s="251">
        <v>313</v>
      </c>
      <c r="J506" s="251">
        <v>9450</v>
      </c>
      <c r="K506" s="563">
        <f t="shared" si="167"/>
        <v>2957850</v>
      </c>
      <c r="L506" s="564" t="s">
        <v>253</v>
      </c>
      <c r="M506" s="564" t="s">
        <v>177</v>
      </c>
      <c r="N506" s="52" t="str">
        <f>IF(AND('331-CT'!$E$7=TH!H506,OR(L506="331",M506="331")),"331",IF(AND(OR(L506="131",M506="131"),H506='131-CT'!$E$7),"131",""))</f>
        <v/>
      </c>
      <c r="O506" s="89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>x</v>
      </c>
      <c r="AB506" s="809"/>
      <c r="AC506" s="211" t="str">
        <f>IF(F506=VLOOKUP(F506,NXT!$C$12:$C$345,1,0),"","x")</f>
        <v/>
      </c>
    </row>
    <row r="507" spans="1:31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61"/>
        <v>9</v>
      </c>
      <c r="C507" s="184">
        <f t="shared" si="162"/>
        <v>41908</v>
      </c>
      <c r="D507" s="184" t="s">
        <v>974</v>
      </c>
      <c r="E507" s="191">
        <v>41908</v>
      </c>
      <c r="F507" s="192" t="s">
        <v>706</v>
      </c>
      <c r="G507" s="463" t="s">
        <v>704</v>
      </c>
      <c r="H507" s="7" t="s">
        <v>582</v>
      </c>
      <c r="I507" s="251">
        <v>113</v>
      </c>
      <c r="J507" s="251">
        <v>7500</v>
      </c>
      <c r="K507" s="563">
        <f t="shared" si="167"/>
        <v>847500</v>
      </c>
      <c r="L507" s="564" t="s">
        <v>253</v>
      </c>
      <c r="M507" s="564" t="s">
        <v>177</v>
      </c>
      <c r="N507" s="52" t="str">
        <f>IF(AND('331-CT'!$E$7=TH!H507,OR(L507="331",M507="331")),"331",IF(AND(OR(L507="131",M507="131"),H507='131-CT'!$E$7),"131",""))</f>
        <v/>
      </c>
      <c r="O507" s="89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>x</v>
      </c>
      <c r="AB507" s="809"/>
      <c r="AC507" s="211" t="str">
        <f>IF(F507=VLOOKUP(F507,NXT!$C$12:$C$345,1,0),"","x")</f>
        <v/>
      </c>
    </row>
    <row r="508" spans="1:31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61"/>
        <v>9</v>
      </c>
      <c r="C508" s="184">
        <f t="shared" si="162"/>
        <v>41908</v>
      </c>
      <c r="D508" s="184" t="s">
        <v>974</v>
      </c>
      <c r="E508" s="191">
        <v>41908</v>
      </c>
      <c r="F508" s="192" t="s">
        <v>707</v>
      </c>
      <c r="G508" s="463" t="s">
        <v>704</v>
      </c>
      <c r="H508" s="7" t="s">
        <v>582</v>
      </c>
      <c r="I508" s="251">
        <v>21</v>
      </c>
      <c r="J508" s="251">
        <v>9500</v>
      </c>
      <c r="K508" s="563">
        <f t="shared" si="167"/>
        <v>199500</v>
      </c>
      <c r="L508" s="564" t="s">
        <v>253</v>
      </c>
      <c r="M508" s="564" t="s">
        <v>177</v>
      </c>
      <c r="N508" s="52" t="str">
        <f>IF(AND('331-CT'!$E$7=TH!H508,OR(L508="331",M508="331")),"331",IF(AND(OR(L508="131",M508="131"),H508='131-CT'!$E$7),"131",""))</f>
        <v/>
      </c>
      <c r="O508" s="89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>x</v>
      </c>
      <c r="AB508" s="809"/>
      <c r="AC508" s="211" t="str">
        <f>IF(F508=VLOOKUP(F508,NXT!$C$12:$C$345,1,0),"","x")</f>
        <v/>
      </c>
    </row>
    <row r="509" spans="1:31" s="555" customFormat="1" ht="15.75" customHeight="1">
      <c r="A509" s="204" t="str">
        <f>IF(B509&lt;&gt;"",IF(AND(B509&gt;=_TM1,B509&lt;=_TM2,OR(TH!L509="1111",TH!M509="1111")),TH!D509,""),"")</f>
        <v/>
      </c>
      <c r="B509" s="36">
        <f t="shared" si="161"/>
        <v>9</v>
      </c>
      <c r="C509" s="184">
        <f t="shared" si="162"/>
        <v>41908</v>
      </c>
      <c r="D509" s="184" t="s">
        <v>974</v>
      </c>
      <c r="E509" s="191">
        <v>41908</v>
      </c>
      <c r="F509" s="192" t="s">
        <v>708</v>
      </c>
      <c r="G509" s="463" t="s">
        <v>704</v>
      </c>
      <c r="H509" s="7" t="s">
        <v>582</v>
      </c>
      <c r="I509" s="251">
        <v>35</v>
      </c>
      <c r="J509" s="251">
        <v>8800</v>
      </c>
      <c r="K509" s="563">
        <f t="shared" si="167"/>
        <v>308000</v>
      </c>
      <c r="L509" s="564" t="s">
        <v>253</v>
      </c>
      <c r="M509" s="564" t="s">
        <v>177</v>
      </c>
      <c r="N509" s="52" t="str">
        <f>IF(AND('331-CT'!$E$7=TH!H509,OR(L509="331",M509="331")),"331",IF(AND(OR(L509="131",M509="131"),H509='131-CT'!$E$7),"131",""))</f>
        <v/>
      </c>
      <c r="O509" s="89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>x</v>
      </c>
      <c r="AB509" s="809"/>
      <c r="AC509" s="211" t="str">
        <f>IF(F509=VLOOKUP(F509,NXT!$C$12:$C$345,1,0),"","x")</f>
        <v/>
      </c>
      <c r="AD509" s="211"/>
      <c r="AE509" s="211"/>
    </row>
    <row r="510" spans="1:31" s="555" customFormat="1" ht="15.75" customHeight="1">
      <c r="A510" s="204" t="str">
        <f>IF(B510&lt;&gt;"",IF(AND(B510&gt;=_TM1,B510&lt;=_TM2,OR(TH!L510="1111",TH!M510="1111")),TH!D510,""),"")</f>
        <v/>
      </c>
      <c r="B510" s="36">
        <f t="shared" si="161"/>
        <v>9</v>
      </c>
      <c r="C510" s="184">
        <f t="shared" si="162"/>
        <v>41908</v>
      </c>
      <c r="D510" s="184" t="s">
        <v>974</v>
      </c>
      <c r="E510" s="191">
        <v>41908</v>
      </c>
      <c r="F510" s="192" t="s">
        <v>709</v>
      </c>
      <c r="G510" s="463" t="s">
        <v>704</v>
      </c>
      <c r="H510" s="7" t="s">
        <v>582</v>
      </c>
      <c r="I510" s="251">
        <v>33</v>
      </c>
      <c r="J510" s="251">
        <v>8900</v>
      </c>
      <c r="K510" s="563">
        <f t="shared" si="167"/>
        <v>293700</v>
      </c>
      <c r="L510" s="564" t="s">
        <v>253</v>
      </c>
      <c r="M510" s="564" t="s">
        <v>177</v>
      </c>
      <c r="N510" s="52" t="str">
        <f>IF(AND('331-CT'!$E$7=TH!H510,OR(L510="331",M510="331")),"331",IF(AND(OR(L510="131",M510="131"),H510='131-CT'!$E$7),"131",""))</f>
        <v/>
      </c>
      <c r="O510" s="89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>x</v>
      </c>
      <c r="AB510" s="809"/>
      <c r="AC510" s="211" t="str">
        <f>IF(F510=VLOOKUP(F510,NXT!$C$12:$C$345,1,0),"","x")</f>
        <v/>
      </c>
      <c r="AD510" s="211"/>
      <c r="AE510" s="211"/>
    </row>
    <row r="511" spans="1:31" s="555" customFormat="1" ht="15.75" customHeight="1">
      <c r="A511" s="204" t="str">
        <f>IF(B511&lt;&gt;"",IF(AND(B511&gt;=_TM1,B511&lt;=_TM2,OR(TH!L511="1111",TH!M511="1111")),TH!D511,""),"")</f>
        <v/>
      </c>
      <c r="B511" s="36">
        <f t="shared" si="161"/>
        <v>9</v>
      </c>
      <c r="C511" s="184">
        <f t="shared" si="162"/>
        <v>41908</v>
      </c>
      <c r="D511" s="184" t="s">
        <v>974</v>
      </c>
      <c r="E511" s="191">
        <v>41908</v>
      </c>
      <c r="F511" s="192" t="s">
        <v>586</v>
      </c>
      <c r="G511" s="463" t="s">
        <v>704</v>
      </c>
      <c r="H511" s="7" t="s">
        <v>582</v>
      </c>
      <c r="I511" s="251">
        <v>762</v>
      </c>
      <c r="J511" s="251">
        <v>9300</v>
      </c>
      <c r="K511" s="563">
        <f t="shared" si="167"/>
        <v>7086600</v>
      </c>
      <c r="L511" s="564" t="s">
        <v>253</v>
      </c>
      <c r="M511" s="564" t="s">
        <v>177</v>
      </c>
      <c r="N511" s="52" t="str">
        <f>IF(AND('331-CT'!$E$7=TH!H511,OR(L511="331",M511="331")),"331",IF(AND(OR(L511="131",M511="131"),H511='131-CT'!$E$7),"131",""))</f>
        <v/>
      </c>
      <c r="O511" s="89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>x</v>
      </c>
      <c r="AB511" s="809"/>
      <c r="AC511" s="211" t="str">
        <f>IF(F511=VLOOKUP(F511,NXT!$C$12:$C$345,1,0),"","x")</f>
        <v/>
      </c>
      <c r="AD511" s="211"/>
      <c r="AE511" s="211"/>
    </row>
    <row r="512" spans="1:31" s="555" customFormat="1" ht="15.75" customHeight="1">
      <c r="A512" s="204" t="str">
        <f>IF(B512&lt;&gt;"",IF(AND(B512&gt;=_TM1,B512&lt;=_TM2,OR(TH!L512="1111",TH!M512="1111")),TH!D512,""),"")</f>
        <v/>
      </c>
      <c r="B512" s="36">
        <f t="shared" si="161"/>
        <v>9</v>
      </c>
      <c r="C512" s="184">
        <f t="shared" si="162"/>
        <v>41908</v>
      </c>
      <c r="D512" s="184" t="s">
        <v>974</v>
      </c>
      <c r="E512" s="191">
        <v>41908</v>
      </c>
      <c r="F512" s="192" t="s">
        <v>710</v>
      </c>
      <c r="G512" s="463" t="s">
        <v>704</v>
      </c>
      <c r="H512" s="7" t="s">
        <v>582</v>
      </c>
      <c r="I512" s="251">
        <v>145</v>
      </c>
      <c r="J512" s="251">
        <v>9500</v>
      </c>
      <c r="K512" s="563">
        <f t="shared" si="167"/>
        <v>1377500</v>
      </c>
      <c r="L512" s="564" t="s">
        <v>253</v>
      </c>
      <c r="M512" s="564" t="s">
        <v>177</v>
      </c>
      <c r="N512" s="52" t="str">
        <f>IF(AND('331-CT'!$E$7=TH!H512,OR(L512="331",M512="331")),"331",IF(AND(OR(L512="131",M512="131"),H512='131-CT'!$E$7),"131",""))</f>
        <v/>
      </c>
      <c r="O512" s="89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>x</v>
      </c>
      <c r="AB512" s="809"/>
      <c r="AC512" s="211" t="str">
        <f>IF(F512=VLOOKUP(F512,NXT!$C$12:$C$345,1,0),"","x")</f>
        <v/>
      </c>
      <c r="AD512" s="211"/>
      <c r="AE512" s="211"/>
    </row>
    <row r="513" spans="1:31" s="555" customFormat="1" ht="15.75" customHeight="1">
      <c r="A513" s="204" t="str">
        <f>IF(B513&lt;&gt;"",IF(AND(B513&gt;=_TM1,B513&lt;=_TM2,OR(TH!L513="1111",TH!M513="1111")),TH!D513,""),"")</f>
        <v/>
      </c>
      <c r="B513" s="36">
        <f t="shared" si="161"/>
        <v>9</v>
      </c>
      <c r="C513" s="184">
        <f t="shared" si="162"/>
        <v>41908</v>
      </c>
      <c r="D513" s="184" t="s">
        <v>974</v>
      </c>
      <c r="E513" s="191">
        <v>41908</v>
      </c>
      <c r="F513" s="192" t="s">
        <v>420</v>
      </c>
      <c r="G513" s="463" t="s">
        <v>704</v>
      </c>
      <c r="H513" s="7" t="s">
        <v>582</v>
      </c>
      <c r="I513" s="251"/>
      <c r="J513" s="251"/>
      <c r="K513" s="563">
        <v>1343785</v>
      </c>
      <c r="L513" s="564" t="s">
        <v>253</v>
      </c>
      <c r="M513" s="564" t="s">
        <v>365</v>
      </c>
      <c r="N513" s="52" t="str">
        <f>IF(AND('331-CT'!$E$7=TH!H513,OR(L513="331",M513="331")),"331",IF(AND(OR(L513="131",M513="131"),H513='131-CT'!$E$7),"131",""))</f>
        <v/>
      </c>
      <c r="O513" s="89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>x</v>
      </c>
      <c r="AB513" s="809"/>
      <c r="AC513" s="555" t="str">
        <f>IF(VLOOKUP(H513,DS_131,1,0)&lt;&gt;"","","x")</f>
        <v/>
      </c>
      <c r="AD513" s="211"/>
      <c r="AE513" s="211"/>
    </row>
    <row r="514" spans="1:31" s="555" customFormat="1" ht="15.75" customHeight="1">
      <c r="A514" s="204" t="str">
        <f>IF(B514&lt;&gt;"",IF(AND(B514&gt;=_TM1,B514&lt;=_TM2,OR(TH!L514="1111",TH!M514="1111")),TH!D514,""),"")</f>
        <v/>
      </c>
      <c r="B514" s="36">
        <f t="shared" si="161"/>
        <v>9</v>
      </c>
      <c r="C514" s="184">
        <f t="shared" si="162"/>
        <v>41909</v>
      </c>
      <c r="D514" s="184" t="s">
        <v>975</v>
      </c>
      <c r="E514" s="191">
        <v>41909</v>
      </c>
      <c r="F514" s="192" t="s">
        <v>459</v>
      </c>
      <c r="G514" s="463" t="s">
        <v>711</v>
      </c>
      <c r="H514" s="7" t="s">
        <v>461</v>
      </c>
      <c r="I514" s="251">
        <v>1007</v>
      </c>
      <c r="J514" s="251">
        <v>8740</v>
      </c>
      <c r="K514" s="563">
        <f>ROUND(I514*J514,0)</f>
        <v>8801180</v>
      </c>
      <c r="L514" s="564" t="s">
        <v>253</v>
      </c>
      <c r="M514" s="564" t="s">
        <v>177</v>
      </c>
      <c r="N514" s="52" t="str">
        <f>IF(AND('331-CT'!$E$7=TH!H514,OR(L514="331",M514="331")),"331",IF(AND(OR(L514="131",M514="131"),H514='131-CT'!$E$7),"131",""))</f>
        <v/>
      </c>
      <c r="O514" s="89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>x</v>
      </c>
      <c r="AB514" s="809"/>
      <c r="AC514" s="211" t="str">
        <f>IF(F514=VLOOKUP(F514,NXT!$C$12:$C$345,1,0),"","x")</f>
        <v/>
      </c>
      <c r="AD514" s="211"/>
      <c r="AE514" s="211"/>
    </row>
    <row r="515" spans="1:31" s="555" customFormat="1" ht="15.75" customHeight="1">
      <c r="A515" s="204" t="str">
        <f>IF(B515&lt;&gt;"",IF(AND(B515&gt;=_TM1,B515&lt;=_TM2,OR(TH!L515="1111",TH!M515="1111")),TH!D515,""),"")</f>
        <v/>
      </c>
      <c r="B515" s="36">
        <f t="shared" si="161"/>
        <v>9</v>
      </c>
      <c r="C515" s="184">
        <f t="shared" si="162"/>
        <v>41909</v>
      </c>
      <c r="D515" s="184" t="s">
        <v>975</v>
      </c>
      <c r="E515" s="191">
        <v>41909</v>
      </c>
      <c r="F515" s="192" t="s">
        <v>420</v>
      </c>
      <c r="G515" s="463" t="s">
        <v>711</v>
      </c>
      <c r="H515" s="7" t="s">
        <v>461</v>
      </c>
      <c r="I515" s="251"/>
      <c r="J515" s="251"/>
      <c r="K515" s="563">
        <v>880118</v>
      </c>
      <c r="L515" s="564" t="s">
        <v>253</v>
      </c>
      <c r="M515" s="564" t="s">
        <v>365</v>
      </c>
      <c r="N515" s="52" t="str">
        <f>IF(AND('331-CT'!$E$7=TH!H515,OR(L515="331",M515="331")),"331",IF(AND(OR(L515="131",M515="131"),H515='131-CT'!$E$7),"131",""))</f>
        <v/>
      </c>
      <c r="O515" s="89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>x</v>
      </c>
      <c r="AB515" s="809"/>
      <c r="AC515" s="555" t="str">
        <f>IF(VLOOKUP(H515,DS_131,1,0)&lt;&gt;"","","x")</f>
        <v/>
      </c>
      <c r="AD515" s="211"/>
      <c r="AE515" s="211"/>
    </row>
    <row r="516" spans="1:31" s="555" customFormat="1" ht="15.75" customHeight="1">
      <c r="A516" s="204" t="str">
        <f>IF(B516&lt;&gt;"",IF(AND(B516&gt;=_TM1,B516&lt;=_TM2,OR(TH!L516="1111",TH!M516="1111")),TH!D516,""),"")</f>
        <v/>
      </c>
      <c r="B516" s="36">
        <f t="shared" ref="B516" si="168">IF(C516&lt;&gt;"",MONTH(C516),"")</f>
        <v>9</v>
      </c>
      <c r="C516" s="184">
        <f t="shared" ref="C516" si="169">E516</f>
        <v>41909</v>
      </c>
      <c r="D516" s="184"/>
      <c r="E516" s="191">
        <v>41909</v>
      </c>
      <c r="F516" s="192" t="s">
        <v>894</v>
      </c>
      <c r="G516" s="463" t="s">
        <v>711</v>
      </c>
      <c r="H516" s="7" t="s">
        <v>461</v>
      </c>
      <c r="I516" s="251"/>
      <c r="J516" s="251"/>
      <c r="K516" s="563">
        <v>9681298</v>
      </c>
      <c r="L516" s="564" t="s">
        <v>47</v>
      </c>
      <c r="M516" s="564" t="s">
        <v>253</v>
      </c>
      <c r="N516" s="52" t="str">
        <f>IF(AND('331-CT'!$E$7=TH!H516,OR(L516="331",M516="331")),"331",IF(AND(OR(L516="131",M516="131"),H516='131-CT'!$E$7),"131",""))</f>
        <v/>
      </c>
      <c r="O516" s="890" t="str">
        <f>IF(AND('341-CT'!$E$9=H516,OR(LEFT(L516,3)=$O$7,LEFT(M516,3)=$O$7)),"x","")</f>
        <v/>
      </c>
      <c r="P516" s="52" t="str">
        <f>IF(AND($B516&gt;='111'!$N$11,$B516&lt;='111'!$O$11,OR($L516=$P$7,$M516=$P$7)),"x","")</f>
        <v>x</v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>x</v>
      </c>
      <c r="AB516" s="809"/>
      <c r="AC516" s="555" t="str">
        <f>IF(VLOOKUP(H516,DS_131,1,0)&lt;&gt;"","","x")</f>
        <v/>
      </c>
      <c r="AD516" s="211"/>
      <c r="AE516" s="211"/>
    </row>
    <row r="517" spans="1:31" s="555" customFormat="1" ht="15.75" customHeight="1">
      <c r="A517" s="204" t="str">
        <f>IF(B517&lt;&gt;"",IF(AND(B517&gt;=_TM1,B517&lt;=_TM2,OR(TH!L517="1111",TH!M517="1111")),TH!D517,""),"")</f>
        <v/>
      </c>
      <c r="B517" s="36">
        <f t="shared" si="161"/>
        <v>9</v>
      </c>
      <c r="C517" s="184">
        <f t="shared" si="162"/>
        <v>41912</v>
      </c>
      <c r="D517" s="184" t="s">
        <v>976</v>
      </c>
      <c r="E517" s="191">
        <v>41912</v>
      </c>
      <c r="F517" s="192" t="s">
        <v>712</v>
      </c>
      <c r="G517" s="463" t="s">
        <v>713</v>
      </c>
      <c r="H517" s="7" t="s">
        <v>714</v>
      </c>
      <c r="I517" s="251">
        <v>264</v>
      </c>
      <c r="J517" s="251">
        <v>14000</v>
      </c>
      <c r="K517" s="563">
        <f>ROUND(I517*J517,0)</f>
        <v>3696000</v>
      </c>
      <c r="L517" s="564" t="s">
        <v>253</v>
      </c>
      <c r="M517" s="564" t="s">
        <v>177</v>
      </c>
      <c r="N517" s="52" t="str">
        <f>IF(AND('331-CT'!$E$7=TH!H517,OR(L517="331",M517="331")),"331",IF(AND(OR(L517="131",M517="131"),H517='131-CT'!$E$7),"131",""))</f>
        <v/>
      </c>
      <c r="O517" s="89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>x</v>
      </c>
      <c r="AB517" s="809"/>
      <c r="AC517" s="211" t="str">
        <f>IF(F517=VLOOKUP(F517,NXT!$C$12:$C$345,1,0),"","x")</f>
        <v/>
      </c>
      <c r="AD517" s="211"/>
      <c r="AE517" s="211"/>
    </row>
    <row r="518" spans="1:31" s="555" customFormat="1" ht="15.75" customHeight="1">
      <c r="A518" s="204" t="str">
        <f>IF(B518&lt;&gt;"",IF(AND(B518&gt;=_TM1,B518&lt;=_TM2,OR(TH!L518="1111",TH!M518="1111")),TH!D518,""),"")</f>
        <v/>
      </c>
      <c r="B518" s="36">
        <f t="shared" si="161"/>
        <v>9</v>
      </c>
      <c r="C518" s="184">
        <f t="shared" si="162"/>
        <v>41912</v>
      </c>
      <c r="D518" s="184" t="s">
        <v>976</v>
      </c>
      <c r="E518" s="191">
        <v>41912</v>
      </c>
      <c r="F518" s="192" t="s">
        <v>712</v>
      </c>
      <c r="G518" s="463" t="s">
        <v>713</v>
      </c>
      <c r="H518" s="7" t="s">
        <v>714</v>
      </c>
      <c r="I518" s="251">
        <v>169</v>
      </c>
      <c r="J518" s="251">
        <v>14000</v>
      </c>
      <c r="K518" s="563">
        <f>ROUND(I518*J518,0)</f>
        <v>2366000</v>
      </c>
      <c r="L518" s="564" t="s">
        <v>253</v>
      </c>
      <c r="M518" s="564" t="s">
        <v>177</v>
      </c>
      <c r="N518" s="52" t="str">
        <f>IF(AND('331-CT'!$E$7=TH!H518,OR(L518="331",M518="331")),"331",IF(AND(OR(L518="131",M518="131"),H518='131-CT'!$E$7),"131",""))</f>
        <v/>
      </c>
      <c r="O518" s="89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>x</v>
      </c>
      <c r="AB518" s="809"/>
      <c r="AC518" s="211" t="str">
        <f>IF(F518=VLOOKUP(F518,NXT!$C$12:$C$345,1,0),"","x")</f>
        <v/>
      </c>
      <c r="AD518" s="211"/>
      <c r="AE518" s="211"/>
    </row>
    <row r="519" spans="1:31" s="555" customFormat="1" ht="15.75" customHeight="1">
      <c r="A519" s="204" t="str">
        <f>IF(B519&lt;&gt;"",IF(AND(B519&gt;=_TM1,B519&lt;=_TM2,OR(TH!L519="1111",TH!M519="1111")),TH!D519,""),"")</f>
        <v/>
      </c>
      <c r="B519" s="36">
        <f t="shared" si="161"/>
        <v>9</v>
      </c>
      <c r="C519" s="184">
        <f t="shared" si="162"/>
        <v>41912</v>
      </c>
      <c r="D519" s="184" t="s">
        <v>976</v>
      </c>
      <c r="E519" s="191">
        <v>41912</v>
      </c>
      <c r="F519" s="192" t="s">
        <v>420</v>
      </c>
      <c r="G519" s="463" t="s">
        <v>713</v>
      </c>
      <c r="H519" s="7" t="s">
        <v>714</v>
      </c>
      <c r="I519" s="251"/>
      <c r="J519" s="251"/>
      <c r="K519" s="563">
        <v>606200</v>
      </c>
      <c r="L519" s="564" t="s">
        <v>253</v>
      </c>
      <c r="M519" s="564" t="s">
        <v>365</v>
      </c>
      <c r="N519" s="52" t="str">
        <f>IF(AND('331-CT'!$E$7=TH!H519,OR(L519="331",M519="331")),"331",IF(AND(OR(L519="131",M519="131"),H519='131-CT'!$E$7),"131",""))</f>
        <v/>
      </c>
      <c r="O519" s="89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>x</v>
      </c>
      <c r="AB519" s="809"/>
      <c r="AC519" s="555" t="str">
        <f>IF(VLOOKUP(H519,DS_131,1,0)&lt;&gt;"","","x")</f>
        <v/>
      </c>
      <c r="AD519" s="211"/>
      <c r="AE519" s="211"/>
    </row>
    <row r="520" spans="1:31" s="555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" si="170">IF(C520&lt;&gt;"",MONTH(C520),"")</f>
        <v>9</v>
      </c>
      <c r="C520" s="184">
        <f t="shared" ref="C520" si="171">E520</f>
        <v>41912</v>
      </c>
      <c r="D520" s="184"/>
      <c r="E520" s="191">
        <v>41912</v>
      </c>
      <c r="F520" s="192" t="s">
        <v>894</v>
      </c>
      <c r="G520" s="463" t="s">
        <v>713</v>
      </c>
      <c r="H520" s="7" t="s">
        <v>714</v>
      </c>
      <c r="I520" s="251"/>
      <c r="J520" s="251"/>
      <c r="K520" s="563">
        <v>6668200</v>
      </c>
      <c r="L520" s="564" t="s">
        <v>47</v>
      </c>
      <c r="M520" s="564" t="s">
        <v>253</v>
      </c>
      <c r="N520" s="52" t="str">
        <f>IF(AND('331-CT'!$E$7=TH!H520,OR(L520="331",M520="331")),"331",IF(AND(OR(L520="131",M520="131"),H520='131-CT'!$E$7),"131",""))</f>
        <v/>
      </c>
      <c r="O520" s="890" t="str">
        <f>IF(AND('341-CT'!$E$9=H520,OR(LEFT(L520,3)=$O$7,LEFT(M520,3)=$O$7)),"x","")</f>
        <v/>
      </c>
      <c r="P520" s="52" t="str">
        <f>IF(AND($B520&gt;='111'!$N$11,$B520&lt;='111'!$O$11,OR($L520=$P$7,$M520=$P$7)),"x","")</f>
        <v>x</v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>x</v>
      </c>
      <c r="AB520" s="809"/>
      <c r="AC520" s="555" t="str">
        <f>IF(VLOOKUP(H520,DS_131,1,0)&lt;&gt;"","","x")</f>
        <v/>
      </c>
      <c r="AD520" s="211"/>
      <c r="AE520" s="211"/>
    </row>
    <row r="521" spans="1:31" s="555" customFormat="1" ht="15.75" customHeight="1">
      <c r="A521" s="204" t="str">
        <f>IF(B521&lt;&gt;"",IF(AND(B521&gt;=_TM1,B521&lt;=_TM2,OR(TH!L521="1111",TH!M521="1111")),TH!D521,""),"")</f>
        <v/>
      </c>
      <c r="B521" s="36">
        <f t="shared" si="161"/>
        <v>9</v>
      </c>
      <c r="C521" s="184">
        <f t="shared" si="162"/>
        <v>41912</v>
      </c>
      <c r="D521" s="184" t="s">
        <v>977</v>
      </c>
      <c r="E521" s="191">
        <v>41912</v>
      </c>
      <c r="F521" s="192" t="s">
        <v>670</v>
      </c>
      <c r="G521" s="463" t="s">
        <v>715</v>
      </c>
      <c r="H521" s="7" t="s">
        <v>672</v>
      </c>
      <c r="I521" s="251">
        <v>993</v>
      </c>
      <c r="J521" s="251">
        <v>9500</v>
      </c>
      <c r="K521" s="563">
        <f>ROUND(I521*J521,0)</f>
        <v>9433500</v>
      </c>
      <c r="L521" s="564" t="s">
        <v>253</v>
      </c>
      <c r="M521" s="564" t="s">
        <v>177</v>
      </c>
      <c r="N521" s="52" t="str">
        <f>IF(AND('331-CT'!$E$7=TH!H521,OR(L521="331",M521="331")),"331",IF(AND(OR(L521="131",M521="131"),H521='131-CT'!$E$7),"131",""))</f>
        <v/>
      </c>
      <c r="O521" s="89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>x</v>
      </c>
      <c r="AB521" s="809"/>
      <c r="AC521" s="211" t="str">
        <f>IF(F521=VLOOKUP(F521,NXT!$C$12:$C$345,1,0),"","x")</f>
        <v/>
      </c>
      <c r="AD521" s="211"/>
      <c r="AE521" s="211"/>
    </row>
    <row r="522" spans="1:31" s="555" customFormat="1" ht="15.75" customHeight="1">
      <c r="A522" s="204" t="str">
        <f>IF(B522&lt;&gt;"",IF(AND(B522&gt;=_TM1,B522&lt;=_TM2,OR(TH!L522="1111",TH!M522="1111")),TH!D522,""),"")</f>
        <v/>
      </c>
      <c r="B522" s="36">
        <f t="shared" si="161"/>
        <v>9</v>
      </c>
      <c r="C522" s="184">
        <f t="shared" si="162"/>
        <v>41912</v>
      </c>
      <c r="D522" s="184" t="s">
        <v>977</v>
      </c>
      <c r="E522" s="191">
        <v>41912</v>
      </c>
      <c r="F522" s="192" t="s">
        <v>420</v>
      </c>
      <c r="G522" s="463" t="s">
        <v>715</v>
      </c>
      <c r="H522" s="7" t="s">
        <v>672</v>
      </c>
      <c r="I522" s="251"/>
      <c r="J522" s="251"/>
      <c r="K522" s="563">
        <v>943350</v>
      </c>
      <c r="L522" s="564" t="s">
        <v>253</v>
      </c>
      <c r="M522" s="564" t="s">
        <v>365</v>
      </c>
      <c r="N522" s="52" t="str">
        <f>IF(AND('331-CT'!$E$7=TH!H522,OR(L522="331",M522="331")),"331",IF(AND(OR(L522="131",M522="131"),H522='131-CT'!$E$7),"131",""))</f>
        <v/>
      </c>
      <c r="O522" s="89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>x</v>
      </c>
      <c r="AB522" s="809"/>
      <c r="AC522" s="555" t="str">
        <f>IF(VLOOKUP(H522,DS_131,1,0)&lt;&gt;"","","x")</f>
        <v/>
      </c>
      <c r="AD522" s="211"/>
      <c r="AE522" s="211"/>
    </row>
    <row r="523" spans="1:31" s="555" customFormat="1" ht="15.75" customHeight="1">
      <c r="A523" s="204" t="str">
        <f>IF(B523&lt;&gt;"",IF(AND(B523&gt;=_TM1,B523&lt;=_TM2,OR(TH!L523="1111",TH!M523="1111")),TH!D523,""),"")</f>
        <v/>
      </c>
      <c r="B523" s="36">
        <f t="shared" ref="B523" si="172">IF(C523&lt;&gt;"",MONTH(C523),"")</f>
        <v>9</v>
      </c>
      <c r="C523" s="184">
        <f t="shared" ref="C523" si="173">E523</f>
        <v>41912</v>
      </c>
      <c r="D523" s="184"/>
      <c r="E523" s="191">
        <v>41912</v>
      </c>
      <c r="F523" s="192" t="s">
        <v>894</v>
      </c>
      <c r="G523" s="463" t="s">
        <v>715</v>
      </c>
      <c r="H523" s="7" t="s">
        <v>672</v>
      </c>
      <c r="I523" s="251"/>
      <c r="J523" s="251"/>
      <c r="K523" s="563">
        <v>10376850</v>
      </c>
      <c r="L523" s="564" t="s">
        <v>47</v>
      </c>
      <c r="M523" s="564" t="s">
        <v>253</v>
      </c>
      <c r="N523" s="52" t="str">
        <f>IF(AND('331-CT'!$E$7=TH!H523,OR(L523="331",M523="331")),"331",IF(AND(OR(L523="131",M523="131"),H523='131-CT'!$E$7),"131",""))</f>
        <v/>
      </c>
      <c r="O523" s="890" t="str">
        <f>IF(AND('341-CT'!$E$9=H523,OR(LEFT(L523,3)=$O$7,LEFT(M523,3)=$O$7)),"x","")</f>
        <v/>
      </c>
      <c r="P523" s="52" t="str">
        <f>IF(AND($B523&gt;='111'!$N$11,$B523&lt;='111'!$O$11,OR($L523=$P$7,$M523=$P$7)),"x","")</f>
        <v>x</v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>x</v>
      </c>
      <c r="AB523" s="809"/>
      <c r="AC523" s="555" t="str">
        <f>IF(VLOOKUP(H523,DS_131,1,0)&lt;&gt;"","","x")</f>
        <v/>
      </c>
      <c r="AD523" s="211"/>
      <c r="AE523" s="211"/>
    </row>
    <row r="524" spans="1:31" s="555" customFormat="1" ht="15.75" customHeight="1">
      <c r="A524" s="204" t="str">
        <f>IF(B524&lt;&gt;"",IF(AND(B524&gt;=_TM1,B524&lt;=_TM2,OR(TH!L524="1111",TH!M524="1111")),TH!D524,""),"")</f>
        <v/>
      </c>
      <c r="B524" s="36">
        <f t="shared" si="161"/>
        <v>9</v>
      </c>
      <c r="C524" s="184">
        <f t="shared" si="162"/>
        <v>41912</v>
      </c>
      <c r="D524" s="184" t="s">
        <v>978</v>
      </c>
      <c r="E524" s="191">
        <v>41912</v>
      </c>
      <c r="F524" s="192" t="s">
        <v>716</v>
      </c>
      <c r="G524" s="463" t="s">
        <v>717</v>
      </c>
      <c r="H524" s="7" t="s">
        <v>688</v>
      </c>
      <c r="I524" s="251">
        <v>247</v>
      </c>
      <c r="J524" s="251">
        <v>33000</v>
      </c>
      <c r="K524" s="563">
        <f>ROUND(I524*J524,0)</f>
        <v>8151000</v>
      </c>
      <c r="L524" s="564" t="s">
        <v>253</v>
      </c>
      <c r="M524" s="564" t="s">
        <v>177</v>
      </c>
      <c r="N524" s="52" t="str">
        <f>IF(AND('331-CT'!$E$7=TH!H524,OR(L524="331",M524="331")),"331",IF(AND(OR(L524="131",M524="131"),H524='131-CT'!$E$7),"131",""))</f>
        <v/>
      </c>
      <c r="O524" s="89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>x</v>
      </c>
      <c r="AB524" s="809"/>
      <c r="AC524" s="211" t="str">
        <f>IF(F524=VLOOKUP(F524,NXT!$C$12:$C$345,1,0),"","x")</f>
        <v/>
      </c>
      <c r="AD524" s="211"/>
      <c r="AE524" s="211"/>
    </row>
    <row r="525" spans="1:31" s="555" customFormat="1" ht="15.75" customHeight="1">
      <c r="A525" s="204" t="str">
        <f>IF(B525&lt;&gt;"",IF(AND(B525&gt;=_TM1,B525&lt;=_TM2,OR(TH!L525="1111",TH!M525="1111")),TH!D525,""),"")</f>
        <v/>
      </c>
      <c r="B525" s="36">
        <f t="shared" si="161"/>
        <v>9</v>
      </c>
      <c r="C525" s="184">
        <f t="shared" si="162"/>
        <v>41912</v>
      </c>
      <c r="D525" s="184" t="s">
        <v>978</v>
      </c>
      <c r="E525" s="191">
        <v>41912</v>
      </c>
      <c r="F525" s="192" t="s">
        <v>420</v>
      </c>
      <c r="G525" s="463" t="s">
        <v>717</v>
      </c>
      <c r="H525" s="7" t="s">
        <v>688</v>
      </c>
      <c r="I525" s="251"/>
      <c r="J525" s="251"/>
      <c r="K525" s="563">
        <v>815100</v>
      </c>
      <c r="L525" s="564" t="s">
        <v>253</v>
      </c>
      <c r="M525" s="564" t="s">
        <v>365</v>
      </c>
      <c r="N525" s="52" t="str">
        <f>IF(AND('331-CT'!$E$7=TH!H525,OR(L525="331",M525="331")),"331",IF(AND(OR(L525="131",M525="131"),H525='131-CT'!$E$7),"131",""))</f>
        <v/>
      </c>
      <c r="O525" s="89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>x</v>
      </c>
      <c r="AB525" s="809"/>
      <c r="AC525" s="555" t="str">
        <f>IF(VLOOKUP(H525,DS_131,1,0)&lt;&gt;"","","x")</f>
        <v/>
      </c>
      <c r="AD525" s="211"/>
      <c r="AE525" s="211"/>
    </row>
    <row r="526" spans="1:31" s="555" customFormat="1" ht="15.75" customHeight="1">
      <c r="A526" s="204" t="str">
        <f>IF(B526&lt;&gt;"",IF(AND(B526&gt;=_TM1,B526&lt;=_TM2,OR(TH!L526="1111",TH!M526="1111")),TH!D526,""),"")</f>
        <v/>
      </c>
      <c r="B526" s="36">
        <f t="shared" ref="B526" si="174">IF(C526&lt;&gt;"",MONTH(C526),"")</f>
        <v>9</v>
      </c>
      <c r="C526" s="184">
        <f t="shared" ref="C526" si="175">E526</f>
        <v>41912</v>
      </c>
      <c r="D526" s="184"/>
      <c r="E526" s="191">
        <v>41912</v>
      </c>
      <c r="F526" s="192" t="s">
        <v>894</v>
      </c>
      <c r="G526" s="463" t="s">
        <v>717</v>
      </c>
      <c r="H526" s="7" t="s">
        <v>688</v>
      </c>
      <c r="I526" s="251"/>
      <c r="J526" s="251"/>
      <c r="K526" s="563">
        <v>8966100</v>
      </c>
      <c r="L526" s="564" t="s">
        <v>47</v>
      </c>
      <c r="M526" s="564" t="s">
        <v>253</v>
      </c>
      <c r="N526" s="52" t="str">
        <f>IF(AND('331-CT'!$E$7=TH!H526,OR(L526="331",M526="331")),"331",IF(AND(OR(L526="131",M526="131"),H526='131-CT'!$E$7),"131",""))</f>
        <v/>
      </c>
      <c r="O526" s="890" t="str">
        <f>IF(AND('341-CT'!$E$9=H526,OR(LEFT(L526,3)=$O$7,LEFT(M526,3)=$O$7)),"x","")</f>
        <v/>
      </c>
      <c r="P526" s="52" t="str">
        <f>IF(AND($B526&gt;='111'!$N$11,$B526&lt;='111'!$O$11,OR($L526=$P$7,$M526=$P$7)),"x","")</f>
        <v>x</v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>x</v>
      </c>
      <c r="AB526" s="809"/>
      <c r="AC526" s="555" t="str">
        <f>IF(VLOOKUP(H526,DS_131,1,0)&lt;&gt;"","","x")</f>
        <v/>
      </c>
      <c r="AD526" s="211"/>
      <c r="AE526" s="211"/>
    </row>
    <row r="527" spans="1:31" s="555" customFormat="1" ht="15.75" customHeight="1">
      <c r="A527" s="204" t="str">
        <f>IF(B527&lt;&gt;"",IF(AND(B527&gt;=_TM1,B527&lt;=_TM2,OR(TH!L527="1111",TH!M527="1111")),TH!D527,""),"")</f>
        <v/>
      </c>
      <c r="B527" s="36">
        <f t="shared" si="161"/>
        <v>9</v>
      </c>
      <c r="C527" s="184">
        <f t="shared" si="162"/>
        <v>41912</v>
      </c>
      <c r="D527" s="184" t="s">
        <v>979</v>
      </c>
      <c r="E527" s="191">
        <v>41912</v>
      </c>
      <c r="F527" s="192" t="s">
        <v>692</v>
      </c>
      <c r="G527" s="463" t="s">
        <v>718</v>
      </c>
      <c r="H527" s="7" t="s">
        <v>641</v>
      </c>
      <c r="I527" s="251">
        <v>498</v>
      </c>
      <c r="J527" s="251">
        <v>5700</v>
      </c>
      <c r="K527" s="563">
        <f>ROUND(I527*J527,0)</f>
        <v>2838600</v>
      </c>
      <c r="L527" s="564" t="s">
        <v>253</v>
      </c>
      <c r="M527" s="564" t="s">
        <v>177</v>
      </c>
      <c r="N527" s="52" t="str">
        <f>IF(AND('331-CT'!$E$7=TH!H527,OR(L527="331",M527="331")),"331",IF(AND(OR(L527="131",M527="131"),H527='131-CT'!$E$7),"131",""))</f>
        <v/>
      </c>
      <c r="O527" s="89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>x</v>
      </c>
      <c r="AB527" s="809"/>
      <c r="AC527" s="211" t="str">
        <f>IF(F527=VLOOKUP(F527,NXT!$C$12:$C$345,1,0),"","x")</f>
        <v/>
      </c>
      <c r="AD527" s="211"/>
      <c r="AE527" s="211"/>
    </row>
    <row r="528" spans="1:31" s="555" customFormat="1" ht="15.75" customHeight="1">
      <c r="A528" s="204" t="str">
        <f>IF(B528&lt;&gt;"",IF(AND(B528&gt;=_TM1,B528&lt;=_TM2,OR(TH!L528="1111",TH!M528="1111")),TH!D528,""),"")</f>
        <v/>
      </c>
      <c r="B528" s="36">
        <f t="shared" si="161"/>
        <v>9</v>
      </c>
      <c r="C528" s="184">
        <f t="shared" si="162"/>
        <v>41912</v>
      </c>
      <c r="D528" s="184" t="s">
        <v>979</v>
      </c>
      <c r="E528" s="191">
        <v>41912</v>
      </c>
      <c r="F528" s="192" t="s">
        <v>693</v>
      </c>
      <c r="G528" s="463" t="s">
        <v>718</v>
      </c>
      <c r="H528" s="7" t="s">
        <v>641</v>
      </c>
      <c r="I528" s="251">
        <v>500</v>
      </c>
      <c r="J528" s="251">
        <v>5000</v>
      </c>
      <c r="K528" s="563">
        <f>ROUND(I528*J528,0)</f>
        <v>2500000</v>
      </c>
      <c r="L528" s="564" t="s">
        <v>253</v>
      </c>
      <c r="M528" s="564" t="s">
        <v>177</v>
      </c>
      <c r="N528" s="52" t="str">
        <f>IF(AND('331-CT'!$E$7=TH!H528,OR(L528="331",M528="331")),"331",IF(AND(OR(L528="131",M528="131"),H528='131-CT'!$E$7),"131",""))</f>
        <v/>
      </c>
      <c r="O528" s="89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>x</v>
      </c>
      <c r="AB528" s="809"/>
      <c r="AC528" s="211" t="str">
        <f>IF(F528=VLOOKUP(F528,NXT!$C$12:$C$345,1,0),"","x")</f>
        <v/>
      </c>
      <c r="AD528" s="211"/>
      <c r="AE528" s="211"/>
    </row>
    <row r="529" spans="1:31" s="555" customFormat="1" ht="15.75" customHeight="1">
      <c r="A529" s="204" t="str">
        <f>IF(B529&lt;&gt;"",IF(AND(B529&gt;=_TM1,B529&lt;=_TM2,OR(TH!L529="1111",TH!M529="1111")),TH!D529,""),"")</f>
        <v/>
      </c>
      <c r="B529" s="36">
        <f t="shared" si="161"/>
        <v>9</v>
      </c>
      <c r="C529" s="184">
        <f t="shared" si="162"/>
        <v>41912</v>
      </c>
      <c r="D529" s="184" t="s">
        <v>979</v>
      </c>
      <c r="E529" s="191">
        <v>41912</v>
      </c>
      <c r="F529" s="192" t="s">
        <v>420</v>
      </c>
      <c r="G529" s="463" t="s">
        <v>718</v>
      </c>
      <c r="H529" s="7" t="s">
        <v>641</v>
      </c>
      <c r="I529" s="251"/>
      <c r="J529" s="251"/>
      <c r="K529" s="563">
        <v>533860</v>
      </c>
      <c r="L529" s="564" t="s">
        <v>253</v>
      </c>
      <c r="M529" s="564" t="s">
        <v>365</v>
      </c>
      <c r="N529" s="52" t="str">
        <f>IF(AND('331-CT'!$E$7=TH!H529,OR(L529="331",M529="331")),"331",IF(AND(OR(L529="131",M529="131"),H529='131-CT'!$E$7),"131",""))</f>
        <v/>
      </c>
      <c r="O529" s="89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>x</v>
      </c>
      <c r="AB529" s="809"/>
      <c r="AC529" s="555" t="str">
        <f>IF(VLOOKUP(H529,DS_131,1,0)&lt;&gt;"","","x")</f>
        <v/>
      </c>
      <c r="AD529" s="211"/>
      <c r="AE529" s="211"/>
    </row>
    <row r="530" spans="1:31" s="555" customFormat="1" ht="15.75" customHeight="1">
      <c r="A530" s="204" t="str">
        <f>IF(B530&lt;&gt;"",IF(AND(B530&gt;=_TM1,B530&lt;=_TM2,OR(TH!L530="1111",TH!M530="1111")),TH!D530,""),"")</f>
        <v/>
      </c>
      <c r="B530" s="36">
        <f t="shared" si="161"/>
        <v>9</v>
      </c>
      <c r="C530" s="184">
        <f t="shared" si="162"/>
        <v>41912</v>
      </c>
      <c r="D530" s="184" t="s">
        <v>980</v>
      </c>
      <c r="E530" s="191">
        <v>41912</v>
      </c>
      <c r="F530" s="192" t="s">
        <v>719</v>
      </c>
      <c r="G530" s="463" t="s">
        <v>720</v>
      </c>
      <c r="H530" s="7" t="s">
        <v>721</v>
      </c>
      <c r="I530" s="251">
        <v>1000</v>
      </c>
      <c r="J530" s="251">
        <v>17500</v>
      </c>
      <c r="K530" s="563">
        <f>ROUND(I530*J530,0)</f>
        <v>17500000</v>
      </c>
      <c r="L530" s="564" t="s">
        <v>253</v>
      </c>
      <c r="M530" s="564" t="s">
        <v>177</v>
      </c>
      <c r="N530" s="52" t="str">
        <f>IF(AND('331-CT'!$E$7=TH!H530,OR(L530="331",M530="331")),"331",IF(AND(OR(L530="131",M530="131"),H530='131-CT'!$E$7),"131",""))</f>
        <v/>
      </c>
      <c r="O530" s="89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>x</v>
      </c>
      <c r="AB530" s="809"/>
      <c r="AC530" s="211" t="str">
        <f>IF(F530=VLOOKUP(F530,NXT!$C$12:$C$345,1,0),"","x")</f>
        <v/>
      </c>
      <c r="AD530" s="211"/>
      <c r="AE530" s="211"/>
    </row>
    <row r="531" spans="1:31" s="555" customFormat="1" ht="15.75" customHeight="1">
      <c r="A531" s="204" t="str">
        <f>IF(B531&lt;&gt;"",IF(AND(B531&gt;=_TM1,B531&lt;=_TM2,OR(TH!L531="1111",TH!M531="1111")),TH!D531,""),"")</f>
        <v/>
      </c>
      <c r="B531" s="36">
        <f t="shared" si="161"/>
        <v>9</v>
      </c>
      <c r="C531" s="184">
        <f t="shared" si="162"/>
        <v>41912</v>
      </c>
      <c r="D531" s="184" t="s">
        <v>980</v>
      </c>
      <c r="E531" s="191">
        <v>41912</v>
      </c>
      <c r="F531" s="192" t="s">
        <v>420</v>
      </c>
      <c r="G531" s="463" t="s">
        <v>720</v>
      </c>
      <c r="H531" s="7" t="s">
        <v>721</v>
      </c>
      <c r="I531" s="251"/>
      <c r="J531" s="251"/>
      <c r="K531" s="563">
        <v>1750000</v>
      </c>
      <c r="L531" s="564" t="s">
        <v>253</v>
      </c>
      <c r="M531" s="564" t="s">
        <v>365</v>
      </c>
      <c r="N531" s="52" t="str">
        <f>IF(AND('331-CT'!$E$7=TH!H531,OR(L531="331",M531="331")),"331",IF(AND(OR(L531="131",M531="131"),H531='131-CT'!$E$7),"131",""))</f>
        <v/>
      </c>
      <c r="O531" s="89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>x</v>
      </c>
      <c r="AB531" s="809"/>
      <c r="AC531" s="555" t="str">
        <f>IF(VLOOKUP(H531,DS_131,1,0)&lt;&gt;"","","x")</f>
        <v/>
      </c>
      <c r="AD531" s="211"/>
      <c r="AE531" s="211"/>
    </row>
    <row r="532" spans="1:31" s="555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76">IF(C532&lt;&gt;"",MONTH(C532),"")</f>
        <v>9</v>
      </c>
      <c r="C532" s="184">
        <f t="shared" ref="C532" si="177">E532</f>
        <v>41912</v>
      </c>
      <c r="D532" s="184"/>
      <c r="E532" s="191">
        <v>41912</v>
      </c>
      <c r="F532" s="192" t="s">
        <v>894</v>
      </c>
      <c r="G532" s="463" t="s">
        <v>720</v>
      </c>
      <c r="H532" s="7" t="s">
        <v>721</v>
      </c>
      <c r="I532" s="251"/>
      <c r="J532" s="251"/>
      <c r="K532" s="563">
        <v>19250000</v>
      </c>
      <c r="L532" s="564" t="s">
        <v>47</v>
      </c>
      <c r="M532" s="564" t="s">
        <v>253</v>
      </c>
      <c r="N532" s="52" t="str">
        <f>IF(AND('331-CT'!$E$7=TH!H532,OR(L532="331",M532="331")),"331",IF(AND(OR(L532="131",M532="131"),H532='131-CT'!$E$7),"131",""))</f>
        <v/>
      </c>
      <c r="O532" s="890" t="str">
        <f>IF(AND('341-CT'!$E$9=H532,OR(LEFT(L532,3)=$O$7,LEFT(M532,3)=$O$7)),"x","")</f>
        <v/>
      </c>
      <c r="P532" s="52" t="str">
        <f>IF(AND($B532&gt;='111'!$N$11,$B532&lt;='111'!$O$11,OR($L532=$P$7,$M532=$P$7)),"x","")</f>
        <v>x</v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>x</v>
      </c>
      <c r="AB532" s="809"/>
      <c r="AC532" s="555" t="str">
        <f>IF(VLOOKUP(H532,DS_131,1,0)&lt;&gt;"","","x")</f>
        <v/>
      </c>
      <c r="AD532" s="211"/>
      <c r="AE532" s="211"/>
    </row>
    <row r="533" spans="1:31" s="555" customFormat="1" ht="15.75" customHeight="1">
      <c r="A533" s="204" t="str">
        <f>IF(B533&lt;&gt;"",IF(AND(B533&gt;=_TM1,B533&lt;=_TM2,OR(TH!L533="1111",TH!M533="1111")),TH!D533,""),"")</f>
        <v/>
      </c>
      <c r="B533" s="36">
        <f t="shared" si="161"/>
        <v>10</v>
      </c>
      <c r="C533" s="184">
        <f t="shared" si="162"/>
        <v>41918</v>
      </c>
      <c r="D533" s="184" t="s">
        <v>910</v>
      </c>
      <c r="E533" s="191">
        <v>41918</v>
      </c>
      <c r="F533" s="192" t="s">
        <v>722</v>
      </c>
      <c r="G533" s="463" t="s">
        <v>723</v>
      </c>
      <c r="H533" s="7" t="s">
        <v>684</v>
      </c>
      <c r="I533" s="251">
        <v>218</v>
      </c>
      <c r="J533" s="251">
        <v>30000</v>
      </c>
      <c r="K533" s="563">
        <f>ROUND(I533*J533,0)</f>
        <v>6540000</v>
      </c>
      <c r="L533" s="564" t="s">
        <v>253</v>
      </c>
      <c r="M533" s="564" t="s">
        <v>177</v>
      </c>
      <c r="N533" s="52" t="str">
        <f>IF(AND('331-CT'!$E$7=TH!H533,OR(L533="331",M533="331")),"331",IF(AND(OR(L533="131",M533="131"),H533='131-CT'!$E$7),"131",""))</f>
        <v/>
      </c>
      <c r="O533" s="89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09"/>
      <c r="AC533" s="211" t="str">
        <f>IF(F533=VLOOKUP(F533,NXT!$C$12:$C$345,1,0),"","x")</f>
        <v/>
      </c>
      <c r="AD533" s="211"/>
      <c r="AE533" s="211"/>
    </row>
    <row r="534" spans="1:31" s="555" customFormat="1" ht="15.75" customHeight="1">
      <c r="A534" s="204" t="str">
        <f>IF(B534&lt;&gt;"",IF(AND(B534&gt;=_TM1,B534&lt;=_TM2,OR(TH!L534="1111",TH!M534="1111")),TH!D534,""),"")</f>
        <v/>
      </c>
      <c r="B534" s="36">
        <f t="shared" si="161"/>
        <v>10</v>
      </c>
      <c r="C534" s="184">
        <f t="shared" si="162"/>
        <v>41918</v>
      </c>
      <c r="D534" s="184" t="s">
        <v>910</v>
      </c>
      <c r="E534" s="191">
        <v>41918</v>
      </c>
      <c r="F534" s="192" t="s">
        <v>746</v>
      </c>
      <c r="G534" s="463" t="s">
        <v>723</v>
      </c>
      <c r="H534" s="7" t="s">
        <v>684</v>
      </c>
      <c r="I534" s="252">
        <v>436</v>
      </c>
      <c r="J534" s="252">
        <v>1440</v>
      </c>
      <c r="K534" s="563">
        <f>ROUND(I534*J534,0)</f>
        <v>627840</v>
      </c>
      <c r="L534" s="564" t="s">
        <v>253</v>
      </c>
      <c r="M534" s="564" t="s">
        <v>177</v>
      </c>
      <c r="N534" s="52" t="str">
        <f>IF(AND('331-CT'!$E$7=TH!H534,OR(L534="331",M534="331")),"331",IF(AND(OR(L534="131",M534="131"),H534='131-CT'!$E$7),"131",""))</f>
        <v/>
      </c>
      <c r="O534" s="89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09"/>
      <c r="AC534" s="211" t="str">
        <f>IF(F534=VLOOKUP(F534,NXT!$C$12:$C$345,1,0),"","x")</f>
        <v/>
      </c>
      <c r="AD534" s="211"/>
      <c r="AE534" s="211"/>
    </row>
    <row r="535" spans="1:31" s="555" customFormat="1" ht="15.75" customHeight="1">
      <c r="A535" s="204" t="str">
        <f>IF(B535&lt;&gt;"",IF(AND(B535&gt;=_TM1,B535&lt;=_TM2,OR(TH!L535="1111",TH!M535="1111")),TH!D535,""),"")</f>
        <v/>
      </c>
      <c r="B535" s="36">
        <f t="shared" si="161"/>
        <v>10</v>
      </c>
      <c r="C535" s="184">
        <f t="shared" si="162"/>
        <v>41918</v>
      </c>
      <c r="D535" s="184" t="s">
        <v>910</v>
      </c>
      <c r="E535" s="191">
        <v>41918</v>
      </c>
      <c r="F535" s="192" t="s">
        <v>420</v>
      </c>
      <c r="G535" s="463" t="s">
        <v>723</v>
      </c>
      <c r="H535" s="7" t="s">
        <v>684</v>
      </c>
      <c r="I535" s="251"/>
      <c r="J535" s="251"/>
      <c r="K535" s="563">
        <v>716784</v>
      </c>
      <c r="L535" s="564" t="s">
        <v>253</v>
      </c>
      <c r="M535" s="564" t="s">
        <v>365</v>
      </c>
      <c r="N535" s="52" t="str">
        <f>IF(AND('331-CT'!$E$7=TH!H535,OR(L535="331",M535="331")),"331",IF(AND(OR(L535="131",M535="131"),H535='131-CT'!$E$7),"131",""))</f>
        <v/>
      </c>
      <c r="O535" s="89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09"/>
      <c r="AC535" s="555" t="str">
        <f>IF(VLOOKUP(H535,DS_131,1,0)&lt;&gt;"","","x")</f>
        <v/>
      </c>
      <c r="AD535" s="211"/>
      <c r="AE535" s="211"/>
    </row>
    <row r="536" spans="1:31" s="555" customFormat="1" ht="15.75" customHeight="1">
      <c r="A536" s="204" t="str">
        <f>IF(B536&lt;&gt;"",IF(AND(B536&gt;=_TM1,B536&lt;=_TM2,OR(TH!L536="1111",TH!M536="1111")),TH!D536,""),"")</f>
        <v/>
      </c>
      <c r="B536" s="36">
        <f t="shared" si="161"/>
        <v>10</v>
      </c>
      <c r="C536" s="184">
        <f t="shared" si="162"/>
        <v>41918</v>
      </c>
      <c r="D536" s="184" t="s">
        <v>911</v>
      </c>
      <c r="E536" s="191">
        <v>41918</v>
      </c>
      <c r="F536" s="192" t="s">
        <v>724</v>
      </c>
      <c r="G536" s="463" t="s">
        <v>725</v>
      </c>
      <c r="H536" s="7" t="s">
        <v>469</v>
      </c>
      <c r="I536" s="251">
        <v>267</v>
      </c>
      <c r="J536" s="251">
        <v>3700</v>
      </c>
      <c r="K536" s="563">
        <f>ROUND(I536*J536,0)</f>
        <v>987900</v>
      </c>
      <c r="L536" s="564" t="s">
        <v>253</v>
      </c>
      <c r="M536" s="564" t="s">
        <v>177</v>
      </c>
      <c r="N536" s="52" t="str">
        <f>IF(AND('331-CT'!$E$7=TH!H536,OR(L536="331",M536="331")),"331",IF(AND(OR(L536="131",M536="131"),H536='131-CT'!$E$7),"131",""))</f>
        <v/>
      </c>
      <c r="O536" s="89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09"/>
      <c r="AC536" s="211" t="str">
        <f>IF(F536=VLOOKUP(F536,NXT!$C$12:$C$345,1,0),"","x")</f>
        <v/>
      </c>
      <c r="AD536" s="211"/>
      <c r="AE536" s="211"/>
    </row>
    <row r="537" spans="1:31" s="555" customFormat="1" ht="15.75" customHeight="1">
      <c r="A537" s="204" t="str">
        <f>IF(B537&lt;&gt;"",IF(AND(B537&gt;=_TM1,B537&lt;=_TM2,OR(TH!L537="1111",TH!M537="1111")),TH!D537,""),"")</f>
        <v/>
      </c>
      <c r="B537" s="36">
        <f t="shared" si="161"/>
        <v>10</v>
      </c>
      <c r="C537" s="184">
        <f t="shared" si="162"/>
        <v>41918</v>
      </c>
      <c r="D537" s="184" t="s">
        <v>911</v>
      </c>
      <c r="E537" s="191">
        <v>41918</v>
      </c>
      <c r="F537" s="192" t="s">
        <v>726</v>
      </c>
      <c r="G537" s="463" t="s">
        <v>725</v>
      </c>
      <c r="H537" s="7" t="s">
        <v>469</v>
      </c>
      <c r="I537" s="251">
        <v>120</v>
      </c>
      <c r="J537" s="251">
        <v>6500</v>
      </c>
      <c r="K537" s="563">
        <f>ROUND(I537*J537,0)</f>
        <v>780000</v>
      </c>
      <c r="L537" s="564" t="s">
        <v>253</v>
      </c>
      <c r="M537" s="564" t="s">
        <v>177</v>
      </c>
      <c r="N537" s="52" t="str">
        <f>IF(AND('331-CT'!$E$7=TH!H537,OR(L537="331",M537="331")),"331",IF(AND(OR(L537="131",M537="131"),H537='131-CT'!$E$7),"131",""))</f>
        <v/>
      </c>
      <c r="O537" s="89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09"/>
      <c r="AC537" s="211" t="str">
        <f>IF(F537=VLOOKUP(F537,NXT!$C$12:$C$345,1,0),"","x")</f>
        <v/>
      </c>
      <c r="AD537" s="211"/>
      <c r="AE537" s="211"/>
    </row>
    <row r="538" spans="1:31" s="555" customFormat="1" ht="15.75" customHeight="1">
      <c r="A538" s="204" t="str">
        <f>IF(B538&lt;&gt;"",IF(AND(B538&gt;=_TM1,B538&lt;=_TM2,OR(TH!L538="1111",TH!M538="1111")),TH!D538,""),"")</f>
        <v/>
      </c>
      <c r="B538" s="36">
        <f t="shared" si="161"/>
        <v>10</v>
      </c>
      <c r="C538" s="184">
        <f t="shared" si="162"/>
        <v>41918</v>
      </c>
      <c r="D538" s="184" t="s">
        <v>911</v>
      </c>
      <c r="E538" s="191">
        <v>41918</v>
      </c>
      <c r="F538" s="192" t="s">
        <v>727</v>
      </c>
      <c r="G538" s="463" t="s">
        <v>725</v>
      </c>
      <c r="H538" s="7" t="s">
        <v>469</v>
      </c>
      <c r="I538" s="251">
        <v>230</v>
      </c>
      <c r="J538" s="251">
        <v>6500</v>
      </c>
      <c r="K538" s="563">
        <f>ROUND(I538*J538,0)</f>
        <v>1495000</v>
      </c>
      <c r="L538" s="564" t="s">
        <v>253</v>
      </c>
      <c r="M538" s="564" t="s">
        <v>177</v>
      </c>
      <c r="N538" s="52" t="str">
        <f>IF(AND('331-CT'!$E$7=TH!H538,OR(L538="331",M538="331")),"331",IF(AND(OR(L538="131",M538="131"),H538='131-CT'!$E$7),"131",""))</f>
        <v/>
      </c>
      <c r="O538" s="89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09"/>
      <c r="AC538" s="211" t="str">
        <f>IF(F538=VLOOKUP(F538,NXT!$C$12:$C$345,1,0),"","x")</f>
        <v/>
      </c>
      <c r="AD538" s="211"/>
      <c r="AE538" s="211"/>
    </row>
    <row r="539" spans="1:31" s="555" customFormat="1" ht="15.75" customHeight="1">
      <c r="A539" s="204" t="str">
        <f>IF(B539&lt;&gt;"",IF(AND(B539&gt;=_TM1,B539&lt;=_TM2,OR(TH!L539="1111",TH!M539="1111")),TH!D539,""),"")</f>
        <v/>
      </c>
      <c r="B539" s="36">
        <f t="shared" si="161"/>
        <v>10</v>
      </c>
      <c r="C539" s="184">
        <f t="shared" si="162"/>
        <v>41918</v>
      </c>
      <c r="D539" s="184" t="s">
        <v>911</v>
      </c>
      <c r="E539" s="191">
        <v>41918</v>
      </c>
      <c r="F539" s="192" t="s">
        <v>728</v>
      </c>
      <c r="G539" s="463" t="s">
        <v>725</v>
      </c>
      <c r="H539" s="7" t="s">
        <v>469</v>
      </c>
      <c r="I539" s="251">
        <v>230</v>
      </c>
      <c r="J539" s="251">
        <v>5500</v>
      </c>
      <c r="K539" s="563">
        <f>ROUND(I539*J539,0)</f>
        <v>1265000</v>
      </c>
      <c r="L539" s="564" t="s">
        <v>253</v>
      </c>
      <c r="M539" s="564" t="s">
        <v>177</v>
      </c>
      <c r="N539" s="52" t="str">
        <f>IF(AND('331-CT'!$E$7=TH!H539,OR(L539="331",M539="331")),"331",IF(AND(OR(L539="131",M539="131"),H539='131-CT'!$E$7),"131",""))</f>
        <v/>
      </c>
      <c r="O539" s="89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09"/>
      <c r="AC539" s="211" t="str">
        <f>IF(F539=VLOOKUP(F539,NXT!$C$12:$C$345,1,0),"","x")</f>
        <v/>
      </c>
      <c r="AD539" s="211"/>
      <c r="AE539" s="211"/>
    </row>
    <row r="540" spans="1:31" s="555" customFormat="1" ht="15.75" customHeight="1">
      <c r="A540" s="204" t="str">
        <f>IF(B540&lt;&gt;"",IF(AND(B540&gt;=_TM1,B540&lt;=_TM2,OR(TH!L540="1111",TH!M540="1111")),TH!D540,""),"")</f>
        <v/>
      </c>
      <c r="B540" s="36">
        <f t="shared" si="161"/>
        <v>10</v>
      </c>
      <c r="C540" s="184">
        <f t="shared" si="162"/>
        <v>41918</v>
      </c>
      <c r="D540" s="184" t="s">
        <v>911</v>
      </c>
      <c r="E540" s="191">
        <v>41918</v>
      </c>
      <c r="F540" s="192" t="s">
        <v>729</v>
      </c>
      <c r="G540" s="463" t="s">
        <v>725</v>
      </c>
      <c r="H540" s="7" t="s">
        <v>469</v>
      </c>
      <c r="I540" s="251">
        <v>1</v>
      </c>
      <c r="J540" s="251">
        <v>1000000</v>
      </c>
      <c r="K540" s="563">
        <f>ROUND(I540*J540,0)</f>
        <v>1000000</v>
      </c>
      <c r="L540" s="564" t="s">
        <v>253</v>
      </c>
      <c r="M540" s="564" t="s">
        <v>177</v>
      </c>
      <c r="N540" s="52" t="str">
        <f>IF(AND('331-CT'!$E$7=TH!H540,OR(L540="331",M540="331")),"331",IF(AND(OR(L540="131",M540="131"),H540='131-CT'!$E$7),"131",""))</f>
        <v/>
      </c>
      <c r="O540" s="89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09"/>
      <c r="AC540" s="211"/>
      <c r="AD540" s="211"/>
      <c r="AE540" s="211"/>
    </row>
    <row r="541" spans="1:31" s="555" customFormat="1" ht="15.75" customHeight="1">
      <c r="A541" s="204" t="str">
        <f>IF(B541&lt;&gt;"",IF(AND(B541&gt;=_TM1,B541&lt;=_TM2,OR(TH!L541="1111",TH!M541="1111")),TH!D541,""),"")</f>
        <v/>
      </c>
      <c r="B541" s="36">
        <f t="shared" si="161"/>
        <v>10</v>
      </c>
      <c r="C541" s="184">
        <f t="shared" si="162"/>
        <v>41918</v>
      </c>
      <c r="D541" s="184" t="s">
        <v>911</v>
      </c>
      <c r="E541" s="191">
        <v>41918</v>
      </c>
      <c r="F541" s="192" t="s">
        <v>420</v>
      </c>
      <c r="G541" s="463" t="s">
        <v>725</v>
      </c>
      <c r="H541" s="7" t="s">
        <v>469</v>
      </c>
      <c r="I541" s="252"/>
      <c r="J541" s="252"/>
      <c r="K541" s="563">
        <v>552790</v>
      </c>
      <c r="L541" s="564" t="s">
        <v>253</v>
      </c>
      <c r="M541" s="564" t="s">
        <v>365</v>
      </c>
      <c r="N541" s="52" t="str">
        <f>IF(AND('331-CT'!$E$7=TH!H541,OR(L541="331",M541="331")),"331",IF(AND(OR(L541="131",M541="131"),H541='131-CT'!$E$7),"131",""))</f>
        <v/>
      </c>
      <c r="O541" s="89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09"/>
      <c r="AC541" s="555" t="str">
        <f>IF(VLOOKUP(H541,DS_131,1,0)&lt;&gt;"","","x")</f>
        <v/>
      </c>
      <c r="AD541" s="211"/>
      <c r="AE541" s="211"/>
    </row>
    <row r="542" spans="1:31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61"/>
        <v>10</v>
      </c>
      <c r="C542" s="184">
        <f t="shared" si="162"/>
        <v>41922</v>
      </c>
      <c r="D542" s="184" t="s">
        <v>912</v>
      </c>
      <c r="E542" s="191">
        <v>41922</v>
      </c>
      <c r="F542" s="192" t="s">
        <v>515</v>
      </c>
      <c r="G542" s="463" t="s">
        <v>730</v>
      </c>
      <c r="H542" s="7" t="s">
        <v>908</v>
      </c>
      <c r="I542" s="252">
        <v>1996</v>
      </c>
      <c r="J542" s="252">
        <v>12000</v>
      </c>
      <c r="K542" s="563">
        <f>ROUND(I542*J542,0)</f>
        <v>23952000</v>
      </c>
      <c r="L542" s="564" t="s">
        <v>253</v>
      </c>
      <c r="M542" s="564" t="s">
        <v>177</v>
      </c>
      <c r="N542" s="52" t="str">
        <f>IF(AND('331-CT'!$E$7=TH!H542,OR(L542="331",M542="331")),"331",IF(AND(OR(L542="131",M542="131"),H542='131-CT'!$E$7),"131",""))</f>
        <v/>
      </c>
      <c r="O542" s="89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09"/>
      <c r="AC542" s="211" t="str">
        <f>IF(F542=VLOOKUP(F542,NXT!$C$12:$C$345,1,0),"","x")</f>
        <v/>
      </c>
    </row>
    <row r="543" spans="1:31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61"/>
        <v>10</v>
      </c>
      <c r="C543" s="184">
        <f t="shared" si="162"/>
        <v>41922</v>
      </c>
      <c r="D543" s="184" t="s">
        <v>912</v>
      </c>
      <c r="E543" s="191">
        <v>41922</v>
      </c>
      <c r="F543" s="192" t="s">
        <v>420</v>
      </c>
      <c r="G543" s="463" t="s">
        <v>730</v>
      </c>
      <c r="H543" s="7" t="s">
        <v>908</v>
      </c>
      <c r="I543" s="251"/>
      <c r="J543" s="251"/>
      <c r="K543" s="563">
        <v>2395200</v>
      </c>
      <c r="L543" s="564" t="s">
        <v>253</v>
      </c>
      <c r="M543" s="564" t="s">
        <v>365</v>
      </c>
      <c r="N543" s="52" t="str">
        <f>IF(AND('331-CT'!$E$7=TH!H543,OR(L543="331",M543="331")),"331",IF(AND(OR(L543="131",M543="131"),H543='131-CT'!$E$7),"131",""))</f>
        <v/>
      </c>
      <c r="O543" s="89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09"/>
      <c r="AC543" s="555" t="str">
        <f>IF(VLOOKUP(H543,DS_131,1,0)&lt;&gt;"","","x")</f>
        <v/>
      </c>
    </row>
    <row r="544" spans="1:31" s="555" customFormat="1" ht="15.75" customHeight="1">
      <c r="A544" s="204" t="str">
        <f>IF(B544&lt;&gt;"",IF(AND(B544&gt;=_TM1,B544&lt;=_TM2,OR(TH!L544="1111",TH!M544="1111")),TH!D544,""),"")</f>
        <v/>
      </c>
      <c r="B544" s="36">
        <f t="shared" si="161"/>
        <v>10</v>
      </c>
      <c r="C544" s="184">
        <f t="shared" si="162"/>
        <v>41922</v>
      </c>
      <c r="D544" s="184" t="s">
        <v>913</v>
      </c>
      <c r="E544" s="191">
        <v>41922</v>
      </c>
      <c r="F544" s="192" t="s">
        <v>731</v>
      </c>
      <c r="G544" s="463" t="s">
        <v>732</v>
      </c>
      <c r="H544" s="7" t="s">
        <v>733</v>
      </c>
      <c r="I544" s="251">
        <v>600</v>
      </c>
      <c r="J544" s="251">
        <v>11300</v>
      </c>
      <c r="K544" s="563">
        <f>ROUND(I544*J544,0)</f>
        <v>6780000</v>
      </c>
      <c r="L544" s="564" t="s">
        <v>253</v>
      </c>
      <c r="M544" s="564" t="s">
        <v>177</v>
      </c>
      <c r="N544" s="52" t="str">
        <f>IF(AND('331-CT'!$E$7=TH!H544,OR(L544="331",M544="331")),"331",IF(AND(OR(L544="131",M544="131"),H544='131-CT'!$E$7),"131",""))</f>
        <v/>
      </c>
      <c r="O544" s="89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09"/>
      <c r="AC544" s="211" t="str">
        <f>IF(F544=VLOOKUP(F544,NXT!$C$12:$C$345,1,0),"","x")</f>
        <v/>
      </c>
      <c r="AD544" s="211"/>
      <c r="AE544" s="211"/>
    </row>
    <row r="545" spans="1:31" s="555" customFormat="1" ht="15.75" customHeight="1">
      <c r="A545" s="204" t="str">
        <f>IF(B545&lt;&gt;"",IF(AND(B545&gt;=_TM1,B545&lt;=_TM2,OR(TH!L545="1111",TH!M545="1111")),TH!D545,""),"")</f>
        <v/>
      </c>
      <c r="B545" s="36">
        <f t="shared" si="161"/>
        <v>10</v>
      </c>
      <c r="C545" s="184">
        <f t="shared" si="162"/>
        <v>41922</v>
      </c>
      <c r="D545" s="184" t="s">
        <v>913</v>
      </c>
      <c r="E545" s="191">
        <v>41922</v>
      </c>
      <c r="F545" s="192" t="s">
        <v>420</v>
      </c>
      <c r="G545" s="463" t="s">
        <v>732</v>
      </c>
      <c r="H545" s="7" t="s">
        <v>733</v>
      </c>
      <c r="I545" s="251"/>
      <c r="J545" s="251"/>
      <c r="K545" s="563">
        <v>678000</v>
      </c>
      <c r="L545" s="564" t="s">
        <v>253</v>
      </c>
      <c r="M545" s="564" t="s">
        <v>365</v>
      </c>
      <c r="N545" s="52" t="str">
        <f>IF(AND('331-CT'!$E$7=TH!H545,OR(L545="331",M545="331")),"331",IF(AND(OR(L545="131",M545="131"),H545='131-CT'!$E$7),"131",""))</f>
        <v/>
      </c>
      <c r="O545" s="89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09"/>
      <c r="AC545" s="555" t="str">
        <f>IF(VLOOKUP(H545,DS_131,1,0)&lt;&gt;"","","x")</f>
        <v/>
      </c>
      <c r="AD545" s="211"/>
      <c r="AE545" s="211"/>
    </row>
    <row r="546" spans="1:31" s="555" customFormat="1" ht="15.75" customHeight="1">
      <c r="A546" s="204">
        <f>IF(B546&lt;&gt;"",IF(AND(B546&gt;=_TM1,B546&lt;=_TM2,OR(TH!L546="1111",TH!M546="1111")),TH!D546,""),"")</f>
        <v>0</v>
      </c>
      <c r="B546" s="36">
        <f t="shared" ref="B546" si="178">IF(C546&lt;&gt;"",MONTH(C546),"")</f>
        <v>10</v>
      </c>
      <c r="C546" s="184">
        <f t="shared" ref="C546" si="179">E546</f>
        <v>41922</v>
      </c>
      <c r="D546" s="184"/>
      <c r="E546" s="191">
        <v>41922</v>
      </c>
      <c r="F546" s="192" t="s">
        <v>894</v>
      </c>
      <c r="G546" s="463" t="s">
        <v>732</v>
      </c>
      <c r="H546" s="7" t="s">
        <v>733</v>
      </c>
      <c r="I546" s="251"/>
      <c r="J546" s="251"/>
      <c r="K546" s="563">
        <v>7458000</v>
      </c>
      <c r="L546" s="564" t="s">
        <v>47</v>
      </c>
      <c r="M546" s="564" t="s">
        <v>253</v>
      </c>
      <c r="N546" s="52" t="str">
        <f>IF(AND('331-CT'!$E$7=TH!H546,OR(L546="331",M546="331")),"331",IF(AND(OR(L546="131",M546="131"),H546='131-CT'!$E$7),"131",""))</f>
        <v/>
      </c>
      <c r="O546" s="89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09"/>
      <c r="AC546" s="555" t="str">
        <f>IF(VLOOKUP(H546,DS_131,1,0)&lt;&gt;"","","x")</f>
        <v/>
      </c>
      <c r="AD546" s="211"/>
      <c r="AE546" s="211"/>
    </row>
    <row r="547" spans="1:31" s="555" customFormat="1" ht="15.75" customHeight="1">
      <c r="A547" s="204" t="str">
        <f>IF(B547&lt;&gt;"",IF(AND(B547&gt;=_TM1,B547&lt;=_TM2,OR(TH!L547="1111",TH!M547="1111")),TH!D547,""),"")</f>
        <v/>
      </c>
      <c r="B547" s="36">
        <f t="shared" si="161"/>
        <v>10</v>
      </c>
      <c r="C547" s="184">
        <f t="shared" si="162"/>
        <v>41922</v>
      </c>
      <c r="D547" s="184" t="s">
        <v>914</v>
      </c>
      <c r="E547" s="191">
        <v>41922</v>
      </c>
      <c r="F547" s="192" t="s">
        <v>662</v>
      </c>
      <c r="G547" s="463" t="s">
        <v>734</v>
      </c>
      <c r="H547" s="7" t="s">
        <v>602</v>
      </c>
      <c r="I547" s="251">
        <v>1932</v>
      </c>
      <c r="J547" s="251">
        <v>10050</v>
      </c>
      <c r="K547" s="563">
        <f t="shared" ref="K547:K554" si="180">ROUND(I547*J547,0)</f>
        <v>19416600</v>
      </c>
      <c r="L547" s="564" t="s">
        <v>253</v>
      </c>
      <c r="M547" s="564" t="s">
        <v>177</v>
      </c>
      <c r="N547" s="52" t="str">
        <f>IF(AND('331-CT'!$E$7=TH!H547,OR(L547="331",M547="331")),"331",IF(AND(OR(L547="131",M547="131"),H547='131-CT'!$E$7),"131",""))</f>
        <v/>
      </c>
      <c r="O547" s="89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09"/>
      <c r="AC547" s="211" t="str">
        <f>IF(F547=VLOOKUP(F547,NXT!$C$12:$C$345,1,0),"","x")</f>
        <v/>
      </c>
      <c r="AD547" s="211"/>
      <c r="AE547" s="211"/>
    </row>
    <row r="548" spans="1:31" s="555" customFormat="1" ht="15.75" customHeight="1">
      <c r="A548" s="204" t="str">
        <f>IF(B548&lt;&gt;"",IF(AND(B548&gt;=_TM1,B548&lt;=_TM2,OR(TH!L548="1111",TH!M548="1111")),TH!D548,""),"")</f>
        <v/>
      </c>
      <c r="B548" s="36">
        <f t="shared" si="161"/>
        <v>10</v>
      </c>
      <c r="C548" s="184">
        <f t="shared" si="162"/>
        <v>41922</v>
      </c>
      <c r="D548" s="184" t="s">
        <v>914</v>
      </c>
      <c r="E548" s="191">
        <v>41922</v>
      </c>
      <c r="F548" s="192" t="s">
        <v>662</v>
      </c>
      <c r="G548" s="463" t="s">
        <v>734</v>
      </c>
      <c r="H548" s="7" t="s">
        <v>602</v>
      </c>
      <c r="I548" s="251">
        <v>593</v>
      </c>
      <c r="J548" s="251">
        <v>10050</v>
      </c>
      <c r="K548" s="563">
        <f t="shared" si="180"/>
        <v>5959650</v>
      </c>
      <c r="L548" s="564" t="s">
        <v>253</v>
      </c>
      <c r="M548" s="564" t="s">
        <v>177</v>
      </c>
      <c r="N548" s="52" t="str">
        <f>IF(AND('331-CT'!$E$7=TH!H548,OR(L548="331",M548="331")),"331",IF(AND(OR(L548="131",M548="131"),H548='131-CT'!$E$7),"131",""))</f>
        <v/>
      </c>
      <c r="O548" s="89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09"/>
      <c r="AC548" s="211" t="str">
        <f>IF(F548=VLOOKUP(F548,NXT!$C$12:$C$345,1,0),"","x")</f>
        <v/>
      </c>
      <c r="AD548" s="211"/>
      <c r="AE548" s="211"/>
    </row>
    <row r="549" spans="1:31" s="555" customFormat="1" ht="15.75" customHeight="1">
      <c r="A549" s="204" t="str">
        <f>IF(B549&lt;&gt;"",IF(AND(B549&gt;=_TM1,B549&lt;=_TM2,OR(TH!L549="1111",TH!M549="1111")),TH!D549,""),"")</f>
        <v/>
      </c>
      <c r="B549" s="36">
        <f t="shared" si="161"/>
        <v>10</v>
      </c>
      <c r="C549" s="184">
        <f t="shared" si="162"/>
        <v>41922</v>
      </c>
      <c r="D549" s="184" t="s">
        <v>914</v>
      </c>
      <c r="E549" s="191">
        <v>41922</v>
      </c>
      <c r="F549" s="192" t="s">
        <v>735</v>
      </c>
      <c r="G549" s="463" t="s">
        <v>734</v>
      </c>
      <c r="H549" s="7" t="s">
        <v>602</v>
      </c>
      <c r="I549" s="251">
        <v>314</v>
      </c>
      <c r="J549" s="251">
        <v>9450</v>
      </c>
      <c r="K549" s="563">
        <f t="shared" si="180"/>
        <v>2967300</v>
      </c>
      <c r="L549" s="564" t="s">
        <v>253</v>
      </c>
      <c r="M549" s="564" t="s">
        <v>177</v>
      </c>
      <c r="N549" s="52" t="str">
        <f>IF(AND('331-CT'!$E$7=TH!H549,OR(L549="331",M549="331")),"331",IF(AND(OR(L549="131",M549="131"),H549='131-CT'!$E$7),"131",""))</f>
        <v/>
      </c>
      <c r="O549" s="89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09"/>
      <c r="AC549" s="211" t="str">
        <f>IF(F549=VLOOKUP(F549,NXT!$C$12:$C$345,1,0),"","x")</f>
        <v/>
      </c>
      <c r="AD549" s="211"/>
      <c r="AE549" s="211"/>
    </row>
    <row r="550" spans="1:31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61"/>
        <v>10</v>
      </c>
      <c r="C550" s="184">
        <f t="shared" si="162"/>
        <v>41922</v>
      </c>
      <c r="D550" s="184" t="s">
        <v>914</v>
      </c>
      <c r="E550" s="191">
        <v>41922</v>
      </c>
      <c r="F550" s="192" t="s">
        <v>662</v>
      </c>
      <c r="G550" s="463" t="s">
        <v>734</v>
      </c>
      <c r="H550" s="7" t="s">
        <v>602</v>
      </c>
      <c r="I550" s="251">
        <v>173</v>
      </c>
      <c r="J550" s="251">
        <v>10050</v>
      </c>
      <c r="K550" s="563">
        <f t="shared" si="180"/>
        <v>1738650</v>
      </c>
      <c r="L550" s="564" t="s">
        <v>253</v>
      </c>
      <c r="M550" s="564" t="s">
        <v>177</v>
      </c>
      <c r="N550" s="52" t="str">
        <f>IF(AND('331-CT'!$E$7=TH!H550,OR(L550="331",M550="331")),"331",IF(AND(OR(L550="131",M550="131"),H550='131-CT'!$E$7),"131",""))</f>
        <v/>
      </c>
      <c r="O550" s="89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09"/>
      <c r="AC550" s="211" t="str">
        <f>IF(F550=VLOOKUP(F550,NXT!$C$12:$C$345,1,0),"","x")</f>
        <v/>
      </c>
    </row>
    <row r="551" spans="1:31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61"/>
        <v>10</v>
      </c>
      <c r="C551" s="184">
        <f t="shared" si="162"/>
        <v>41922</v>
      </c>
      <c r="D551" s="184" t="s">
        <v>914</v>
      </c>
      <c r="E551" s="191">
        <v>41922</v>
      </c>
      <c r="F551" s="192" t="s">
        <v>662</v>
      </c>
      <c r="G551" s="463" t="s">
        <v>734</v>
      </c>
      <c r="H551" s="7" t="s">
        <v>602</v>
      </c>
      <c r="I551" s="251">
        <v>287</v>
      </c>
      <c r="J551" s="251">
        <v>10050</v>
      </c>
      <c r="K551" s="563">
        <f t="shared" si="180"/>
        <v>2884350</v>
      </c>
      <c r="L551" s="564" t="s">
        <v>253</v>
      </c>
      <c r="M551" s="564" t="s">
        <v>177</v>
      </c>
      <c r="N551" s="52" t="str">
        <f>IF(AND('331-CT'!$E$7=TH!H551,OR(L551="331",M551="331")),"331",IF(AND(OR(L551="131",M551="131"),H551='131-CT'!$E$7),"131",""))</f>
        <v/>
      </c>
      <c r="O551" s="89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09"/>
      <c r="AC551" s="211" t="str">
        <f>IF(F551=VLOOKUP(F551,NXT!$C$12:$C$345,1,0),"","x")</f>
        <v/>
      </c>
    </row>
    <row r="552" spans="1:31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61"/>
        <v>10</v>
      </c>
      <c r="C552" s="184">
        <f t="shared" si="162"/>
        <v>41922</v>
      </c>
      <c r="D552" s="184" t="s">
        <v>914</v>
      </c>
      <c r="E552" s="191">
        <v>41922</v>
      </c>
      <c r="F552" s="192" t="s">
        <v>735</v>
      </c>
      <c r="G552" s="463" t="s">
        <v>734</v>
      </c>
      <c r="H552" s="7" t="s">
        <v>602</v>
      </c>
      <c r="I552" s="251">
        <v>454</v>
      </c>
      <c r="J552" s="251">
        <v>9450</v>
      </c>
      <c r="K552" s="563">
        <f t="shared" si="180"/>
        <v>4290300</v>
      </c>
      <c r="L552" s="564" t="s">
        <v>253</v>
      </c>
      <c r="M552" s="564" t="s">
        <v>177</v>
      </c>
      <c r="N552" s="52" t="str">
        <f>IF(AND('331-CT'!$E$7=TH!H552,OR(L552="331",M552="331")),"331",IF(AND(OR(L552="131",M552="131"),H552='131-CT'!$E$7),"131",""))</f>
        <v/>
      </c>
      <c r="O552" s="89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09"/>
      <c r="AC552" s="211" t="str">
        <f>IF(F552=VLOOKUP(F552,NXT!$C$12:$C$345,1,0),"","x")</f>
        <v/>
      </c>
    </row>
    <row r="553" spans="1:31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61"/>
        <v>10</v>
      </c>
      <c r="C553" s="184">
        <f t="shared" si="162"/>
        <v>41922</v>
      </c>
      <c r="D553" s="184" t="s">
        <v>914</v>
      </c>
      <c r="E553" s="191">
        <v>41922</v>
      </c>
      <c r="F553" s="192" t="s">
        <v>735</v>
      </c>
      <c r="G553" s="463" t="s">
        <v>734</v>
      </c>
      <c r="H553" s="7" t="s">
        <v>602</v>
      </c>
      <c r="I553" s="251">
        <v>160</v>
      </c>
      <c r="J553" s="251">
        <v>9450</v>
      </c>
      <c r="K553" s="563">
        <f t="shared" si="180"/>
        <v>1512000</v>
      </c>
      <c r="L553" s="564" t="s">
        <v>253</v>
      </c>
      <c r="M553" s="564" t="s">
        <v>177</v>
      </c>
      <c r="N553" s="52" t="str">
        <f>IF(AND('331-CT'!$E$7=TH!H553,OR(L553="331",M553="331")),"331",IF(AND(OR(L553="131",M553="131"),H553='131-CT'!$E$7),"131",""))</f>
        <v/>
      </c>
      <c r="O553" s="89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09"/>
      <c r="AC553" s="211" t="str">
        <f>IF(F553=VLOOKUP(F553,NXT!$C$12:$C$345,1,0),"","x")</f>
        <v/>
      </c>
    </row>
    <row r="554" spans="1:31" s="555" customFormat="1" ht="15.75" customHeight="1">
      <c r="A554" s="204" t="str">
        <f>IF(B554&lt;&gt;"",IF(AND(B554&gt;=_TM1,B554&lt;=_TM2,OR(TH!L554="1111",TH!M554="1111")),TH!D554,""),"")</f>
        <v/>
      </c>
      <c r="B554" s="36">
        <f t="shared" si="161"/>
        <v>10</v>
      </c>
      <c r="C554" s="184">
        <f t="shared" si="162"/>
        <v>41922</v>
      </c>
      <c r="D554" s="184" t="s">
        <v>914</v>
      </c>
      <c r="E554" s="191">
        <v>41922</v>
      </c>
      <c r="F554" s="192" t="s">
        <v>623</v>
      </c>
      <c r="G554" s="463" t="s">
        <v>734</v>
      </c>
      <c r="H554" s="7" t="s">
        <v>602</v>
      </c>
      <c r="I554" s="251">
        <v>4800</v>
      </c>
      <c r="J554" s="251">
        <v>400</v>
      </c>
      <c r="K554" s="563">
        <f t="shared" si="180"/>
        <v>1920000</v>
      </c>
      <c r="L554" s="564" t="s">
        <v>253</v>
      </c>
      <c r="M554" s="564" t="s">
        <v>177</v>
      </c>
      <c r="N554" s="52" t="str">
        <f>IF(AND('331-CT'!$E$7=TH!H554,OR(L554="331",M554="331")),"331",IF(AND(OR(L554="131",M554="131"),H554='131-CT'!$E$7),"131",""))</f>
        <v/>
      </c>
      <c r="O554" s="89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09"/>
      <c r="AC554" s="211" t="str">
        <f>IF(F554=VLOOKUP(F554,NXT!$C$12:$C$345,1,0),"","x")</f>
        <v/>
      </c>
      <c r="AD554" s="211"/>
      <c r="AE554" s="211"/>
    </row>
    <row r="555" spans="1:31" s="555" customFormat="1" ht="15.75" customHeight="1">
      <c r="A555" s="204" t="str">
        <f>IF(B555&lt;&gt;"",IF(AND(B555&gt;=_TM1,B555&lt;=_TM2,OR(TH!L555="1111",TH!M555="1111")),TH!D555,""),"")</f>
        <v/>
      </c>
      <c r="B555" s="36">
        <f t="shared" si="161"/>
        <v>10</v>
      </c>
      <c r="C555" s="184">
        <f t="shared" si="162"/>
        <v>41922</v>
      </c>
      <c r="D555" s="184" t="s">
        <v>914</v>
      </c>
      <c r="E555" s="191">
        <v>41922</v>
      </c>
      <c r="F555" s="192" t="s">
        <v>420</v>
      </c>
      <c r="G555" s="463" t="s">
        <v>734</v>
      </c>
      <c r="H555" s="7" t="s">
        <v>602</v>
      </c>
      <c r="I555" s="251"/>
      <c r="J555" s="251"/>
      <c r="K555" s="563">
        <v>4068885</v>
      </c>
      <c r="L555" s="564" t="s">
        <v>253</v>
      </c>
      <c r="M555" s="564" t="s">
        <v>365</v>
      </c>
      <c r="N555" s="52" t="str">
        <f>IF(AND('331-CT'!$E$7=TH!H555,OR(L555="331",M555="331")),"331",IF(AND(OR(L555="131",M555="131"),H555='131-CT'!$E$7),"131",""))</f>
        <v/>
      </c>
      <c r="O555" s="89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09"/>
      <c r="AC555" s="555" t="str">
        <f>IF(VLOOKUP(H555,DS_131,1,0)&lt;&gt;"","","x")</f>
        <v/>
      </c>
      <c r="AD555" s="211"/>
      <c r="AE555" s="211"/>
    </row>
    <row r="556" spans="1:31" s="555" customFormat="1" ht="15.75" customHeight="1">
      <c r="A556" s="204" t="str">
        <f>IF(B556&lt;&gt;"",IF(AND(B556&gt;=_TM1,B556&lt;=_TM2,OR(TH!L556="1111",TH!M556="1111")),TH!D556,""),"")</f>
        <v/>
      </c>
      <c r="B556" s="36">
        <f t="shared" si="161"/>
        <v>10</v>
      </c>
      <c r="C556" s="184">
        <f t="shared" si="162"/>
        <v>41926</v>
      </c>
      <c r="D556" s="184" t="s">
        <v>915</v>
      </c>
      <c r="E556" s="191">
        <v>41926</v>
      </c>
      <c r="F556" s="192" t="s">
        <v>706</v>
      </c>
      <c r="G556" s="463" t="s">
        <v>736</v>
      </c>
      <c r="H556" s="7" t="s">
        <v>582</v>
      </c>
      <c r="I556" s="251">
        <v>1635</v>
      </c>
      <c r="J556" s="251">
        <v>7000</v>
      </c>
      <c r="K556" s="563">
        <f>ROUND(I556*J556,0)</f>
        <v>11445000</v>
      </c>
      <c r="L556" s="564" t="s">
        <v>253</v>
      </c>
      <c r="M556" s="564" t="s">
        <v>177</v>
      </c>
      <c r="N556" s="52" t="str">
        <f>IF(AND('331-CT'!$E$7=TH!H556,OR(L556="331",M556="331")),"331",IF(AND(OR(L556="131",M556="131"),H556='131-CT'!$E$7),"131",""))</f>
        <v/>
      </c>
      <c r="O556" s="89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09"/>
      <c r="AC556" s="211" t="str">
        <f>IF(F556=VLOOKUP(F556,NXT!$C$12:$C$345,1,0),"","x")</f>
        <v/>
      </c>
      <c r="AD556" s="211"/>
      <c r="AE556" s="211"/>
    </row>
    <row r="557" spans="1:31" s="555" customFormat="1" ht="15.75" customHeight="1">
      <c r="A557" s="204" t="str">
        <f>IF(B557&lt;&gt;"",IF(AND(B557&gt;=_TM1,B557&lt;=_TM2,OR(TH!L557="1111",TH!M557="1111")),TH!D557,""),"")</f>
        <v/>
      </c>
      <c r="B557" s="36">
        <f t="shared" si="161"/>
        <v>10</v>
      </c>
      <c r="C557" s="184">
        <f t="shared" si="162"/>
        <v>41926</v>
      </c>
      <c r="D557" s="184" t="s">
        <v>915</v>
      </c>
      <c r="E557" s="191">
        <v>41926</v>
      </c>
      <c r="F557" s="192" t="s">
        <v>420</v>
      </c>
      <c r="G557" s="463" t="s">
        <v>736</v>
      </c>
      <c r="H557" s="7" t="s">
        <v>582</v>
      </c>
      <c r="I557" s="251"/>
      <c r="J557" s="251"/>
      <c r="K557" s="563">
        <v>1144500</v>
      </c>
      <c r="L557" s="564" t="s">
        <v>253</v>
      </c>
      <c r="M557" s="564" t="s">
        <v>365</v>
      </c>
      <c r="N557" s="52" t="str">
        <f>IF(AND('331-CT'!$E$7=TH!H557,OR(L557="331",M557="331")),"331",IF(AND(OR(L557="131",M557="131"),H557='131-CT'!$E$7),"131",""))</f>
        <v/>
      </c>
      <c r="O557" s="89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09"/>
      <c r="AC557" s="555" t="str">
        <f>IF(VLOOKUP(H557,DS_131,1,0)&lt;&gt;"","","x")</f>
        <v/>
      </c>
      <c r="AD557" s="211"/>
      <c r="AE557" s="211"/>
    </row>
    <row r="558" spans="1:31" s="555" customFormat="1" ht="15.75" customHeight="1">
      <c r="A558" s="204" t="str">
        <f>IF(B558&lt;&gt;"",IF(AND(B558&gt;=_TM1,B558&lt;=_TM2,OR(TH!L558="1111",TH!M558="1111")),TH!D558,""),"")</f>
        <v/>
      </c>
      <c r="B558" s="36">
        <f t="shared" si="161"/>
        <v>10</v>
      </c>
      <c r="C558" s="184">
        <f t="shared" si="162"/>
        <v>41926</v>
      </c>
      <c r="D558" s="184" t="s">
        <v>916</v>
      </c>
      <c r="E558" s="191">
        <v>41926</v>
      </c>
      <c r="F558" s="192" t="s">
        <v>494</v>
      </c>
      <c r="G558" s="463" t="s">
        <v>737</v>
      </c>
      <c r="H558" s="7" t="s">
        <v>907</v>
      </c>
      <c r="I558" s="251">
        <v>197</v>
      </c>
      <c r="J558" s="251">
        <v>8600</v>
      </c>
      <c r="K558" s="563">
        <f>ROUND(I558*J558,0)</f>
        <v>1694200</v>
      </c>
      <c r="L558" s="564" t="s">
        <v>253</v>
      </c>
      <c r="M558" s="564" t="s">
        <v>177</v>
      </c>
      <c r="N558" s="52" t="str">
        <f>IF(AND('331-CT'!$E$7=TH!H558,OR(L558="331",M558="331")),"331",IF(AND(OR(L558="131",M558="131"),H558='131-CT'!$E$7),"131",""))</f>
        <v/>
      </c>
      <c r="O558" s="89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09"/>
      <c r="AC558" s="211" t="str">
        <f>IF(F558=VLOOKUP(F558,NXT!$C$12:$C$345,1,0),"","x")</f>
        <v/>
      </c>
      <c r="AD558" s="211"/>
      <c r="AE558" s="211"/>
    </row>
    <row r="559" spans="1:31" s="555" customFormat="1" ht="15.75" customHeight="1">
      <c r="A559" s="204" t="str">
        <f>IF(B559&lt;&gt;"",IF(AND(B559&gt;=_TM1,B559&lt;=_TM2,OR(TH!L559="1111",TH!M559="1111")),TH!D559,""),"")</f>
        <v/>
      </c>
      <c r="B559" s="36">
        <f t="shared" si="161"/>
        <v>10</v>
      </c>
      <c r="C559" s="184">
        <f t="shared" si="162"/>
        <v>41926</v>
      </c>
      <c r="D559" s="184" t="s">
        <v>916</v>
      </c>
      <c r="E559" s="191">
        <v>41926</v>
      </c>
      <c r="F559" s="192" t="s">
        <v>512</v>
      </c>
      <c r="G559" s="463" t="s">
        <v>737</v>
      </c>
      <c r="H559" s="7" t="s">
        <v>907</v>
      </c>
      <c r="I559" s="251">
        <v>300</v>
      </c>
      <c r="J559" s="251">
        <v>7000</v>
      </c>
      <c r="K559" s="563">
        <f>ROUND(I559*J559,0)</f>
        <v>2100000</v>
      </c>
      <c r="L559" s="564" t="s">
        <v>253</v>
      </c>
      <c r="M559" s="564" t="s">
        <v>177</v>
      </c>
      <c r="N559" s="52" t="str">
        <f>IF(AND('331-CT'!$E$7=TH!H559,OR(L559="331",M559="331")),"331",IF(AND(OR(L559="131",M559="131"),H559='131-CT'!$E$7),"131",""))</f>
        <v/>
      </c>
      <c r="O559" s="89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09"/>
      <c r="AC559" s="211" t="str">
        <f>IF(F559=VLOOKUP(F559,NXT!$C$12:$C$345,1,0),"","x")</f>
        <v/>
      </c>
      <c r="AD559" s="211"/>
      <c r="AE559" s="211"/>
    </row>
    <row r="560" spans="1:31" s="555" customFormat="1" ht="15.75" customHeight="1">
      <c r="A560" s="204" t="str">
        <f>IF(B560&lt;&gt;"",IF(AND(B560&gt;=_TM1,B560&lt;=_TM2,OR(TH!L560="1111",TH!M560="1111")),TH!D560,""),"")</f>
        <v/>
      </c>
      <c r="B560" s="36">
        <f t="shared" si="161"/>
        <v>10</v>
      </c>
      <c r="C560" s="184">
        <f t="shared" si="162"/>
        <v>41926</v>
      </c>
      <c r="D560" s="184" t="s">
        <v>916</v>
      </c>
      <c r="E560" s="191">
        <v>41926</v>
      </c>
      <c r="F560" s="192" t="s">
        <v>738</v>
      </c>
      <c r="G560" s="463" t="s">
        <v>737</v>
      </c>
      <c r="H560" s="7" t="s">
        <v>907</v>
      </c>
      <c r="I560" s="251">
        <v>42</v>
      </c>
      <c r="J560" s="251">
        <v>7400</v>
      </c>
      <c r="K560" s="563">
        <f>ROUND(I560*J560,0)</f>
        <v>310800</v>
      </c>
      <c r="L560" s="564" t="s">
        <v>253</v>
      </c>
      <c r="M560" s="564" t="s">
        <v>177</v>
      </c>
      <c r="N560" s="52" t="str">
        <f>IF(AND('331-CT'!$E$7=TH!H560,OR(L560="331",M560="331")),"331",IF(AND(OR(L560="131",M560="131"),H560='131-CT'!$E$7),"131",""))</f>
        <v/>
      </c>
      <c r="O560" s="89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09"/>
      <c r="AC560" s="211" t="str">
        <f>IF(F560=VLOOKUP(F560,NXT!$C$12:$C$345,1,0),"","x")</f>
        <v/>
      </c>
      <c r="AD560" s="211"/>
      <c r="AE560" s="211"/>
    </row>
    <row r="561" spans="1:31" s="555" customFormat="1" ht="15.75" customHeight="1">
      <c r="A561" s="204" t="str">
        <f>IF(B561&lt;&gt;"",IF(AND(B561&gt;=_TM1,B561&lt;=_TM2,OR(TH!L561="1111",TH!M561="1111")),TH!D561,""),"")</f>
        <v/>
      </c>
      <c r="B561" s="36">
        <f t="shared" si="161"/>
        <v>10</v>
      </c>
      <c r="C561" s="184">
        <f t="shared" si="162"/>
        <v>41926</v>
      </c>
      <c r="D561" s="184" t="s">
        <v>916</v>
      </c>
      <c r="E561" s="191">
        <v>41926</v>
      </c>
      <c r="F561" s="192" t="s">
        <v>486</v>
      </c>
      <c r="G561" s="463" t="s">
        <v>737</v>
      </c>
      <c r="H561" s="7" t="s">
        <v>907</v>
      </c>
      <c r="I561" s="251">
        <v>297</v>
      </c>
      <c r="J561" s="251">
        <v>9300</v>
      </c>
      <c r="K561" s="563">
        <f>ROUND(I561*J561,0)</f>
        <v>2762100</v>
      </c>
      <c r="L561" s="564" t="s">
        <v>253</v>
      </c>
      <c r="M561" s="564" t="s">
        <v>177</v>
      </c>
      <c r="N561" s="52" t="str">
        <f>IF(AND('331-CT'!$E$7=TH!H561,OR(L561="331",M561="331")),"331",IF(AND(OR(L561="131",M561="131"),H561='131-CT'!$E$7),"131",""))</f>
        <v/>
      </c>
      <c r="O561" s="89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09"/>
      <c r="AC561" s="211" t="str">
        <f>IF(F561=VLOOKUP(F561,NXT!$C$12:$C$345,1,0),"","x")</f>
        <v/>
      </c>
      <c r="AD561" s="211"/>
      <c r="AE561" s="211"/>
    </row>
    <row r="562" spans="1:31" s="555" customFormat="1" ht="15.75" customHeight="1">
      <c r="A562" s="204" t="str">
        <f>IF(B562&lt;&gt;"",IF(AND(B562&gt;=_TM1,B562&lt;=_TM2,OR(TH!L562="1111",TH!M562="1111")),TH!D562,""),"")</f>
        <v/>
      </c>
      <c r="B562" s="36">
        <f t="shared" si="161"/>
        <v>10</v>
      </c>
      <c r="C562" s="184">
        <f t="shared" si="162"/>
        <v>41926</v>
      </c>
      <c r="D562" s="184" t="s">
        <v>916</v>
      </c>
      <c r="E562" s="191">
        <v>41926</v>
      </c>
      <c r="F562" s="192" t="s">
        <v>420</v>
      </c>
      <c r="G562" s="463" t="s">
        <v>737</v>
      </c>
      <c r="H562" s="7" t="s">
        <v>907</v>
      </c>
      <c r="I562" s="251"/>
      <c r="J562" s="251"/>
      <c r="K562" s="563">
        <v>686710</v>
      </c>
      <c r="L562" s="564" t="s">
        <v>253</v>
      </c>
      <c r="M562" s="564" t="s">
        <v>365</v>
      </c>
      <c r="N562" s="52" t="str">
        <f>IF(AND('331-CT'!$E$7=TH!H562,OR(L562="331",M562="331")),"331",IF(AND(OR(L562="131",M562="131"),H562='131-CT'!$E$7),"131",""))</f>
        <v/>
      </c>
      <c r="O562" s="89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09"/>
      <c r="AC562" s="555" t="str">
        <f>IF(VLOOKUP(H562,DS_131,1,0)&lt;&gt;"","","x")</f>
        <v/>
      </c>
      <c r="AD562" s="211"/>
      <c r="AE562" s="211"/>
    </row>
    <row r="563" spans="1:31" s="555" customFormat="1" ht="15.75" customHeight="1">
      <c r="A563" s="204" t="str">
        <f>IF(B563&lt;&gt;"",IF(AND(B563&gt;=_TM1,B563&lt;=_TM2,OR(TH!L563="1111",TH!M563="1111")),TH!D563,""),"")</f>
        <v/>
      </c>
      <c r="B563" s="36">
        <f t="shared" ref="B563:B634" si="181">IF(C563&lt;&gt;"",MONTH(C563),"")</f>
        <v>10</v>
      </c>
      <c r="C563" s="184">
        <f t="shared" ref="C563:C634" si="182">E563</f>
        <v>41926</v>
      </c>
      <c r="D563" s="184" t="s">
        <v>917</v>
      </c>
      <c r="E563" s="191">
        <v>41926</v>
      </c>
      <c r="F563" s="192" t="s">
        <v>739</v>
      </c>
      <c r="G563" s="463" t="s">
        <v>740</v>
      </c>
      <c r="H563" s="7" t="s">
        <v>602</v>
      </c>
      <c r="I563" s="251">
        <v>135</v>
      </c>
      <c r="J563" s="251">
        <v>13000</v>
      </c>
      <c r="K563" s="563">
        <f>ROUND(I563*J563,0)</f>
        <v>1755000</v>
      </c>
      <c r="L563" s="564" t="s">
        <v>253</v>
      </c>
      <c r="M563" s="564" t="s">
        <v>177</v>
      </c>
      <c r="N563" s="52" t="str">
        <f>IF(AND('331-CT'!$E$7=TH!H563,OR(L563="331",M563="331")),"331",IF(AND(OR(L563="131",M563="131"),H563='131-CT'!$E$7),"131",""))</f>
        <v/>
      </c>
      <c r="O563" s="89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09"/>
      <c r="AC563" s="211" t="str">
        <f>IF(F563=VLOOKUP(F563,NXT!$C$12:$C$345,1,0),"","x")</f>
        <v/>
      </c>
      <c r="AD563" s="211"/>
      <c r="AE563" s="211"/>
    </row>
    <row r="564" spans="1:31" s="555" customFormat="1" ht="15.75" customHeight="1">
      <c r="A564" s="204" t="str">
        <f>IF(B564&lt;&gt;"",IF(AND(B564&gt;=_TM1,B564&lt;=_TM2,OR(TH!L564="1111",TH!M564="1111")),TH!D564,""),"")</f>
        <v/>
      </c>
      <c r="B564" s="36">
        <f t="shared" si="181"/>
        <v>10</v>
      </c>
      <c r="C564" s="184">
        <f t="shared" si="182"/>
        <v>41926</v>
      </c>
      <c r="D564" s="184" t="s">
        <v>917</v>
      </c>
      <c r="E564" s="191">
        <v>41926</v>
      </c>
      <c r="F564" s="192" t="s">
        <v>739</v>
      </c>
      <c r="G564" s="463" t="s">
        <v>740</v>
      </c>
      <c r="H564" s="7" t="s">
        <v>602</v>
      </c>
      <c r="I564" s="251">
        <v>280</v>
      </c>
      <c r="J564" s="251">
        <v>13500</v>
      </c>
      <c r="K564" s="563">
        <f>ROUND(I564*J564,0)</f>
        <v>3780000</v>
      </c>
      <c r="L564" s="564" t="s">
        <v>253</v>
      </c>
      <c r="M564" s="564" t="s">
        <v>177</v>
      </c>
      <c r="N564" s="52" t="str">
        <f>IF(AND('331-CT'!$E$7=TH!H564,OR(L564="331",M564="331")),"331",IF(AND(OR(L564="131",M564="131"),H564='131-CT'!$E$7),"131",""))</f>
        <v/>
      </c>
      <c r="O564" s="89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09"/>
      <c r="AC564" s="211" t="str">
        <f>IF(F564=VLOOKUP(F564,NXT!$C$12:$C$345,1,0),"","x")</f>
        <v/>
      </c>
      <c r="AD564" s="211"/>
      <c r="AE564" s="211"/>
    </row>
    <row r="565" spans="1:31" s="555" customFormat="1" ht="15.75" customHeight="1">
      <c r="A565" s="204" t="str">
        <f>IF(B565&lt;&gt;"",IF(AND(B565&gt;=_TM1,B565&lt;=_TM2,OR(TH!L565="1111",TH!M565="1111")),TH!D565,""),"")</f>
        <v/>
      </c>
      <c r="B565" s="36">
        <f t="shared" si="181"/>
        <v>10</v>
      </c>
      <c r="C565" s="184">
        <f t="shared" si="182"/>
        <v>41926</v>
      </c>
      <c r="D565" s="184" t="s">
        <v>917</v>
      </c>
      <c r="E565" s="191">
        <v>41926</v>
      </c>
      <c r="F565" s="192" t="s">
        <v>420</v>
      </c>
      <c r="G565" s="463" t="s">
        <v>740</v>
      </c>
      <c r="H565" s="7" t="s">
        <v>602</v>
      </c>
      <c r="I565" s="251"/>
      <c r="J565" s="251"/>
      <c r="K565" s="563">
        <v>553500</v>
      </c>
      <c r="L565" s="564" t="s">
        <v>253</v>
      </c>
      <c r="M565" s="564" t="s">
        <v>365</v>
      </c>
      <c r="N565" s="52" t="str">
        <f>IF(AND('331-CT'!$E$7=TH!H565,OR(L565="331",M565="331")),"331",IF(AND(OR(L565="131",M565="131"),H565='131-CT'!$E$7),"131",""))</f>
        <v/>
      </c>
      <c r="O565" s="89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09"/>
      <c r="AC565" s="555" t="str">
        <f>IF(VLOOKUP(H565,DS_131,1,0)&lt;&gt;"","","x")</f>
        <v/>
      </c>
      <c r="AD565" s="211"/>
      <c r="AE565" s="211"/>
    </row>
    <row r="566" spans="1:31" s="555" customFormat="1" ht="15.75" customHeight="1">
      <c r="A566" s="204" t="str">
        <f>IF(B566&lt;&gt;"",IF(AND(B566&gt;=_TM1,B566&lt;=_TM2,OR(TH!L566="1111",TH!M566="1111")),TH!D566,""),"")</f>
        <v/>
      </c>
      <c r="B566" s="36">
        <f t="shared" si="181"/>
        <v>10</v>
      </c>
      <c r="C566" s="184">
        <f t="shared" si="182"/>
        <v>41928</v>
      </c>
      <c r="D566" s="184" t="s">
        <v>918</v>
      </c>
      <c r="E566" s="191">
        <v>41928</v>
      </c>
      <c r="F566" s="192" t="s">
        <v>741</v>
      </c>
      <c r="G566" s="463" t="s">
        <v>742</v>
      </c>
      <c r="H566" s="7" t="s">
        <v>419</v>
      </c>
      <c r="I566" s="251">
        <v>2960</v>
      </c>
      <c r="J566" s="251">
        <v>5800</v>
      </c>
      <c r="K566" s="563">
        <f>ROUND(I566*J566,0)</f>
        <v>17168000</v>
      </c>
      <c r="L566" s="564" t="s">
        <v>253</v>
      </c>
      <c r="M566" s="564" t="s">
        <v>177</v>
      </c>
      <c r="N566" s="52" t="str">
        <f>IF(AND('331-CT'!$E$7=TH!H566,OR(L566="331",M566="331")),"331",IF(AND(OR(L566="131",M566="131"),H566='131-CT'!$E$7),"131",""))</f>
        <v/>
      </c>
      <c r="O566" s="89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09"/>
      <c r="AC566" s="211" t="str">
        <f>IF(F566=VLOOKUP(F566,NXT!$C$12:$C$345,1,0),"","x")</f>
        <v/>
      </c>
      <c r="AD566" s="211"/>
      <c r="AE566" s="211"/>
    </row>
    <row r="567" spans="1:31" s="555" customFormat="1" ht="15.75" customHeight="1">
      <c r="A567" s="204" t="str">
        <f>IF(B567&lt;&gt;"",IF(AND(B567&gt;=_TM1,B567&lt;=_TM2,OR(TH!L567="1111",TH!M567="1111")),TH!D567,""),"")</f>
        <v/>
      </c>
      <c r="B567" s="36">
        <f t="shared" si="181"/>
        <v>10</v>
      </c>
      <c r="C567" s="184">
        <f t="shared" si="182"/>
        <v>41928</v>
      </c>
      <c r="D567" s="184" t="s">
        <v>918</v>
      </c>
      <c r="E567" s="191">
        <v>41928</v>
      </c>
      <c r="F567" s="192" t="s">
        <v>420</v>
      </c>
      <c r="G567" s="463" t="s">
        <v>742</v>
      </c>
      <c r="H567" s="7" t="s">
        <v>419</v>
      </c>
      <c r="I567" s="251"/>
      <c r="J567" s="251"/>
      <c r="K567" s="563">
        <v>1716800</v>
      </c>
      <c r="L567" s="564" t="s">
        <v>253</v>
      </c>
      <c r="M567" s="564" t="s">
        <v>365</v>
      </c>
      <c r="N567" s="52" t="str">
        <f>IF(AND('331-CT'!$E$7=TH!H567,OR(L567="331",M567="331")),"331",IF(AND(OR(L567="131",M567="131"),H567='131-CT'!$E$7),"131",""))</f>
        <v/>
      </c>
      <c r="O567" s="89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09"/>
      <c r="AC567" s="555" t="str">
        <f>IF(VLOOKUP(H567,DS_131,1,0)&lt;&gt;"","","x")</f>
        <v/>
      </c>
      <c r="AD567" s="211"/>
      <c r="AE567" s="211"/>
    </row>
    <row r="568" spans="1:31" s="555" customFormat="1" ht="15.75" customHeight="1">
      <c r="A568" s="204">
        <f>IF(B568&lt;&gt;"",IF(AND(B568&gt;=_TM1,B568&lt;=_TM2,OR(TH!L568="1111",TH!M568="1111")),TH!D568,""),"")</f>
        <v>0</v>
      </c>
      <c r="B568" s="36">
        <f t="shared" ref="B568" si="183">IF(C568&lt;&gt;"",MONTH(C568),"")</f>
        <v>10</v>
      </c>
      <c r="C568" s="184">
        <f t="shared" ref="C568" si="184">E568</f>
        <v>41928</v>
      </c>
      <c r="D568" s="184"/>
      <c r="E568" s="191">
        <v>41928</v>
      </c>
      <c r="F568" s="192" t="s">
        <v>894</v>
      </c>
      <c r="G568" s="463" t="s">
        <v>742</v>
      </c>
      <c r="H568" s="7" t="s">
        <v>419</v>
      </c>
      <c r="I568" s="251"/>
      <c r="J568" s="251"/>
      <c r="K568" s="563">
        <v>18884800</v>
      </c>
      <c r="L568" s="564" t="s">
        <v>47</v>
      </c>
      <c r="M568" s="564" t="s">
        <v>253</v>
      </c>
      <c r="N568" s="52" t="str">
        <f>IF(AND('331-CT'!$E$7=TH!H568,OR(L568="331",M568="331")),"331",IF(AND(OR(L568="131",M568="131"),H568='131-CT'!$E$7),"131",""))</f>
        <v/>
      </c>
      <c r="O568" s="89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09"/>
      <c r="AC568" s="555" t="str">
        <f>IF(VLOOKUP(H568,DS_131,1,0)&lt;&gt;"","","x")</f>
        <v/>
      </c>
      <c r="AD568" s="211"/>
      <c r="AE568" s="211"/>
    </row>
    <row r="569" spans="1:31" s="555" customFormat="1" ht="15.75" customHeight="1">
      <c r="A569" s="204" t="str">
        <f>IF(B569&lt;&gt;"",IF(AND(B569&gt;=_TM1,B569&lt;=_TM2,OR(TH!L569="1111",TH!M569="1111")),TH!D569,""),"")</f>
        <v/>
      </c>
      <c r="B569" s="36">
        <f t="shared" si="181"/>
        <v>10</v>
      </c>
      <c r="C569" s="184">
        <f t="shared" si="182"/>
        <v>41929</v>
      </c>
      <c r="D569" s="184" t="s">
        <v>919</v>
      </c>
      <c r="E569" s="191">
        <v>41929</v>
      </c>
      <c r="F569" s="192" t="s">
        <v>612</v>
      </c>
      <c r="G569" s="463" t="s">
        <v>743</v>
      </c>
      <c r="H569" s="7" t="s">
        <v>419</v>
      </c>
      <c r="I569" s="251">
        <v>500</v>
      </c>
      <c r="J569" s="251">
        <v>4500</v>
      </c>
      <c r="K569" s="563">
        <f>ROUND(I569*J569,0)</f>
        <v>2250000</v>
      </c>
      <c r="L569" s="564" t="s">
        <v>253</v>
      </c>
      <c r="M569" s="564" t="s">
        <v>177</v>
      </c>
      <c r="N569" s="52" t="str">
        <f>IF(AND('331-CT'!$E$7=TH!H569,OR(L569="331",M569="331")),"331",IF(AND(OR(L569="131",M569="131"),H569='131-CT'!$E$7),"131",""))</f>
        <v/>
      </c>
      <c r="O569" s="89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09"/>
      <c r="AC569" s="211" t="str">
        <f>IF(F569=VLOOKUP(F569,NXT!$C$12:$C$345,1,0),"","x")</f>
        <v/>
      </c>
      <c r="AD569" s="211"/>
      <c r="AE569" s="211"/>
    </row>
    <row r="570" spans="1:31" s="555" customFormat="1" ht="15.75" customHeight="1">
      <c r="A570" s="204" t="str">
        <f>IF(B570&lt;&gt;"",IF(AND(B570&gt;=_TM1,B570&lt;=_TM2,OR(TH!L570="1111",TH!M570="1111")),TH!D570,""),"")</f>
        <v/>
      </c>
      <c r="B570" s="36">
        <f t="shared" si="181"/>
        <v>10</v>
      </c>
      <c r="C570" s="184">
        <f t="shared" si="182"/>
        <v>41929</v>
      </c>
      <c r="D570" s="184" t="s">
        <v>919</v>
      </c>
      <c r="E570" s="191">
        <v>41929</v>
      </c>
      <c r="F570" s="192" t="s">
        <v>420</v>
      </c>
      <c r="G570" s="463" t="s">
        <v>743</v>
      </c>
      <c r="H570" s="7" t="s">
        <v>419</v>
      </c>
      <c r="I570" s="251"/>
      <c r="J570" s="251"/>
      <c r="K570" s="563">
        <v>225000</v>
      </c>
      <c r="L570" s="564" t="s">
        <v>253</v>
      </c>
      <c r="M570" s="564" t="s">
        <v>365</v>
      </c>
      <c r="N570" s="52" t="str">
        <f>IF(AND('331-CT'!$E$7=TH!H570,OR(L570="331",M570="331")),"331",IF(AND(OR(L570="131",M570="131"),H570='131-CT'!$E$7),"131",""))</f>
        <v/>
      </c>
      <c r="O570" s="89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09"/>
      <c r="AC570" s="555" t="str">
        <f>IF(VLOOKUP(H570,DS_131,1,0)&lt;&gt;"","","x")</f>
        <v/>
      </c>
      <c r="AD570" s="211"/>
      <c r="AE570" s="211"/>
    </row>
    <row r="571" spans="1:31" s="555" customFormat="1" ht="15.75" customHeight="1">
      <c r="A571" s="204">
        <f>IF(B571&lt;&gt;"",IF(AND(B571&gt;=_TM1,B571&lt;=_TM2,OR(TH!L571="1111",TH!M571="1111")),TH!D571,""),"")</f>
        <v>0</v>
      </c>
      <c r="B571" s="36">
        <f t="shared" ref="B571" si="185">IF(C571&lt;&gt;"",MONTH(C571),"")</f>
        <v>10</v>
      </c>
      <c r="C571" s="184">
        <f t="shared" ref="C571" si="186">E571</f>
        <v>41929</v>
      </c>
      <c r="D571" s="184"/>
      <c r="E571" s="191">
        <v>41929</v>
      </c>
      <c r="F571" s="192" t="s">
        <v>894</v>
      </c>
      <c r="G571" s="463" t="s">
        <v>743</v>
      </c>
      <c r="H571" s="7" t="s">
        <v>419</v>
      </c>
      <c r="I571" s="251"/>
      <c r="J571" s="251"/>
      <c r="K571" s="563">
        <v>2475000</v>
      </c>
      <c r="L571" s="564" t="s">
        <v>47</v>
      </c>
      <c r="M571" s="564" t="s">
        <v>253</v>
      </c>
      <c r="N571" s="52" t="str">
        <f>IF(AND('331-CT'!$E$7=TH!H571,OR(L571="331",M571="331")),"331",IF(AND(OR(L571="131",M571="131"),H571='131-CT'!$E$7),"131",""))</f>
        <v/>
      </c>
      <c r="O571" s="89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09"/>
      <c r="AC571" s="555" t="str">
        <f>IF(VLOOKUP(H571,DS_131,1,0)&lt;&gt;"","","x")</f>
        <v/>
      </c>
      <c r="AD571" s="211"/>
      <c r="AE571" s="211"/>
    </row>
    <row r="572" spans="1:31" s="555" customFormat="1" ht="15.75" customHeight="1">
      <c r="A572" s="204" t="str">
        <f>IF(B572&lt;&gt;"",IF(AND(B572&gt;=_TM1,B572&lt;=_TM2,OR(TH!L572="1111",TH!M572="1111")),TH!D572,""),"")</f>
        <v/>
      </c>
      <c r="B572" s="36">
        <f t="shared" si="181"/>
        <v>10</v>
      </c>
      <c r="C572" s="184">
        <f t="shared" si="182"/>
        <v>41934</v>
      </c>
      <c r="D572" s="184" t="s">
        <v>920</v>
      </c>
      <c r="E572" s="191">
        <v>41934</v>
      </c>
      <c r="F572" s="192" t="s">
        <v>744</v>
      </c>
      <c r="G572" s="463" t="s">
        <v>745</v>
      </c>
      <c r="H572" s="7" t="s">
        <v>684</v>
      </c>
      <c r="I572" s="251">
        <v>164</v>
      </c>
      <c r="J572" s="251">
        <v>34000</v>
      </c>
      <c r="K572" s="563">
        <f>ROUND(I572*J572,0)</f>
        <v>5576000</v>
      </c>
      <c r="L572" s="564" t="s">
        <v>253</v>
      </c>
      <c r="M572" s="564" t="s">
        <v>177</v>
      </c>
      <c r="N572" s="52" t="str">
        <f>IF(AND('331-CT'!$E$7=TH!H572,OR(L572="331",M572="331")),"331",IF(AND(OR(L572="131",M572="131"),H572='131-CT'!$E$7),"131",""))</f>
        <v/>
      </c>
      <c r="O572" s="89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09"/>
      <c r="AC572" s="211" t="str">
        <f>IF(F572=VLOOKUP(F572,NXT!$C$12:$C$345,1,0),"","x")</f>
        <v/>
      </c>
      <c r="AD572" s="211"/>
      <c r="AE572" s="211"/>
    </row>
    <row r="573" spans="1:31" s="555" customFormat="1" ht="15.75" customHeight="1">
      <c r="A573" s="204" t="str">
        <f>IF(B573&lt;&gt;"",IF(AND(B573&gt;=_TM1,B573&lt;=_TM2,OR(TH!L573="1111",TH!M573="1111")),TH!D573,""),"")</f>
        <v/>
      </c>
      <c r="B573" s="36">
        <f t="shared" si="181"/>
        <v>10</v>
      </c>
      <c r="C573" s="184">
        <f t="shared" si="182"/>
        <v>41934</v>
      </c>
      <c r="D573" s="184" t="s">
        <v>920</v>
      </c>
      <c r="E573" s="191">
        <v>41934</v>
      </c>
      <c r="F573" s="192" t="s">
        <v>746</v>
      </c>
      <c r="G573" s="463" t="s">
        <v>745</v>
      </c>
      <c r="H573" s="7" t="s">
        <v>684</v>
      </c>
      <c r="I573" s="251">
        <v>328</v>
      </c>
      <c r="J573" s="251">
        <v>1440</v>
      </c>
      <c r="K573" s="563">
        <f>ROUND(I573*J573,0)</f>
        <v>472320</v>
      </c>
      <c r="L573" s="564" t="s">
        <v>253</v>
      </c>
      <c r="M573" s="564" t="s">
        <v>177</v>
      </c>
      <c r="N573" s="52" t="str">
        <f>IF(AND('331-CT'!$E$7=TH!H573,OR(L573="331",M573="331")),"331",IF(AND(OR(L573="131",M573="131"),H573='131-CT'!$E$7),"131",""))</f>
        <v/>
      </c>
      <c r="O573" s="89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09"/>
      <c r="AC573" s="211" t="str">
        <f>IF(F573=VLOOKUP(F573,NXT!$C$12:$C$345,1,0),"","x")</f>
        <v/>
      </c>
      <c r="AD573" s="211"/>
      <c r="AE573" s="211"/>
    </row>
    <row r="574" spans="1:31" s="555" customFormat="1" ht="15.75" customHeight="1">
      <c r="A574" s="204" t="str">
        <f>IF(B574&lt;&gt;"",IF(AND(B574&gt;=_TM1,B574&lt;=_TM2,OR(TH!L574="1111",TH!M574="1111")),TH!D574,""),"")</f>
        <v/>
      </c>
      <c r="B574" s="36">
        <f t="shared" si="181"/>
        <v>10</v>
      </c>
      <c r="C574" s="184">
        <f t="shared" si="182"/>
        <v>41934</v>
      </c>
      <c r="D574" s="184" t="s">
        <v>920</v>
      </c>
      <c r="E574" s="191">
        <v>41934</v>
      </c>
      <c r="F574" s="192" t="s">
        <v>420</v>
      </c>
      <c r="G574" s="463" t="s">
        <v>745</v>
      </c>
      <c r="H574" s="7" t="s">
        <v>684</v>
      </c>
      <c r="I574" s="251"/>
      <c r="J574" s="251"/>
      <c r="K574" s="563">
        <v>604832</v>
      </c>
      <c r="L574" s="564" t="s">
        <v>253</v>
      </c>
      <c r="M574" s="564" t="s">
        <v>365</v>
      </c>
      <c r="N574" s="52" t="str">
        <f>IF(AND('331-CT'!$E$7=TH!H574,OR(L574="331",M574="331")),"331",IF(AND(OR(L574="131",M574="131"),H574='131-CT'!$E$7),"131",""))</f>
        <v/>
      </c>
      <c r="O574" s="89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09"/>
      <c r="AC574" s="555" t="str">
        <f>IF(VLOOKUP(H574,DS_131,1,0)&lt;&gt;"","","x")</f>
        <v/>
      </c>
      <c r="AD574" s="211"/>
      <c r="AE574" s="211"/>
    </row>
    <row r="575" spans="1:31" s="555" customFormat="1" ht="15.75" customHeight="1">
      <c r="A575" s="204" t="str">
        <f>IF(B575&lt;&gt;"",IF(AND(B575&gt;=_TM1,B575&lt;=_TM2,OR(TH!L575="1111",TH!M575="1111")),TH!D575,""),"")</f>
        <v/>
      </c>
      <c r="B575" s="36">
        <f t="shared" si="181"/>
        <v>10</v>
      </c>
      <c r="C575" s="184">
        <f t="shared" si="182"/>
        <v>41934</v>
      </c>
      <c r="D575" s="184" t="s">
        <v>921</v>
      </c>
      <c r="E575" s="191">
        <v>41934</v>
      </c>
      <c r="F575" s="192" t="s">
        <v>747</v>
      </c>
      <c r="G575" s="463" t="s">
        <v>748</v>
      </c>
      <c r="H575" s="7" t="s">
        <v>602</v>
      </c>
      <c r="I575" s="251">
        <v>738</v>
      </c>
      <c r="J575" s="251">
        <v>24000</v>
      </c>
      <c r="K575" s="563">
        <f>ROUND(I575*J575,0)</f>
        <v>17712000</v>
      </c>
      <c r="L575" s="564" t="s">
        <v>253</v>
      </c>
      <c r="M575" s="564" t="s">
        <v>177</v>
      </c>
      <c r="N575" s="52" t="str">
        <f>IF(AND('331-CT'!$E$7=TH!H575,OR(L575="331",M575="331")),"331",IF(AND(OR(L575="131",M575="131"),H575='131-CT'!$E$7),"131",""))</f>
        <v/>
      </c>
      <c r="O575" s="89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09"/>
      <c r="AC575" s="211" t="str">
        <f>IF(F575=VLOOKUP(F575,NXT!$C$12:$C$345,1,0),"","x")</f>
        <v/>
      </c>
      <c r="AD575" s="211"/>
      <c r="AE575" s="211"/>
    </row>
    <row r="576" spans="1:31" s="555" customFormat="1" ht="15.75" customHeight="1">
      <c r="A576" s="204" t="str">
        <f>IF(B576&lt;&gt;"",IF(AND(B576&gt;=_TM1,B576&lt;=_TM2,OR(TH!L576="1111",TH!M576="1111")),TH!D576,""),"")</f>
        <v/>
      </c>
      <c r="B576" s="36">
        <f t="shared" si="181"/>
        <v>10</v>
      </c>
      <c r="C576" s="184">
        <f t="shared" si="182"/>
        <v>41934</v>
      </c>
      <c r="D576" s="184" t="s">
        <v>921</v>
      </c>
      <c r="E576" s="191">
        <v>41934</v>
      </c>
      <c r="F576" s="192" t="s">
        <v>712</v>
      </c>
      <c r="G576" s="463" t="s">
        <v>748</v>
      </c>
      <c r="H576" s="7" t="s">
        <v>602</v>
      </c>
      <c r="I576" s="251">
        <v>30</v>
      </c>
      <c r="J576" s="251">
        <v>13500</v>
      </c>
      <c r="K576" s="563">
        <f>ROUND(I576*J576,0)</f>
        <v>405000</v>
      </c>
      <c r="L576" s="564" t="s">
        <v>253</v>
      </c>
      <c r="M576" s="564" t="s">
        <v>177</v>
      </c>
      <c r="N576" s="52" t="str">
        <f>IF(AND('331-CT'!$E$7=TH!H576,OR(L576="331",M576="331")),"331",IF(AND(OR(L576="131",M576="131"),H576='131-CT'!$E$7),"131",""))</f>
        <v/>
      </c>
      <c r="O576" s="89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09"/>
      <c r="AC576" s="211" t="str">
        <f>IF(F576=VLOOKUP(F576,NXT!$C$12:$C$345,1,0),"","x")</f>
        <v/>
      </c>
      <c r="AD576" s="211"/>
      <c r="AE576" s="211"/>
    </row>
    <row r="577" spans="1:31" s="849" customFormat="1" ht="15.75" customHeight="1">
      <c r="A577" s="838" t="str">
        <f>IF(B577&lt;&gt;"",IF(AND(B577&gt;=_TM1,B577&lt;=_TM2,OR(TH!L577="1111",TH!M577="1111")),TH!D577,""),"")</f>
        <v/>
      </c>
      <c r="B577" s="839">
        <f t="shared" si="181"/>
        <v>10</v>
      </c>
      <c r="C577" s="840">
        <f t="shared" si="182"/>
        <v>41934</v>
      </c>
      <c r="D577" s="840" t="s">
        <v>921</v>
      </c>
      <c r="E577" s="841">
        <v>41934</v>
      </c>
      <c r="F577" s="851" t="s">
        <v>420</v>
      </c>
      <c r="G577" s="852" t="s">
        <v>748</v>
      </c>
      <c r="H577" s="844" t="s">
        <v>602</v>
      </c>
      <c r="I577" s="845"/>
      <c r="J577" s="845"/>
      <c r="K577" s="846">
        <v>1811700</v>
      </c>
      <c r="L577" s="847" t="s">
        <v>253</v>
      </c>
      <c r="M577" s="564" t="s">
        <v>365</v>
      </c>
      <c r="N577" s="52" t="str">
        <f>IF(AND('331-CT'!$E$7=TH!H577,OR(L577="331",M577="331")),"331",IF(AND(OR(L577="131",M577="131"),H577='131-CT'!$E$7),"131",""))</f>
        <v/>
      </c>
      <c r="O577" s="89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8"/>
      <c r="AC577" s="849" t="str">
        <f>IF(VLOOKUP(H577,DS_131,1,0)&lt;&gt;"","","x")</f>
        <v/>
      </c>
      <c r="AD577" s="850">
        <v>1817012</v>
      </c>
      <c r="AE577" s="853">
        <f>AD577-K577</f>
        <v>5312</v>
      </c>
    </row>
    <row r="578" spans="1:31" s="555" customFormat="1" ht="15.75" customHeight="1">
      <c r="A578" s="204" t="str">
        <f>IF(B578&lt;&gt;"",IF(AND(B578&gt;=_TM1,B578&lt;=_TM2,OR(TH!L578="1111",TH!M578="1111")),TH!D578,""),"")</f>
        <v/>
      </c>
      <c r="B578" s="36">
        <f t="shared" si="181"/>
        <v>10</v>
      </c>
      <c r="C578" s="184">
        <f t="shared" si="182"/>
        <v>41935</v>
      </c>
      <c r="D578" s="184" t="s">
        <v>922</v>
      </c>
      <c r="E578" s="191">
        <v>41935</v>
      </c>
      <c r="F578" s="192" t="s">
        <v>652</v>
      </c>
      <c r="G578" s="463" t="s">
        <v>749</v>
      </c>
      <c r="H578" s="7" t="s">
        <v>654</v>
      </c>
      <c r="I578" s="251">
        <v>4080</v>
      </c>
      <c r="J578" s="251">
        <v>7400</v>
      </c>
      <c r="K578" s="563">
        <f>ROUND(I578*J578,0)</f>
        <v>30192000</v>
      </c>
      <c r="L578" s="564" t="s">
        <v>253</v>
      </c>
      <c r="M578" s="564" t="s">
        <v>177</v>
      </c>
      <c r="N578" s="52" t="str">
        <f>IF(AND('331-CT'!$E$7=TH!H578,OR(L578="331",M578="331")),"331",IF(AND(OR(L578="131",M578="131"),H578='131-CT'!$E$7),"131",""))</f>
        <v/>
      </c>
      <c r="O578" s="89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09"/>
      <c r="AC578" s="211" t="str">
        <f>IF(F578=VLOOKUP(F578,NXT!$C$12:$C$345,1,0),"","x")</f>
        <v/>
      </c>
      <c r="AD578" s="211"/>
      <c r="AE578" s="211"/>
    </row>
    <row r="579" spans="1:31" s="555" customFormat="1" ht="15.75" customHeight="1">
      <c r="A579" s="204" t="str">
        <f>IF(B579&lt;&gt;"",IF(AND(B579&gt;=_TM1,B579&lt;=_TM2,OR(TH!L579="1111",TH!M579="1111")),TH!D579,""),"")</f>
        <v/>
      </c>
      <c r="B579" s="36">
        <f t="shared" si="181"/>
        <v>10</v>
      </c>
      <c r="C579" s="184">
        <f t="shared" si="182"/>
        <v>41935</v>
      </c>
      <c r="D579" s="184" t="s">
        <v>922</v>
      </c>
      <c r="E579" s="191">
        <v>41935</v>
      </c>
      <c r="F579" s="192" t="s">
        <v>420</v>
      </c>
      <c r="G579" s="463" t="s">
        <v>749</v>
      </c>
      <c r="H579" s="7" t="s">
        <v>654</v>
      </c>
      <c r="I579" s="251"/>
      <c r="J579" s="251"/>
      <c r="K579" s="563">
        <v>3019200</v>
      </c>
      <c r="L579" s="564" t="s">
        <v>253</v>
      </c>
      <c r="M579" s="564" t="s">
        <v>365</v>
      </c>
      <c r="N579" s="52" t="str">
        <f>IF(AND('331-CT'!$E$7=TH!H579,OR(L579="331",M579="331")),"331",IF(AND(OR(L579="131",M579="131"),H579='131-CT'!$E$7),"131",""))</f>
        <v/>
      </c>
      <c r="O579" s="89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09"/>
      <c r="AC579" s="555" t="str">
        <f>IF(VLOOKUP(H579,DS_131,1,0)&lt;&gt;"","","x")</f>
        <v/>
      </c>
      <c r="AD579" s="211"/>
      <c r="AE579" s="211"/>
    </row>
    <row r="580" spans="1:31" s="555" customFormat="1" ht="15.75" customHeight="1">
      <c r="A580" s="204" t="str">
        <f>IF(B580&lt;&gt;"",IF(AND(B580&gt;=_TM1,B580&lt;=_TM2,OR(TH!L580="1111",TH!M580="1111")),TH!D580,""),"")</f>
        <v/>
      </c>
      <c r="B580" s="36">
        <f t="shared" si="181"/>
        <v>10</v>
      </c>
      <c r="C580" s="184">
        <f t="shared" si="182"/>
        <v>41937</v>
      </c>
      <c r="D580" s="184" t="s">
        <v>923</v>
      </c>
      <c r="E580" s="191">
        <v>41937</v>
      </c>
      <c r="F580" s="192" t="s">
        <v>436</v>
      </c>
      <c r="G580" s="463" t="s">
        <v>750</v>
      </c>
      <c r="H580" s="7" t="s">
        <v>438</v>
      </c>
      <c r="I580" s="251">
        <v>388</v>
      </c>
      <c r="J580" s="251">
        <v>10500</v>
      </c>
      <c r="K580" s="563">
        <f>ROUND(I580*J580,0)</f>
        <v>4074000</v>
      </c>
      <c r="L580" s="564" t="s">
        <v>253</v>
      </c>
      <c r="M580" s="564" t="s">
        <v>177</v>
      </c>
      <c r="N580" s="52" t="str">
        <f>IF(AND('331-CT'!$E$7=TH!H580,OR(L580="331",M580="331")),"331",IF(AND(OR(L580="131",M580="131"),H580='131-CT'!$E$7),"131",""))</f>
        <v/>
      </c>
      <c r="O580" s="89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09"/>
      <c r="AC580" s="211" t="str">
        <f>IF(F580=VLOOKUP(F580,NXT!$C$12:$C$345,1,0),"","x")</f>
        <v/>
      </c>
      <c r="AD580" s="211"/>
      <c r="AE580" s="211"/>
    </row>
    <row r="581" spans="1:31" s="555" customFormat="1" ht="15.75" customHeight="1">
      <c r="A581" s="204" t="str">
        <f>IF(B581&lt;&gt;"",IF(AND(B581&gt;=_TM1,B581&lt;=_TM2,OR(TH!L581="1111",TH!M581="1111")),TH!D581,""),"")</f>
        <v/>
      </c>
      <c r="B581" s="36">
        <f t="shared" si="181"/>
        <v>10</v>
      </c>
      <c r="C581" s="184">
        <f t="shared" si="182"/>
        <v>41937</v>
      </c>
      <c r="D581" s="184" t="s">
        <v>923</v>
      </c>
      <c r="E581" s="191">
        <v>41937</v>
      </c>
      <c r="F581" s="192" t="s">
        <v>566</v>
      </c>
      <c r="G581" s="463" t="s">
        <v>750</v>
      </c>
      <c r="H581" s="7" t="s">
        <v>438</v>
      </c>
      <c r="I581" s="251">
        <v>405</v>
      </c>
      <c r="J581" s="251">
        <v>10500</v>
      </c>
      <c r="K581" s="563">
        <f>ROUND(I581*J581,0)</f>
        <v>4252500</v>
      </c>
      <c r="L581" s="564" t="s">
        <v>253</v>
      </c>
      <c r="M581" s="564" t="s">
        <v>177</v>
      </c>
      <c r="N581" s="52" t="str">
        <f>IF(AND('331-CT'!$E$7=TH!H581,OR(L581="331",M581="331")),"331",IF(AND(OR(L581="131",M581="131"),H581='131-CT'!$E$7),"131",""))</f>
        <v/>
      </c>
      <c r="O581" s="89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09"/>
      <c r="AC581" s="211" t="str">
        <f>IF(F581=VLOOKUP(F581,NXT!$C$12:$C$345,1,0),"","x")</f>
        <v/>
      </c>
      <c r="AD581" s="211"/>
      <c r="AE581" s="211"/>
    </row>
    <row r="582" spans="1:31" s="555" customFormat="1" ht="15.75" customHeight="1">
      <c r="A582" s="204" t="str">
        <f>IF(B582&lt;&gt;"",IF(AND(B582&gt;=_TM1,B582&lt;=_TM2,OR(TH!L582="1111",TH!M582="1111")),TH!D582,""),"")</f>
        <v/>
      </c>
      <c r="B582" s="36">
        <f t="shared" si="181"/>
        <v>10</v>
      </c>
      <c r="C582" s="184">
        <f t="shared" si="182"/>
        <v>41937</v>
      </c>
      <c r="D582" s="184" t="s">
        <v>923</v>
      </c>
      <c r="E582" s="191">
        <v>41937</v>
      </c>
      <c r="F582" s="192" t="s">
        <v>420</v>
      </c>
      <c r="G582" s="463" t="s">
        <v>750</v>
      </c>
      <c r="H582" s="7" t="s">
        <v>438</v>
      </c>
      <c r="I582" s="251"/>
      <c r="J582" s="251"/>
      <c r="K582" s="563">
        <v>832650</v>
      </c>
      <c r="L582" s="564" t="s">
        <v>253</v>
      </c>
      <c r="M582" s="564" t="s">
        <v>365</v>
      </c>
      <c r="N582" s="52" t="str">
        <f>IF(AND('331-CT'!$E$7=TH!H582,OR(L582="331",M582="331")),"331",IF(AND(OR(L582="131",M582="131"),H582='131-CT'!$E$7),"131",""))</f>
        <v/>
      </c>
      <c r="O582" s="89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09"/>
      <c r="AC582" s="555" t="str">
        <f>IF(VLOOKUP(H582,DS_131,1,0)&lt;&gt;"","","x")</f>
        <v/>
      </c>
      <c r="AD582" s="211"/>
      <c r="AE582" s="211"/>
    </row>
    <row r="583" spans="1:31" s="555" customFormat="1" ht="15.75" customHeight="1">
      <c r="A583" s="204">
        <f>IF(B583&lt;&gt;"",IF(AND(B583&gt;=_TM1,B583&lt;=_TM2,OR(TH!L583="1111",TH!M583="1111")),TH!D583,""),"")</f>
        <v>0</v>
      </c>
      <c r="B583" s="36">
        <f t="shared" ref="B583" si="187">IF(C583&lt;&gt;"",MONTH(C583),"")</f>
        <v>10</v>
      </c>
      <c r="C583" s="184">
        <f t="shared" ref="C583" si="188">E583</f>
        <v>41937</v>
      </c>
      <c r="D583" s="184"/>
      <c r="E583" s="191">
        <v>41937</v>
      </c>
      <c r="F583" s="192" t="s">
        <v>894</v>
      </c>
      <c r="G583" s="463" t="s">
        <v>750</v>
      </c>
      <c r="H583" s="7" t="s">
        <v>438</v>
      </c>
      <c r="I583" s="251"/>
      <c r="J583" s="251"/>
      <c r="K583" s="563">
        <v>9159150</v>
      </c>
      <c r="L583" s="564" t="s">
        <v>47</v>
      </c>
      <c r="M583" s="564" t="s">
        <v>253</v>
      </c>
      <c r="N583" s="52" t="str">
        <f>IF(AND('331-CT'!$E$7=TH!H583,OR(L583="331",M583="331")),"331",IF(AND(OR(L583="131",M583="131"),H583='131-CT'!$E$7),"131",""))</f>
        <v/>
      </c>
      <c r="O583" s="89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09"/>
      <c r="AC583" s="555" t="str">
        <f>IF(VLOOKUP(H583,DS_131,1,0)&lt;&gt;"","","x")</f>
        <v/>
      </c>
      <c r="AD583" s="211"/>
      <c r="AE583" s="211"/>
    </row>
    <row r="584" spans="1:31" s="555" customFormat="1" ht="15.75" customHeight="1">
      <c r="A584" s="204" t="str">
        <f>IF(B584&lt;&gt;"",IF(AND(B584&gt;=_TM1,B584&lt;=_TM2,OR(TH!L584="1111",TH!M584="1111")),TH!D584,""),"")</f>
        <v/>
      </c>
      <c r="B584" s="36">
        <f t="shared" si="181"/>
        <v>10</v>
      </c>
      <c r="C584" s="184">
        <f t="shared" si="182"/>
        <v>41940</v>
      </c>
      <c r="D584" s="184" t="s">
        <v>924</v>
      </c>
      <c r="E584" s="191">
        <v>41940</v>
      </c>
      <c r="F584" s="192" t="s">
        <v>751</v>
      </c>
      <c r="G584" s="463" t="s">
        <v>752</v>
      </c>
      <c r="H584" s="7" t="s">
        <v>684</v>
      </c>
      <c r="I584" s="251">
        <v>57</v>
      </c>
      <c r="J584" s="251">
        <v>34000</v>
      </c>
      <c r="K584" s="563">
        <f>ROUND(I584*J584,0)</f>
        <v>1938000</v>
      </c>
      <c r="L584" s="564" t="s">
        <v>253</v>
      </c>
      <c r="M584" s="564" t="s">
        <v>177</v>
      </c>
      <c r="N584" s="52" t="str">
        <f>IF(AND('331-CT'!$E$7=TH!H584,OR(L584="331",M584="331")),"331",IF(AND(OR(L584="131",M584="131"),H584='131-CT'!$E$7),"131",""))</f>
        <v/>
      </c>
      <c r="O584" s="89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09"/>
      <c r="AC584" s="211" t="str">
        <f>IF(F584=VLOOKUP(F584,NXT!$C$12:$C$345,1,0),"","x")</f>
        <v/>
      </c>
      <c r="AD584" s="211"/>
      <c r="AE584" s="211"/>
    </row>
    <row r="585" spans="1:31" s="555" customFormat="1" ht="15.75" customHeight="1">
      <c r="A585" s="204" t="str">
        <f>IF(B585&lt;&gt;"",IF(AND(B585&gt;=_TM1,B585&lt;=_TM2,OR(TH!L585="1111",TH!M585="1111")),TH!D585,""),"")</f>
        <v/>
      </c>
      <c r="B585" s="36">
        <f t="shared" si="181"/>
        <v>10</v>
      </c>
      <c r="C585" s="184">
        <f t="shared" si="182"/>
        <v>41940</v>
      </c>
      <c r="D585" s="184" t="s">
        <v>924</v>
      </c>
      <c r="E585" s="191">
        <v>41940</v>
      </c>
      <c r="F585" s="192" t="s">
        <v>753</v>
      </c>
      <c r="G585" s="463" t="s">
        <v>752</v>
      </c>
      <c r="H585" s="7" t="s">
        <v>684</v>
      </c>
      <c r="I585" s="251">
        <v>236</v>
      </c>
      <c r="J585" s="251">
        <v>32000</v>
      </c>
      <c r="K585" s="563">
        <f>ROUND(I585*J585,0)</f>
        <v>7552000</v>
      </c>
      <c r="L585" s="564" t="s">
        <v>253</v>
      </c>
      <c r="M585" s="564" t="s">
        <v>177</v>
      </c>
      <c r="N585" s="52" t="str">
        <f>IF(AND('331-CT'!$E$7=TH!H585,OR(L585="331",M585="331")),"331",IF(AND(OR(L585="131",M585="131"),H585='131-CT'!$E$7),"131",""))</f>
        <v/>
      </c>
      <c r="O585" s="89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09"/>
      <c r="AC585" s="211" t="str">
        <f>IF(F585=VLOOKUP(F585,NXT!$C$12:$C$345,1,0),"","x")</f>
        <v/>
      </c>
      <c r="AD585" s="211"/>
      <c r="AE585" s="211"/>
    </row>
    <row r="586" spans="1:31" s="555" customFormat="1" ht="15.75" customHeight="1">
      <c r="A586" s="204" t="str">
        <f>IF(B586&lt;&gt;"",IF(AND(B586&gt;=_TM1,B586&lt;=_TM2,OR(TH!L586="1111",TH!M586="1111")),TH!D586,""),"")</f>
        <v/>
      </c>
      <c r="B586" s="36">
        <f t="shared" si="181"/>
        <v>10</v>
      </c>
      <c r="C586" s="184">
        <f t="shared" si="182"/>
        <v>41940</v>
      </c>
      <c r="D586" s="184" t="s">
        <v>924</v>
      </c>
      <c r="E586" s="191">
        <v>41940</v>
      </c>
      <c r="F586" s="192" t="s">
        <v>746</v>
      </c>
      <c r="G586" s="463" t="s">
        <v>752</v>
      </c>
      <c r="H586" s="7" t="s">
        <v>684</v>
      </c>
      <c r="I586" s="251">
        <v>586</v>
      </c>
      <c r="J586" s="251">
        <v>1440</v>
      </c>
      <c r="K586" s="563">
        <f>ROUND(I586*J586,0)</f>
        <v>843840</v>
      </c>
      <c r="L586" s="564" t="s">
        <v>253</v>
      </c>
      <c r="M586" s="564" t="s">
        <v>177</v>
      </c>
      <c r="N586" s="52" t="str">
        <f>IF(AND('331-CT'!$E$7=TH!H586,OR(L586="331",M586="331")),"331",IF(AND(OR(L586="131",M586="131"),H586='131-CT'!$E$7),"131",""))</f>
        <v/>
      </c>
      <c r="O586" s="89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09"/>
      <c r="AC586" s="211" t="str">
        <f>IF(F586=VLOOKUP(F586,NXT!$C$12:$C$345,1,0),"","x")</f>
        <v/>
      </c>
      <c r="AD586" s="211"/>
      <c r="AE586" s="211"/>
    </row>
    <row r="587" spans="1:31" s="555" customFormat="1" ht="15.75" customHeight="1">
      <c r="A587" s="204" t="str">
        <f>IF(B587&lt;&gt;"",IF(AND(B587&gt;=_TM1,B587&lt;=_TM2,OR(TH!L587="1111",TH!M587="1111")),TH!D587,""),"")</f>
        <v/>
      </c>
      <c r="B587" s="36">
        <f t="shared" si="181"/>
        <v>10</v>
      </c>
      <c r="C587" s="184">
        <f t="shared" si="182"/>
        <v>41940</v>
      </c>
      <c r="D587" s="184" t="s">
        <v>924</v>
      </c>
      <c r="E587" s="191">
        <v>41940</v>
      </c>
      <c r="F587" s="192" t="s">
        <v>420</v>
      </c>
      <c r="G587" s="463" t="s">
        <v>752</v>
      </c>
      <c r="H587" s="7" t="s">
        <v>684</v>
      </c>
      <c r="I587" s="251"/>
      <c r="J587" s="251"/>
      <c r="K587" s="563">
        <v>1033384</v>
      </c>
      <c r="L587" s="564" t="s">
        <v>253</v>
      </c>
      <c r="M587" s="564" t="s">
        <v>365</v>
      </c>
      <c r="N587" s="52" t="str">
        <f>IF(AND('331-CT'!$E$7=TH!H587,OR(L587="331",M587="331")),"331",IF(AND(OR(L587="131",M587="131"),H587='131-CT'!$E$7),"131",""))</f>
        <v/>
      </c>
      <c r="O587" s="89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09"/>
      <c r="AC587" s="555" t="str">
        <f>IF(VLOOKUP(H587,DS_131,1,0)&lt;&gt;"","","x")</f>
        <v/>
      </c>
      <c r="AD587" s="211"/>
      <c r="AE587" s="211"/>
    </row>
    <row r="588" spans="1:31" s="555" customFormat="1" ht="15.75" customHeight="1">
      <c r="A588" s="204" t="str">
        <f>IF(B588&lt;&gt;"",IF(AND(B588&gt;=_TM1,B588&lt;=_TM2,OR(TH!L588="1111",TH!M588="1111")),TH!D588,""),"")</f>
        <v/>
      </c>
      <c r="B588" s="36">
        <f t="shared" si="181"/>
        <v>10</v>
      </c>
      <c r="C588" s="184">
        <f t="shared" si="182"/>
        <v>41940</v>
      </c>
      <c r="D588" s="184" t="s">
        <v>925</v>
      </c>
      <c r="E588" s="191">
        <v>41940</v>
      </c>
      <c r="F588" s="189" t="s">
        <v>754</v>
      </c>
      <c r="G588" s="463" t="s">
        <v>755</v>
      </c>
      <c r="H588" s="7" t="s">
        <v>641</v>
      </c>
      <c r="I588" s="254">
        <v>1028</v>
      </c>
      <c r="J588" s="254">
        <v>5400</v>
      </c>
      <c r="K588" s="563">
        <f>ROUND(I588*J588,0)</f>
        <v>5551200</v>
      </c>
      <c r="L588" s="564" t="s">
        <v>253</v>
      </c>
      <c r="M588" s="564" t="s">
        <v>177</v>
      </c>
      <c r="N588" s="52" t="str">
        <f>IF(AND('331-CT'!$E$7=TH!H588,OR(L588="331",M588="331")),"331",IF(AND(OR(L588="131",M588="131"),H588='131-CT'!$E$7),"131",""))</f>
        <v/>
      </c>
      <c r="O588" s="89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09"/>
      <c r="AC588" s="211" t="str">
        <f>IF(F588=VLOOKUP(F588,NXT!$C$12:$C$345,1,0),"","x")</f>
        <v/>
      </c>
      <c r="AD588" s="211"/>
      <c r="AE588" s="211"/>
    </row>
    <row r="589" spans="1:31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181"/>
        <v>10</v>
      </c>
      <c r="C589" s="184">
        <f t="shared" si="182"/>
        <v>41940</v>
      </c>
      <c r="D589" s="184" t="s">
        <v>925</v>
      </c>
      <c r="E589" s="191">
        <v>41940</v>
      </c>
      <c r="F589" s="192" t="s">
        <v>420</v>
      </c>
      <c r="G589" s="463" t="s">
        <v>755</v>
      </c>
      <c r="H589" s="7" t="s">
        <v>641</v>
      </c>
      <c r="I589" s="254"/>
      <c r="J589" s="254"/>
      <c r="K589" s="563">
        <v>555120</v>
      </c>
      <c r="L589" s="564" t="s">
        <v>253</v>
      </c>
      <c r="M589" s="564" t="s">
        <v>365</v>
      </c>
      <c r="N589" s="52" t="str">
        <f>IF(AND('331-CT'!$E$7=TH!H589,OR(L589="331",M589="331")),"331",IF(AND(OR(L589="131",M589="131"),H589='131-CT'!$E$7),"131",""))</f>
        <v/>
      </c>
      <c r="O589" s="89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09"/>
      <c r="AC589" s="555" t="str">
        <f>IF(VLOOKUP(H589,DS_131,1,0)&lt;&gt;"","","x")</f>
        <v/>
      </c>
    </row>
    <row r="590" spans="1:31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181"/>
        <v>10</v>
      </c>
      <c r="C590" s="184">
        <f t="shared" si="182"/>
        <v>41941</v>
      </c>
      <c r="D590" s="184" t="s">
        <v>926</v>
      </c>
      <c r="E590" s="191">
        <v>41941</v>
      </c>
      <c r="F590" s="189" t="s">
        <v>1203</v>
      </c>
      <c r="G590" s="463" t="s">
        <v>756</v>
      </c>
      <c r="H590" s="7" t="s">
        <v>477</v>
      </c>
      <c r="I590" s="251">
        <v>500</v>
      </c>
      <c r="J590" s="251">
        <v>1000</v>
      </c>
      <c r="K590" s="563">
        <f>ROUND(I590*J590,0)</f>
        <v>500000</v>
      </c>
      <c r="L590" s="564" t="s">
        <v>253</v>
      </c>
      <c r="M590" s="564" t="s">
        <v>177</v>
      </c>
      <c r="N590" s="52" t="str">
        <f>IF(AND('331-CT'!$E$7=TH!H590,OR(L590="331",M590="331")),"331",IF(AND(OR(L590="131",M590="131"),H590='131-CT'!$E$7),"131",""))</f>
        <v/>
      </c>
      <c r="O590" s="89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09"/>
      <c r="AC590" s="211" t="str">
        <f>IF(F590=VLOOKUP(F590,NXT!$C$12:$C$345,1,0),"","x")</f>
        <v/>
      </c>
    </row>
    <row r="591" spans="1:31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181"/>
        <v>10</v>
      </c>
      <c r="C591" s="184">
        <f t="shared" si="182"/>
        <v>41941</v>
      </c>
      <c r="D591" s="184" t="s">
        <v>926</v>
      </c>
      <c r="E591" s="191">
        <v>41941</v>
      </c>
      <c r="F591" s="40" t="s">
        <v>1204</v>
      </c>
      <c r="G591" s="463" t="s">
        <v>756</v>
      </c>
      <c r="H591" s="7" t="s">
        <v>477</v>
      </c>
      <c r="I591" s="252">
        <v>500</v>
      </c>
      <c r="J591" s="252">
        <v>900</v>
      </c>
      <c r="K591" s="563">
        <f>ROUND(I591*J591,0)</f>
        <v>450000</v>
      </c>
      <c r="L591" s="564" t="s">
        <v>253</v>
      </c>
      <c r="M591" s="564" t="s">
        <v>177</v>
      </c>
      <c r="N591" s="52" t="str">
        <f>IF(AND('331-CT'!$E$7=TH!H591,OR(L591="331",M591="331")),"331",IF(AND(OR(L591="131",M591="131"),H591='131-CT'!$E$7),"131",""))</f>
        <v/>
      </c>
      <c r="O591" s="89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09"/>
      <c r="AC591" s="211" t="str">
        <f>IF(F591=VLOOKUP(F591,NXT!$C$12:$C$345,1,0),"","x")</f>
        <v/>
      </c>
    </row>
    <row r="592" spans="1:31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181"/>
        <v>10</v>
      </c>
      <c r="C592" s="184">
        <f t="shared" si="182"/>
        <v>41941</v>
      </c>
      <c r="D592" s="184" t="s">
        <v>926</v>
      </c>
      <c r="E592" s="191">
        <v>41941</v>
      </c>
      <c r="F592" s="40" t="s">
        <v>1205</v>
      </c>
      <c r="G592" s="463" t="s">
        <v>756</v>
      </c>
      <c r="H592" s="7" t="s">
        <v>477</v>
      </c>
      <c r="I592" s="251">
        <v>500</v>
      </c>
      <c r="J592" s="251">
        <v>1600</v>
      </c>
      <c r="K592" s="563">
        <f>ROUND(I592*J592,0)</f>
        <v>800000</v>
      </c>
      <c r="L592" s="564" t="s">
        <v>253</v>
      </c>
      <c r="M592" s="564" t="s">
        <v>177</v>
      </c>
      <c r="N592" s="52" t="str">
        <f>IF(AND('331-CT'!$E$7=TH!H592,OR(L592="331",M592="331")),"331",IF(AND(OR(L592="131",M592="131"),H592='131-CT'!$E$7),"131",""))</f>
        <v/>
      </c>
      <c r="O592" s="89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09"/>
      <c r="AC592" s="211" t="str">
        <f>IF(F592=VLOOKUP(F592,NXT!$C$12:$C$345,1,0),"","x")</f>
        <v/>
      </c>
    </row>
    <row r="593" spans="1:31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181"/>
        <v>10</v>
      </c>
      <c r="C593" s="184">
        <f t="shared" si="182"/>
        <v>41941</v>
      </c>
      <c r="D593" s="184" t="s">
        <v>926</v>
      </c>
      <c r="E593" s="191">
        <v>41941</v>
      </c>
      <c r="F593" s="192" t="s">
        <v>420</v>
      </c>
      <c r="G593" s="463" t="s">
        <v>756</v>
      </c>
      <c r="H593" s="7" t="s">
        <v>477</v>
      </c>
      <c r="I593" s="251"/>
      <c r="J593" s="251"/>
      <c r="K593" s="563">
        <v>175000</v>
      </c>
      <c r="L593" s="564" t="s">
        <v>253</v>
      </c>
      <c r="M593" s="564" t="s">
        <v>365</v>
      </c>
      <c r="N593" s="52" t="str">
        <f>IF(AND('331-CT'!$E$7=TH!H593,OR(L593="331",M593="331")),"331",IF(AND(OR(L593="131",M593="131"),H593='131-CT'!$E$7),"131",""))</f>
        <v/>
      </c>
      <c r="O593" s="89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09"/>
      <c r="AC593" s="555" t="str">
        <f>IF(VLOOKUP(H593,DS_131,1,0)&lt;&gt;"","","x")</f>
        <v/>
      </c>
    </row>
    <row r="594" spans="1:31" s="211" customFormat="1" ht="15.75" customHeight="1">
      <c r="A594" s="204">
        <f>IF(B594&lt;&gt;"",IF(AND(B594&gt;=_TM1,B594&lt;=_TM2,OR(TH!L594="1111",TH!M594="1111")),TH!D594,""),"")</f>
        <v>0</v>
      </c>
      <c r="B594" s="36">
        <f t="shared" ref="B594" si="189">IF(C594&lt;&gt;"",MONTH(C594),"")</f>
        <v>10</v>
      </c>
      <c r="C594" s="184">
        <f t="shared" ref="C594" si="190">E594</f>
        <v>41941</v>
      </c>
      <c r="D594" s="184"/>
      <c r="E594" s="191">
        <v>41941</v>
      </c>
      <c r="F594" s="192" t="s">
        <v>894</v>
      </c>
      <c r="G594" s="463" t="s">
        <v>756</v>
      </c>
      <c r="H594" s="7" t="s">
        <v>477</v>
      </c>
      <c r="I594" s="251"/>
      <c r="J594" s="251"/>
      <c r="K594" s="563">
        <v>1925000</v>
      </c>
      <c r="L594" s="564" t="s">
        <v>47</v>
      </c>
      <c r="M594" s="564" t="s">
        <v>253</v>
      </c>
      <c r="N594" s="52" t="str">
        <f>IF(AND('331-CT'!$E$7=TH!H594,OR(L594="331",M594="331")),"331",IF(AND(OR(L594="131",M594="131"),H594='131-CT'!$E$7),"131",""))</f>
        <v/>
      </c>
      <c r="O594" s="89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09"/>
      <c r="AC594" s="555" t="str">
        <f>IF(VLOOKUP(H594,DS_131,1,0)&lt;&gt;"","","x")</f>
        <v/>
      </c>
    </row>
    <row r="595" spans="1:31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181"/>
        <v>10</v>
      </c>
      <c r="C595" s="184">
        <f t="shared" si="182"/>
        <v>41942</v>
      </c>
      <c r="D595" s="184" t="s">
        <v>927</v>
      </c>
      <c r="E595" s="191">
        <v>41942</v>
      </c>
      <c r="F595" s="189" t="s">
        <v>1206</v>
      </c>
      <c r="G595" s="463" t="s">
        <v>757</v>
      </c>
      <c r="H595" s="7" t="s">
        <v>906</v>
      </c>
      <c r="I595" s="251">
        <v>595</v>
      </c>
      <c r="J595" s="251">
        <v>14300</v>
      </c>
      <c r="K595" s="563">
        <f>ROUND(I595*J595,0)</f>
        <v>8508500</v>
      </c>
      <c r="L595" s="564" t="s">
        <v>253</v>
      </c>
      <c r="M595" s="564" t="s">
        <v>177</v>
      </c>
      <c r="N595" s="52" t="str">
        <f>IF(AND('331-CT'!$E$7=TH!H595,OR(L595="331",M595="331")),"331",IF(AND(OR(L595="131",M595="131"),H595='131-CT'!$E$7),"131",""))</f>
        <v/>
      </c>
      <c r="O595" s="89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09"/>
      <c r="AC595" s="211" t="str">
        <f>IF(F595=VLOOKUP(F595,NXT!$C$12:$C$345,1,0),"","x")</f>
        <v/>
      </c>
    </row>
    <row r="596" spans="1:31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181"/>
        <v>10</v>
      </c>
      <c r="C596" s="184">
        <f t="shared" si="182"/>
        <v>41942</v>
      </c>
      <c r="D596" s="184" t="s">
        <v>927</v>
      </c>
      <c r="E596" s="37">
        <v>41942</v>
      </c>
      <c r="F596" s="40" t="s">
        <v>445</v>
      </c>
      <c r="G596" s="565" t="s">
        <v>757</v>
      </c>
      <c r="H596" s="7" t="s">
        <v>906</v>
      </c>
      <c r="I596" s="251">
        <v>1190</v>
      </c>
      <c r="J596" s="251">
        <v>1500</v>
      </c>
      <c r="K596" s="563">
        <f>ROUND(I596*J596,0)</f>
        <v>1785000</v>
      </c>
      <c r="L596" s="564" t="s">
        <v>253</v>
      </c>
      <c r="M596" s="564" t="s">
        <v>177</v>
      </c>
      <c r="N596" s="52" t="str">
        <f>IF(AND('331-CT'!$E$7=TH!H596,OR(L596="331",M596="331")),"331",IF(AND(OR(L596="131",M596="131"),H596='131-CT'!$E$7),"131",""))</f>
        <v/>
      </c>
      <c r="O596" s="89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09"/>
      <c r="AC596" s="211" t="str">
        <f>IF(F596=VLOOKUP(F596,NXT!$C$12:$C$345,1,0),"","x")</f>
        <v/>
      </c>
      <c r="AD596" s="555"/>
      <c r="AE596" s="555"/>
    </row>
    <row r="597" spans="1:31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181"/>
        <v>10</v>
      </c>
      <c r="C597" s="184">
        <f t="shared" si="182"/>
        <v>41942</v>
      </c>
      <c r="D597" s="184" t="s">
        <v>927</v>
      </c>
      <c r="E597" s="37">
        <v>41942</v>
      </c>
      <c r="F597" s="192" t="s">
        <v>420</v>
      </c>
      <c r="G597" s="565" t="s">
        <v>757</v>
      </c>
      <c r="H597" s="7" t="s">
        <v>906</v>
      </c>
      <c r="I597" s="251"/>
      <c r="J597" s="251"/>
      <c r="K597" s="563">
        <v>1029350</v>
      </c>
      <c r="L597" s="564" t="s">
        <v>253</v>
      </c>
      <c r="M597" s="564" t="s">
        <v>365</v>
      </c>
      <c r="N597" s="52" t="str">
        <f>IF(AND('331-CT'!$E$7=TH!H597,OR(L597="331",M597="331")),"331",IF(AND(OR(L597="131",M597="131"),H597='131-CT'!$E$7),"131",""))</f>
        <v/>
      </c>
      <c r="O597" s="89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09"/>
      <c r="AC597" s="555" t="str">
        <f>IF(VLOOKUP(H597,DS_131,1,0)&lt;&gt;"","","x")</f>
        <v/>
      </c>
      <c r="AD597" s="555"/>
      <c r="AE597" s="555"/>
    </row>
    <row r="598" spans="1:31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181"/>
        <v>10</v>
      </c>
      <c r="C598" s="184">
        <f t="shared" si="182"/>
        <v>41942</v>
      </c>
      <c r="D598" s="184" t="s">
        <v>928</v>
      </c>
      <c r="E598" s="37">
        <v>41942</v>
      </c>
      <c r="F598" s="189" t="s">
        <v>459</v>
      </c>
      <c r="G598" s="565" t="s">
        <v>758</v>
      </c>
      <c r="H598" s="7" t="s">
        <v>461</v>
      </c>
      <c r="I598" s="251">
        <v>1005</v>
      </c>
      <c r="J598" s="251">
        <v>8740</v>
      </c>
      <c r="K598" s="563">
        <f>ROUND(I598*J598,0)</f>
        <v>8783700</v>
      </c>
      <c r="L598" s="564" t="s">
        <v>253</v>
      </c>
      <c r="M598" s="564" t="s">
        <v>177</v>
      </c>
      <c r="N598" s="52" t="str">
        <f>IF(AND('331-CT'!$E$7=TH!H598,OR(L598="331",M598="331")),"331",IF(AND(OR(L598="131",M598="131"),H598='131-CT'!$E$7),"131",""))</f>
        <v/>
      </c>
      <c r="O598" s="89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09"/>
      <c r="AC598" s="211" t="str">
        <f>IF(F598=VLOOKUP(F598,NXT!$C$12:$C$345,1,0),"","x")</f>
        <v/>
      </c>
      <c r="AD598" s="555"/>
      <c r="AE598" s="555"/>
    </row>
    <row r="599" spans="1:31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181"/>
        <v>10</v>
      </c>
      <c r="C599" s="184">
        <f t="shared" si="182"/>
        <v>41942</v>
      </c>
      <c r="D599" s="184" t="s">
        <v>928</v>
      </c>
      <c r="E599" s="191">
        <v>41942</v>
      </c>
      <c r="F599" s="192" t="s">
        <v>420</v>
      </c>
      <c r="G599" s="463" t="s">
        <v>758</v>
      </c>
      <c r="H599" s="210" t="s">
        <v>461</v>
      </c>
      <c r="I599" s="251"/>
      <c r="J599" s="251"/>
      <c r="K599" s="563">
        <v>878370</v>
      </c>
      <c r="L599" s="564" t="s">
        <v>253</v>
      </c>
      <c r="M599" s="564" t="s">
        <v>365</v>
      </c>
      <c r="N599" s="52" t="str">
        <f>IF(AND('331-CT'!$E$7=TH!H599,OR(L599="331",M599="331")),"331",IF(AND(OR(L599="131",M599="131"),H599='131-CT'!$E$7),"131",""))</f>
        <v/>
      </c>
      <c r="O599" s="89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09"/>
      <c r="AC599" s="555" t="str">
        <f>IF(VLOOKUP(H599,DS_131,1,0)&lt;&gt;"","","x")</f>
        <v/>
      </c>
    </row>
    <row r="600" spans="1:31" s="211" customFormat="1" ht="15.75" customHeight="1">
      <c r="A600" s="204">
        <f>IF(B600&lt;&gt;"",IF(AND(B600&gt;=_TM1,B600&lt;=_TM2,OR(TH!L600="1111",TH!M600="1111")),TH!D600,""),"")</f>
        <v>0</v>
      </c>
      <c r="B600" s="36">
        <f t="shared" ref="B600" si="191">IF(C600&lt;&gt;"",MONTH(C600),"")</f>
        <v>10</v>
      </c>
      <c r="C600" s="184">
        <f t="shared" ref="C600" si="192">E600</f>
        <v>41942</v>
      </c>
      <c r="D600" s="184"/>
      <c r="E600" s="191">
        <v>41942</v>
      </c>
      <c r="F600" s="192" t="s">
        <v>894</v>
      </c>
      <c r="G600" s="463" t="s">
        <v>758</v>
      </c>
      <c r="H600" s="210" t="s">
        <v>461</v>
      </c>
      <c r="I600" s="251"/>
      <c r="J600" s="251"/>
      <c r="K600" s="563">
        <v>9662070</v>
      </c>
      <c r="L600" s="564" t="s">
        <v>47</v>
      </c>
      <c r="M600" s="564" t="s">
        <v>253</v>
      </c>
      <c r="N600" s="52" t="str">
        <f>IF(AND('331-CT'!$E$7=TH!H600,OR(L600="331",M600="331")),"331",IF(AND(OR(L600="131",M600="131"),H600='131-CT'!$E$7),"131",""))</f>
        <v/>
      </c>
      <c r="O600" s="89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09"/>
      <c r="AC600" s="555" t="str">
        <f>IF(VLOOKUP(H600,DS_131,1,0)&lt;&gt;"","","x")</f>
        <v/>
      </c>
    </row>
    <row r="601" spans="1:31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181"/>
        <v>11</v>
      </c>
      <c r="C601" s="184">
        <f t="shared" si="182"/>
        <v>41947</v>
      </c>
      <c r="D601" s="184" t="s">
        <v>929</v>
      </c>
      <c r="E601" s="191">
        <v>41947</v>
      </c>
      <c r="F601" s="192" t="s">
        <v>512</v>
      </c>
      <c r="G601" s="463" t="s">
        <v>759</v>
      </c>
      <c r="H601" s="7" t="s">
        <v>907</v>
      </c>
      <c r="I601" s="251">
        <v>300</v>
      </c>
      <c r="J601" s="251">
        <v>7000</v>
      </c>
      <c r="K601" s="563">
        <f>ROUND(I601*J601,0)</f>
        <v>2100000</v>
      </c>
      <c r="L601" s="564" t="s">
        <v>253</v>
      </c>
      <c r="M601" s="564" t="s">
        <v>177</v>
      </c>
      <c r="N601" s="52" t="str">
        <f>IF(AND('331-CT'!$E$7=TH!H601,OR(L601="331",M601="331")),"331",IF(AND(OR(L601="131",M601="131"),H601='131-CT'!$E$7),"131",""))</f>
        <v/>
      </c>
      <c r="O601" s="89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09"/>
      <c r="AC601" s="211" t="str">
        <f>IF(F601=VLOOKUP(F601,NXT!$C$12:$C$345,1,0),"","x")</f>
        <v/>
      </c>
    </row>
    <row r="602" spans="1:31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181"/>
        <v>11</v>
      </c>
      <c r="C602" s="184">
        <f t="shared" si="182"/>
        <v>41947</v>
      </c>
      <c r="D602" s="184" t="s">
        <v>929</v>
      </c>
      <c r="E602" s="191">
        <v>41947</v>
      </c>
      <c r="F602" s="192" t="s">
        <v>486</v>
      </c>
      <c r="G602" s="463" t="s">
        <v>759</v>
      </c>
      <c r="H602" s="7" t="s">
        <v>907</v>
      </c>
      <c r="I602" s="251">
        <v>300</v>
      </c>
      <c r="J602" s="251">
        <v>9300</v>
      </c>
      <c r="K602" s="563">
        <f>ROUND(I602*J602,0)</f>
        <v>2790000</v>
      </c>
      <c r="L602" s="564" t="s">
        <v>253</v>
      </c>
      <c r="M602" s="564" t="s">
        <v>177</v>
      </c>
      <c r="N602" s="52" t="str">
        <f>IF(AND('331-CT'!$E$7=TH!H602,OR(L602="331",M602="331")),"331",IF(AND(OR(L602="131",M602="131"),H602='131-CT'!$E$7),"131",""))</f>
        <v/>
      </c>
      <c r="O602" s="89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09"/>
      <c r="AC602" s="211" t="str">
        <f>IF(F602=VLOOKUP(F602,NXT!$C$12:$C$345,1,0),"","x")</f>
        <v/>
      </c>
    </row>
    <row r="603" spans="1:31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181"/>
        <v>11</v>
      </c>
      <c r="C603" s="184">
        <f t="shared" si="182"/>
        <v>41947</v>
      </c>
      <c r="D603" s="184" t="s">
        <v>929</v>
      </c>
      <c r="E603" s="191">
        <v>41947</v>
      </c>
      <c r="F603" s="192" t="s">
        <v>420</v>
      </c>
      <c r="G603" s="463" t="s">
        <v>759</v>
      </c>
      <c r="H603" s="7" t="s">
        <v>907</v>
      </c>
      <c r="I603" s="251"/>
      <c r="J603" s="251"/>
      <c r="K603" s="563">
        <v>489000</v>
      </c>
      <c r="L603" s="564" t="s">
        <v>253</v>
      </c>
      <c r="M603" s="564" t="s">
        <v>365</v>
      </c>
      <c r="N603" s="52" t="str">
        <f>IF(AND('331-CT'!$E$7=TH!H603,OR(L603="331",M603="331")),"331",IF(AND(OR(L603="131",M603="131"),H603='131-CT'!$E$7),"131",""))</f>
        <v/>
      </c>
      <c r="O603" s="89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09"/>
      <c r="AC603" s="555" t="str">
        <f>IF(VLOOKUP(H603,DS_131,1,0)&lt;&gt;"","","x")</f>
        <v/>
      </c>
    </row>
    <row r="604" spans="1:31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181"/>
        <v>11</v>
      </c>
      <c r="C604" s="184">
        <f t="shared" si="182"/>
        <v>41947</v>
      </c>
      <c r="D604" s="184" t="s">
        <v>930</v>
      </c>
      <c r="E604" s="191">
        <v>41947</v>
      </c>
      <c r="F604" s="192" t="s">
        <v>760</v>
      </c>
      <c r="G604" s="463" t="s">
        <v>761</v>
      </c>
      <c r="H604" s="210" t="s">
        <v>684</v>
      </c>
      <c r="I604" s="251">
        <v>224</v>
      </c>
      <c r="J604" s="251">
        <v>32500</v>
      </c>
      <c r="K604" s="563">
        <f>ROUND(I604*J604,0)</f>
        <v>7280000</v>
      </c>
      <c r="L604" s="564" t="s">
        <v>253</v>
      </c>
      <c r="M604" s="564" t="s">
        <v>177</v>
      </c>
      <c r="N604" s="52" t="str">
        <f>IF(AND('331-CT'!$E$7=TH!H604,OR(L604="331",M604="331")),"331",IF(AND(OR(L604="131",M604="131"),H604='131-CT'!$E$7),"131",""))</f>
        <v/>
      </c>
      <c r="O604" s="89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09"/>
      <c r="AC604" s="211" t="str">
        <f>IF(F604=VLOOKUP(F604,NXT!$C$12:$C$345,1,0),"","x")</f>
        <v/>
      </c>
    </row>
    <row r="605" spans="1:31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181"/>
        <v>11</v>
      </c>
      <c r="C605" s="184">
        <f t="shared" si="182"/>
        <v>41947</v>
      </c>
      <c r="D605" s="184" t="s">
        <v>930</v>
      </c>
      <c r="E605" s="191">
        <v>41947</v>
      </c>
      <c r="F605" s="192" t="s">
        <v>746</v>
      </c>
      <c r="G605" s="463" t="s">
        <v>761</v>
      </c>
      <c r="H605" s="7" t="s">
        <v>684</v>
      </c>
      <c r="I605" s="251">
        <v>448</v>
      </c>
      <c r="J605" s="251">
        <v>1440</v>
      </c>
      <c r="K605" s="563">
        <f>ROUND(I605*J605,0)</f>
        <v>645120</v>
      </c>
      <c r="L605" s="564" t="s">
        <v>253</v>
      </c>
      <c r="M605" s="564" t="s">
        <v>177</v>
      </c>
      <c r="N605" s="52" t="str">
        <f>IF(AND('331-CT'!$E$7=TH!H605,OR(L605="331",M605="331")),"331",IF(AND(OR(L605="131",M605="131"),H605='131-CT'!$E$7),"131",""))</f>
        <v/>
      </c>
      <c r="O605" s="89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09"/>
      <c r="AC605" s="211" t="str">
        <f>IF(F605=VLOOKUP(F605,NXT!$C$12:$C$345,1,0),"","x")</f>
        <v/>
      </c>
    </row>
    <row r="606" spans="1:31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181"/>
        <v>11</v>
      </c>
      <c r="C606" s="184">
        <f t="shared" si="182"/>
        <v>41947</v>
      </c>
      <c r="D606" s="184" t="s">
        <v>930</v>
      </c>
      <c r="E606" s="191">
        <v>41947</v>
      </c>
      <c r="F606" s="192" t="s">
        <v>420</v>
      </c>
      <c r="G606" s="463" t="s">
        <v>761</v>
      </c>
      <c r="H606" s="7" t="s">
        <v>684</v>
      </c>
      <c r="I606" s="252"/>
      <c r="J606" s="252"/>
      <c r="K606" s="563">
        <v>792512</v>
      </c>
      <c r="L606" s="564" t="s">
        <v>253</v>
      </c>
      <c r="M606" s="564" t="s">
        <v>365</v>
      </c>
      <c r="N606" s="52" t="str">
        <f>IF(AND('331-CT'!$E$7=TH!H606,OR(L606="331",M606="331")),"331",IF(AND(OR(L606="131",M606="131"),H606='131-CT'!$E$7),"131",""))</f>
        <v/>
      </c>
      <c r="O606" s="89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09"/>
      <c r="AC606" s="555" t="str">
        <f>IF(VLOOKUP(H606,DS_131,1,0)&lt;&gt;"","","x")</f>
        <v/>
      </c>
    </row>
    <row r="607" spans="1:31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181"/>
        <v>11</v>
      </c>
      <c r="C607" s="184">
        <f t="shared" si="182"/>
        <v>41947</v>
      </c>
      <c r="D607" s="184" t="s">
        <v>931</v>
      </c>
      <c r="E607" s="191">
        <v>41947</v>
      </c>
      <c r="F607" s="192" t="s">
        <v>466</v>
      </c>
      <c r="G607" s="463" t="s">
        <v>762</v>
      </c>
      <c r="H607" s="7" t="s">
        <v>908</v>
      </c>
      <c r="I607" s="251">
        <v>1529</v>
      </c>
      <c r="J607" s="251">
        <v>4650</v>
      </c>
      <c r="K607" s="563">
        <f>ROUND(I607*J607,0)</f>
        <v>7109850</v>
      </c>
      <c r="L607" s="564" t="s">
        <v>253</v>
      </c>
      <c r="M607" s="564" t="s">
        <v>177</v>
      </c>
      <c r="N607" s="52" t="str">
        <f>IF(AND('331-CT'!$E$7=TH!H607,OR(L607="331",M607="331")),"331",IF(AND(OR(L607="131",M607="131"),H607='131-CT'!$E$7),"131",""))</f>
        <v/>
      </c>
      <c r="O607" s="89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09"/>
      <c r="AC607" s="211" t="str">
        <f>IF(F607=VLOOKUP(F607,NXT!$C$12:$C$345,1,0),"","x")</f>
        <v/>
      </c>
    </row>
    <row r="608" spans="1:31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181"/>
        <v>11</v>
      </c>
      <c r="C608" s="184">
        <f t="shared" si="182"/>
        <v>41947</v>
      </c>
      <c r="D608" s="184" t="s">
        <v>931</v>
      </c>
      <c r="E608" s="191">
        <v>41947</v>
      </c>
      <c r="F608" s="192" t="s">
        <v>420</v>
      </c>
      <c r="G608" s="463" t="s">
        <v>762</v>
      </c>
      <c r="H608" s="7" t="s">
        <v>908</v>
      </c>
      <c r="I608" s="251"/>
      <c r="J608" s="251"/>
      <c r="K608" s="563">
        <v>710985</v>
      </c>
      <c r="L608" s="564" t="s">
        <v>253</v>
      </c>
      <c r="M608" s="564" t="s">
        <v>365</v>
      </c>
      <c r="N608" s="52" t="str">
        <f>IF(AND('331-CT'!$E$7=TH!H608,OR(L608="331",M608="331")),"331",IF(AND(OR(L608="131",M608="131"),H608='131-CT'!$E$7),"131",""))</f>
        <v/>
      </c>
      <c r="O608" s="89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09"/>
      <c r="AC608" s="555" t="str">
        <f>IF(VLOOKUP(H608,DS_131,1,0)&lt;&gt;"","","x")</f>
        <v/>
      </c>
    </row>
    <row r="609" spans="1:31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181"/>
        <v>11</v>
      </c>
      <c r="C609" s="184">
        <f t="shared" si="182"/>
        <v>41948</v>
      </c>
      <c r="D609" s="184" t="s">
        <v>932</v>
      </c>
      <c r="E609" s="191">
        <v>41948</v>
      </c>
      <c r="F609" s="40" t="s">
        <v>583</v>
      </c>
      <c r="G609" s="463" t="s">
        <v>763</v>
      </c>
      <c r="H609" s="7" t="s">
        <v>582</v>
      </c>
      <c r="I609" s="251">
        <v>11</v>
      </c>
      <c r="J609" s="251">
        <v>15000</v>
      </c>
      <c r="K609" s="563">
        <f t="shared" ref="K609:K617" si="193">ROUND(I609*J609,0)</f>
        <v>165000</v>
      </c>
      <c r="L609" s="564" t="s">
        <v>253</v>
      </c>
      <c r="M609" s="564" t="s">
        <v>177</v>
      </c>
      <c r="N609" s="52" t="str">
        <f>IF(AND('331-CT'!$E$7=TH!H609,OR(L609="331",M609="331")),"331",IF(AND(OR(L609="131",M609="131"),H609='131-CT'!$E$7),"131",""))</f>
        <v/>
      </c>
      <c r="O609" s="89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09"/>
      <c r="AC609" s="211" t="str">
        <f>IF(F609=VLOOKUP(F609,NXT!$C$12:$C$345,1,0),"","x")</f>
        <v/>
      </c>
    </row>
    <row r="610" spans="1:31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181"/>
        <v>11</v>
      </c>
      <c r="C610" s="184">
        <f t="shared" si="182"/>
        <v>41948</v>
      </c>
      <c r="D610" s="184" t="s">
        <v>932</v>
      </c>
      <c r="E610" s="191">
        <v>41948</v>
      </c>
      <c r="F610" s="192" t="s">
        <v>707</v>
      </c>
      <c r="G610" s="463" t="s">
        <v>763</v>
      </c>
      <c r="H610" s="7" t="s">
        <v>582</v>
      </c>
      <c r="I610" s="251">
        <v>126</v>
      </c>
      <c r="J610" s="251">
        <v>9550</v>
      </c>
      <c r="K610" s="563">
        <f t="shared" si="193"/>
        <v>1203300</v>
      </c>
      <c r="L610" s="564" t="s">
        <v>253</v>
      </c>
      <c r="M610" s="564" t="s">
        <v>177</v>
      </c>
      <c r="N610" s="52" t="str">
        <f>IF(AND('331-CT'!$E$7=TH!H610,OR(L610="331",M610="331")),"331",IF(AND(OR(L610="131",M610="131"),H610='131-CT'!$E$7),"131",""))</f>
        <v/>
      </c>
      <c r="O610" s="89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09"/>
      <c r="AC610" s="211" t="str">
        <f>IF(F610=VLOOKUP(F610,NXT!$C$12:$C$345,1,0),"","x")</f>
        <v/>
      </c>
    </row>
    <row r="611" spans="1:31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181"/>
        <v>11</v>
      </c>
      <c r="C611" s="184">
        <f t="shared" si="182"/>
        <v>41948</v>
      </c>
      <c r="D611" s="184" t="s">
        <v>932</v>
      </c>
      <c r="E611" s="191">
        <v>41948</v>
      </c>
      <c r="F611" s="192" t="s">
        <v>606</v>
      </c>
      <c r="G611" s="463" t="s">
        <v>763</v>
      </c>
      <c r="H611" s="7" t="s">
        <v>582</v>
      </c>
      <c r="I611" s="251">
        <v>150</v>
      </c>
      <c r="J611" s="251">
        <v>9050</v>
      </c>
      <c r="K611" s="563">
        <f t="shared" si="193"/>
        <v>1357500</v>
      </c>
      <c r="L611" s="564" t="s">
        <v>253</v>
      </c>
      <c r="M611" s="564" t="s">
        <v>177</v>
      </c>
      <c r="N611" s="52" t="str">
        <f>IF(AND('331-CT'!$E$7=TH!H611,OR(L611="331",M611="331")),"331",IF(AND(OR(L611="131",M611="131"),H611='131-CT'!$E$7),"131",""))</f>
        <v/>
      </c>
      <c r="O611" s="89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09"/>
      <c r="AC611" s="211" t="str">
        <f>IF(F611=VLOOKUP(F611,NXT!$C$12:$C$345,1,0),"","x")</f>
        <v/>
      </c>
    </row>
    <row r="612" spans="1:31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181"/>
        <v>11</v>
      </c>
      <c r="C612" s="184">
        <f t="shared" si="182"/>
        <v>41948</v>
      </c>
      <c r="D612" s="184" t="s">
        <v>932</v>
      </c>
      <c r="E612" s="191">
        <v>41948</v>
      </c>
      <c r="F612" s="192" t="s">
        <v>707</v>
      </c>
      <c r="G612" s="463" t="s">
        <v>763</v>
      </c>
      <c r="H612" s="7" t="s">
        <v>582</v>
      </c>
      <c r="I612" s="251">
        <v>221</v>
      </c>
      <c r="J612" s="251">
        <v>9550</v>
      </c>
      <c r="K612" s="563">
        <f t="shared" si="193"/>
        <v>2110550</v>
      </c>
      <c r="L612" s="564" t="s">
        <v>253</v>
      </c>
      <c r="M612" s="564" t="s">
        <v>177</v>
      </c>
      <c r="N612" s="52" t="str">
        <f>IF(AND('331-CT'!$E$7=TH!H612,OR(L612="331",M612="331")),"331",IF(AND(OR(L612="131",M612="131"),H612='131-CT'!$E$7),"131",""))</f>
        <v/>
      </c>
      <c r="O612" s="89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09"/>
      <c r="AC612" s="211" t="str">
        <f>IF(F612=VLOOKUP(F612,NXT!$C$12:$C$345,1,0),"","x")</f>
        <v/>
      </c>
    </row>
    <row r="613" spans="1:31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181"/>
        <v>11</v>
      </c>
      <c r="C613" s="184">
        <f t="shared" si="182"/>
        <v>41948</v>
      </c>
      <c r="D613" s="184" t="s">
        <v>932</v>
      </c>
      <c r="E613" s="191">
        <v>41948</v>
      </c>
      <c r="F613" s="40" t="s">
        <v>583</v>
      </c>
      <c r="G613" s="463" t="s">
        <v>763</v>
      </c>
      <c r="H613" s="193" t="s">
        <v>582</v>
      </c>
      <c r="I613" s="251">
        <v>25</v>
      </c>
      <c r="J613" s="251">
        <v>13920</v>
      </c>
      <c r="K613" s="563">
        <f t="shared" si="193"/>
        <v>348000</v>
      </c>
      <c r="L613" s="564" t="s">
        <v>253</v>
      </c>
      <c r="M613" s="564" t="s">
        <v>177</v>
      </c>
      <c r="N613" s="52" t="str">
        <f>IF(AND('331-CT'!$E$7=TH!H613,OR(L613="331",M613="331")),"331",IF(AND(OR(L613="131",M613="131"),H613='131-CT'!$E$7),"131",""))</f>
        <v/>
      </c>
      <c r="O613" s="89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09"/>
      <c r="AC613" s="211" t="str">
        <f>IF(F613=VLOOKUP(F613,NXT!$C$12:$C$345,1,0),"","x")</f>
        <v/>
      </c>
    </row>
    <row r="614" spans="1:31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181"/>
        <v>11</v>
      </c>
      <c r="C614" s="184">
        <f t="shared" si="182"/>
        <v>41948</v>
      </c>
      <c r="D614" s="184" t="s">
        <v>932</v>
      </c>
      <c r="E614" s="191">
        <v>41948</v>
      </c>
      <c r="F614" s="192" t="s">
        <v>608</v>
      </c>
      <c r="G614" s="463" t="s">
        <v>763</v>
      </c>
      <c r="H614" s="193" t="s">
        <v>582</v>
      </c>
      <c r="I614" s="251">
        <v>55</v>
      </c>
      <c r="J614" s="251">
        <v>12320</v>
      </c>
      <c r="K614" s="563">
        <f t="shared" si="193"/>
        <v>677600</v>
      </c>
      <c r="L614" s="564" t="s">
        <v>253</v>
      </c>
      <c r="M614" s="564" t="s">
        <v>177</v>
      </c>
      <c r="N614" s="52" t="str">
        <f>IF(AND('331-CT'!$E$7=TH!H614,OR(L614="331",M614="331")),"331",IF(AND(OR(L614="131",M614="131"),H614='131-CT'!$E$7),"131",""))</f>
        <v/>
      </c>
      <c r="O614" s="89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09"/>
      <c r="AC614" s="211" t="str">
        <f>IF(F614=VLOOKUP(F614,NXT!$C$12:$C$345,1,0),"","x")</f>
        <v/>
      </c>
    </row>
    <row r="615" spans="1:31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181"/>
        <v>11</v>
      </c>
      <c r="C615" s="184">
        <f t="shared" si="182"/>
        <v>41948</v>
      </c>
      <c r="D615" s="184" t="s">
        <v>932</v>
      </c>
      <c r="E615" s="191">
        <v>41948</v>
      </c>
      <c r="F615" s="192" t="s">
        <v>707</v>
      </c>
      <c r="G615" s="463" t="s">
        <v>763</v>
      </c>
      <c r="H615" s="193" t="s">
        <v>582</v>
      </c>
      <c r="I615" s="251">
        <v>70</v>
      </c>
      <c r="J615" s="251">
        <v>9500</v>
      </c>
      <c r="K615" s="563">
        <f t="shared" si="193"/>
        <v>665000</v>
      </c>
      <c r="L615" s="564" t="s">
        <v>253</v>
      </c>
      <c r="M615" s="564" t="s">
        <v>177</v>
      </c>
      <c r="N615" s="52" t="str">
        <f>IF(AND('331-CT'!$E$7=TH!H615,OR(L615="331",M615="331")),"331",IF(AND(OR(L615="131",M615="131"),H615='131-CT'!$E$7),"131",""))</f>
        <v/>
      </c>
      <c r="O615" s="89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09"/>
      <c r="AC615" s="211" t="str">
        <f>IF(F615=VLOOKUP(F615,NXT!$C$12:$C$345,1,0),"","x")</f>
        <v/>
      </c>
    </row>
    <row r="616" spans="1:31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181"/>
        <v>11</v>
      </c>
      <c r="C616" s="184">
        <f t="shared" si="182"/>
        <v>41948</v>
      </c>
      <c r="D616" s="184" t="s">
        <v>932</v>
      </c>
      <c r="E616" s="191">
        <v>41948</v>
      </c>
      <c r="F616" s="192" t="s">
        <v>708</v>
      </c>
      <c r="G616" s="463" t="s">
        <v>763</v>
      </c>
      <c r="H616" s="193" t="s">
        <v>582</v>
      </c>
      <c r="I616" s="251">
        <v>101</v>
      </c>
      <c r="J616" s="251">
        <v>8760</v>
      </c>
      <c r="K616" s="563">
        <f t="shared" si="193"/>
        <v>884760</v>
      </c>
      <c r="L616" s="564" t="s">
        <v>253</v>
      </c>
      <c r="M616" s="564" t="s">
        <v>177</v>
      </c>
      <c r="N616" s="52" t="str">
        <f>IF(AND('331-CT'!$E$7=TH!H616,OR(L616="331",M616="331")),"331",IF(AND(OR(L616="131",M616="131"),H616='131-CT'!$E$7),"131",""))</f>
        <v/>
      </c>
      <c r="O616" s="89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09"/>
      <c r="AC616" s="211" t="str">
        <f>IF(F616=VLOOKUP(F616,NXT!$C$12:$C$345,1,0),"","x")</f>
        <v/>
      </c>
    </row>
    <row r="617" spans="1:31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181"/>
        <v>11</v>
      </c>
      <c r="C617" s="184">
        <f t="shared" si="182"/>
        <v>41948</v>
      </c>
      <c r="D617" s="184" t="s">
        <v>932</v>
      </c>
      <c r="E617" s="191">
        <v>41948</v>
      </c>
      <c r="F617" s="189" t="s">
        <v>789</v>
      </c>
      <c r="G617" s="463" t="s">
        <v>763</v>
      </c>
      <c r="H617" s="193" t="s">
        <v>582</v>
      </c>
      <c r="I617" s="251">
        <v>3030</v>
      </c>
      <c r="J617" s="251">
        <v>7450</v>
      </c>
      <c r="K617" s="563">
        <f t="shared" si="193"/>
        <v>22573500</v>
      </c>
      <c r="L617" s="564" t="s">
        <v>253</v>
      </c>
      <c r="M617" s="564" t="s">
        <v>177</v>
      </c>
      <c r="N617" s="52" t="str">
        <f>IF(AND('331-CT'!$E$7=TH!H617,OR(L617="331",M617="331")),"331",IF(AND(OR(L617="131",M617="131"),H617='131-CT'!$E$7),"131",""))</f>
        <v/>
      </c>
      <c r="O617" s="89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09"/>
      <c r="AC617" s="211" t="str">
        <f>IF(F617=VLOOKUP(F617,NXT!$C$12:$C$345,1,0),"","x")</f>
        <v/>
      </c>
    </row>
    <row r="618" spans="1:31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181"/>
        <v>11</v>
      </c>
      <c r="C618" s="184">
        <f t="shared" si="182"/>
        <v>41948</v>
      </c>
      <c r="D618" s="184" t="s">
        <v>932</v>
      </c>
      <c r="E618" s="191">
        <v>41948</v>
      </c>
      <c r="F618" s="192" t="s">
        <v>420</v>
      </c>
      <c r="G618" s="463" t="s">
        <v>763</v>
      </c>
      <c r="H618" s="193" t="s">
        <v>582</v>
      </c>
      <c r="I618" s="251"/>
      <c r="J618" s="251"/>
      <c r="K618" s="563">
        <v>2998521</v>
      </c>
      <c r="L618" s="564" t="s">
        <v>253</v>
      </c>
      <c r="M618" s="564" t="s">
        <v>365</v>
      </c>
      <c r="N618" s="52" t="str">
        <f>IF(AND('331-CT'!$E$7=TH!H618,OR(L618="331",M618="331")),"331",IF(AND(OR(L618="131",M618="131"),H618='131-CT'!$E$7),"131",""))</f>
        <v/>
      </c>
      <c r="O618" s="89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09"/>
      <c r="AC618" s="555" t="str">
        <f>IF(VLOOKUP(H618,DS_131,1,0)&lt;&gt;"","","x")</f>
        <v/>
      </c>
    </row>
    <row r="619" spans="1:31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181"/>
        <v>11</v>
      </c>
      <c r="C619" s="184">
        <f t="shared" si="182"/>
        <v>41950</v>
      </c>
      <c r="D619" s="184" t="s">
        <v>933</v>
      </c>
      <c r="E619" s="191">
        <v>41950</v>
      </c>
      <c r="F619" s="192" t="s">
        <v>764</v>
      </c>
      <c r="G619" s="463" t="s">
        <v>765</v>
      </c>
      <c r="H619" s="7" t="s">
        <v>477</v>
      </c>
      <c r="I619" s="251">
        <v>100</v>
      </c>
      <c r="J619" s="251">
        <v>2000</v>
      </c>
      <c r="K619" s="563">
        <f>ROUND(I619*J619,0)</f>
        <v>200000</v>
      </c>
      <c r="L619" s="564" t="s">
        <v>253</v>
      </c>
      <c r="M619" s="564" t="s">
        <v>177</v>
      </c>
      <c r="N619" s="52" t="str">
        <f>IF(AND('331-CT'!$E$7=TH!H619,OR(L619="331",M619="331")),"331",IF(AND(OR(L619="131",M619="131"),H619='131-CT'!$E$7),"131",""))</f>
        <v/>
      </c>
      <c r="O619" s="89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09"/>
      <c r="AC619" s="211" t="str">
        <f>IF(F619=VLOOKUP(F619,NXT!$C$12:$C$345,1,0),"","x")</f>
        <v/>
      </c>
    </row>
    <row r="620" spans="1:31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81"/>
        <v>11</v>
      </c>
      <c r="C620" s="184">
        <f t="shared" si="182"/>
        <v>41950</v>
      </c>
      <c r="D620" s="184" t="s">
        <v>933</v>
      </c>
      <c r="E620" s="191">
        <v>41950</v>
      </c>
      <c r="F620" s="192" t="s">
        <v>766</v>
      </c>
      <c r="G620" s="463" t="s">
        <v>765</v>
      </c>
      <c r="H620" s="7" t="s">
        <v>477</v>
      </c>
      <c r="I620" s="251">
        <v>100</v>
      </c>
      <c r="J620" s="251">
        <v>20000</v>
      </c>
      <c r="K620" s="563">
        <f>ROUND(I620*J620,0)</f>
        <v>2000000</v>
      </c>
      <c r="L620" s="564" t="s">
        <v>253</v>
      </c>
      <c r="M620" s="564" t="s">
        <v>177</v>
      </c>
      <c r="N620" s="52" t="str">
        <f>IF(AND('331-CT'!$E$7=TH!H620,OR(L620="331",M620="331")),"331",IF(AND(OR(L620="131",M620="131"),H620='131-CT'!$E$7),"131",""))</f>
        <v/>
      </c>
      <c r="O620" s="89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09"/>
      <c r="AC620" s="211" t="str">
        <f>IF(F620=VLOOKUP(F620,NXT!$C$12:$C$345,1,0),"","x")</f>
        <v/>
      </c>
    </row>
    <row r="621" spans="1:31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181"/>
        <v>11</v>
      </c>
      <c r="C621" s="184">
        <f t="shared" si="182"/>
        <v>41950</v>
      </c>
      <c r="D621" s="184" t="s">
        <v>933</v>
      </c>
      <c r="E621" s="191">
        <v>41950</v>
      </c>
      <c r="F621" s="192" t="s">
        <v>767</v>
      </c>
      <c r="G621" s="463" t="s">
        <v>765</v>
      </c>
      <c r="H621" s="193" t="s">
        <v>477</v>
      </c>
      <c r="I621" s="251">
        <v>209</v>
      </c>
      <c r="J621" s="251">
        <v>11000</v>
      </c>
      <c r="K621" s="563">
        <f>ROUND(I621*J621,0)</f>
        <v>2299000</v>
      </c>
      <c r="L621" s="564" t="s">
        <v>253</v>
      </c>
      <c r="M621" s="564" t="s">
        <v>177</v>
      </c>
      <c r="N621" s="52" t="str">
        <f>IF(AND('331-CT'!$E$7=TH!H621,OR(L621="331",M621="331")),"331",IF(AND(OR(L621="131",M621="131"),H621='131-CT'!$E$7),"131",""))</f>
        <v/>
      </c>
      <c r="O621" s="89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09"/>
      <c r="AC621" s="211" t="str">
        <f>IF(F621=VLOOKUP(F621,NXT!$C$12:$C$345,1,0),"","x")</f>
        <v/>
      </c>
      <c r="AD621" s="555"/>
      <c r="AE621" s="555"/>
    </row>
    <row r="622" spans="1:31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181"/>
        <v>11</v>
      </c>
      <c r="C622" s="184">
        <f t="shared" si="182"/>
        <v>41950</v>
      </c>
      <c r="D622" s="184" t="s">
        <v>933</v>
      </c>
      <c r="E622" s="184">
        <v>41950</v>
      </c>
      <c r="F622" s="192" t="s">
        <v>420</v>
      </c>
      <c r="G622" s="565" t="s">
        <v>765</v>
      </c>
      <c r="H622" s="193" t="s">
        <v>477</v>
      </c>
      <c r="I622" s="251"/>
      <c r="J622" s="251"/>
      <c r="K622" s="563">
        <v>449900</v>
      </c>
      <c r="L622" s="564" t="s">
        <v>253</v>
      </c>
      <c r="M622" s="564" t="s">
        <v>365</v>
      </c>
      <c r="N622" s="52" t="str">
        <f>IF(AND('331-CT'!$E$7=TH!H622,OR(L622="331",M622="331")),"331",IF(AND(OR(L622="131",M622="131"),H622='131-CT'!$E$7),"131",""))</f>
        <v/>
      </c>
      <c r="O622" s="89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09"/>
      <c r="AC622" s="555" t="str">
        <f>IF(VLOOKUP(H622,DS_131,1,0)&lt;&gt;"","","x")</f>
        <v/>
      </c>
      <c r="AD622" s="555"/>
      <c r="AE622" s="555"/>
    </row>
    <row r="623" spans="1:31" s="211" customFormat="1" ht="15.75" customHeight="1">
      <c r="A623" s="204">
        <f>IF(B623&lt;&gt;"",IF(AND(B623&gt;=_TM1,B623&lt;=_TM2,OR(TH!L623="1111",TH!M623="1111")),TH!D623,""),"")</f>
        <v>0</v>
      </c>
      <c r="B623" s="36">
        <f t="shared" ref="B623" si="194">IF(C623&lt;&gt;"",MONTH(C623),"")</f>
        <v>11</v>
      </c>
      <c r="C623" s="184">
        <f t="shared" ref="C623" si="195">E623</f>
        <v>41950</v>
      </c>
      <c r="D623" s="184"/>
      <c r="E623" s="184">
        <v>41950</v>
      </c>
      <c r="F623" s="192" t="s">
        <v>894</v>
      </c>
      <c r="G623" s="565" t="s">
        <v>765</v>
      </c>
      <c r="H623" s="193" t="s">
        <v>477</v>
      </c>
      <c r="I623" s="251"/>
      <c r="J623" s="251"/>
      <c r="K623" s="563">
        <v>4948900</v>
      </c>
      <c r="L623" s="564" t="s">
        <v>47</v>
      </c>
      <c r="M623" s="564" t="s">
        <v>253</v>
      </c>
      <c r="N623" s="52" t="str">
        <f>IF(AND('331-CT'!$E$7=TH!H623,OR(L623="331",M623="331")),"331",IF(AND(OR(L623="131",M623="131"),H623='131-CT'!$E$7),"131",""))</f>
        <v/>
      </c>
      <c r="O623" s="89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09"/>
      <c r="AC623" s="555" t="str">
        <f>IF(VLOOKUP(H623,DS_131,1,0)&lt;&gt;"","","x")</f>
        <v/>
      </c>
      <c r="AD623" s="555"/>
      <c r="AE623" s="555"/>
    </row>
    <row r="624" spans="1:31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181"/>
        <v>11</v>
      </c>
      <c r="C624" s="184">
        <f t="shared" si="182"/>
        <v>41950</v>
      </c>
      <c r="D624" s="184" t="s">
        <v>934</v>
      </c>
      <c r="E624" s="191">
        <v>41950</v>
      </c>
      <c r="F624" s="40" t="s">
        <v>593</v>
      </c>
      <c r="G624" s="463" t="s">
        <v>768</v>
      </c>
      <c r="H624" s="7" t="s">
        <v>472</v>
      </c>
      <c r="I624" s="251">
        <v>206</v>
      </c>
      <c r="J624" s="251">
        <v>19000</v>
      </c>
      <c r="K624" s="563">
        <f>ROUND(I624*J624,0)</f>
        <v>3914000</v>
      </c>
      <c r="L624" s="564" t="s">
        <v>253</v>
      </c>
      <c r="M624" s="564" t="s">
        <v>177</v>
      </c>
      <c r="N624" s="52" t="str">
        <f>IF(AND('331-CT'!$E$7=TH!H624,OR(L624="331",M624="331")),"331",IF(AND(OR(L624="131",M624="131"),H624='131-CT'!$E$7),"131",""))</f>
        <v/>
      </c>
      <c r="O624" s="89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09"/>
      <c r="AC624" s="211" t="str">
        <f>IF(F624=VLOOKUP(F624,NXT!$C$12:$C$345,1,0),"","x")</f>
        <v/>
      </c>
    </row>
    <row r="625" spans="1:31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181"/>
        <v>11</v>
      </c>
      <c r="C625" s="184">
        <f t="shared" si="182"/>
        <v>41950</v>
      </c>
      <c r="D625" s="184" t="s">
        <v>934</v>
      </c>
      <c r="E625" s="191">
        <v>41950</v>
      </c>
      <c r="F625" s="192" t="s">
        <v>420</v>
      </c>
      <c r="G625" s="463" t="s">
        <v>768</v>
      </c>
      <c r="H625" s="7" t="s">
        <v>472</v>
      </c>
      <c r="I625" s="251"/>
      <c r="J625" s="251"/>
      <c r="K625" s="563">
        <v>391400</v>
      </c>
      <c r="L625" s="564" t="s">
        <v>253</v>
      </c>
      <c r="M625" s="564" t="s">
        <v>365</v>
      </c>
      <c r="N625" s="52" t="str">
        <f>IF(AND('331-CT'!$E$7=TH!H625,OR(L625="331",M625="331")),"331",IF(AND(OR(L625="131",M625="131"),H625='131-CT'!$E$7),"131",""))</f>
        <v/>
      </c>
      <c r="O625" s="89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09"/>
      <c r="AC625" s="555" t="str">
        <f>IF(VLOOKUP(H625,DS_131,1,0)&lt;&gt;"","","x")</f>
        <v/>
      </c>
    </row>
    <row r="626" spans="1:31" s="211" customFormat="1" ht="15.75" customHeight="1">
      <c r="A626" s="204">
        <f>IF(B626&lt;&gt;"",IF(AND(B626&gt;=_TM1,B626&lt;=_TM2,OR(TH!L626="1111",TH!M626="1111")),TH!D626,""),"")</f>
        <v>0</v>
      </c>
      <c r="B626" s="36">
        <f t="shared" ref="B626" si="196">IF(C626&lt;&gt;"",MONTH(C626),"")</f>
        <v>11</v>
      </c>
      <c r="C626" s="184">
        <f t="shared" ref="C626" si="197">E626</f>
        <v>41950</v>
      </c>
      <c r="D626" s="184"/>
      <c r="E626" s="191">
        <v>41950</v>
      </c>
      <c r="F626" s="192" t="s">
        <v>894</v>
      </c>
      <c r="G626" s="463" t="s">
        <v>768</v>
      </c>
      <c r="H626" s="7" t="s">
        <v>472</v>
      </c>
      <c r="I626" s="251"/>
      <c r="J626" s="251"/>
      <c r="K626" s="563">
        <v>4305400</v>
      </c>
      <c r="L626" s="564" t="s">
        <v>47</v>
      </c>
      <c r="M626" s="564" t="s">
        <v>253</v>
      </c>
      <c r="N626" s="52" t="str">
        <f>IF(AND('331-CT'!$E$7=TH!H626,OR(L626="331",M626="331")),"331",IF(AND(OR(L626="131",M626="131"),H626='131-CT'!$E$7),"131",""))</f>
        <v/>
      </c>
      <c r="O626" s="89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09"/>
      <c r="AC626" s="555" t="str">
        <f>IF(VLOOKUP(H626,DS_131,1,0)&lt;&gt;"","","x")</f>
        <v/>
      </c>
    </row>
    <row r="627" spans="1:31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si="181"/>
        <v>11</v>
      </c>
      <c r="C627" s="184">
        <f t="shared" si="182"/>
        <v>41955</v>
      </c>
      <c r="D627" s="184" t="s">
        <v>935</v>
      </c>
      <c r="E627" s="191">
        <v>41955</v>
      </c>
      <c r="F627" s="189" t="s">
        <v>436</v>
      </c>
      <c r="G627" s="463" t="s">
        <v>769</v>
      </c>
      <c r="H627" s="7" t="s">
        <v>438</v>
      </c>
      <c r="I627" s="251">
        <v>504</v>
      </c>
      <c r="J627" s="251">
        <v>10500</v>
      </c>
      <c r="K627" s="563">
        <f>ROUND(I627*J627,0)</f>
        <v>5292000</v>
      </c>
      <c r="L627" s="564" t="s">
        <v>253</v>
      </c>
      <c r="M627" s="564" t="s">
        <v>177</v>
      </c>
      <c r="N627" s="52" t="str">
        <f>IF(AND('331-CT'!$E$7=TH!H627,OR(L627="331",M627="331")),"331",IF(AND(OR(L627="131",M627="131"),H627='131-CT'!$E$7),"131",""))</f>
        <v/>
      </c>
      <c r="O627" s="89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09"/>
      <c r="AC627" s="211" t="str">
        <f>IF(F627=VLOOKUP(F627,NXT!$C$12:$C$345,1,0),"","x")</f>
        <v/>
      </c>
    </row>
    <row r="628" spans="1:31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181"/>
        <v>11</v>
      </c>
      <c r="C628" s="184">
        <f t="shared" si="182"/>
        <v>41955</v>
      </c>
      <c r="D628" s="184" t="s">
        <v>935</v>
      </c>
      <c r="E628" s="191">
        <v>41955</v>
      </c>
      <c r="F628" s="189" t="s">
        <v>436</v>
      </c>
      <c r="G628" s="463" t="s">
        <v>769</v>
      </c>
      <c r="H628" s="7" t="s">
        <v>438</v>
      </c>
      <c r="I628" s="252">
        <v>318</v>
      </c>
      <c r="J628" s="252">
        <v>10500</v>
      </c>
      <c r="K628" s="563">
        <f>ROUND(I628*J628,0)</f>
        <v>3339000</v>
      </c>
      <c r="L628" s="564" t="s">
        <v>253</v>
      </c>
      <c r="M628" s="564" t="s">
        <v>177</v>
      </c>
      <c r="N628" s="52" t="str">
        <f>IF(AND('331-CT'!$E$7=TH!H628,OR(L628="331",M628="331")),"331",IF(AND(OR(L628="131",M628="131"),H628='131-CT'!$E$7),"131",""))</f>
        <v/>
      </c>
      <c r="O628" s="89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09"/>
      <c r="AC628" s="211" t="str">
        <f>IF(F628=VLOOKUP(F628,NXT!$C$12:$C$345,1,0),"","x")</f>
        <v/>
      </c>
    </row>
    <row r="629" spans="1:31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181"/>
        <v>11</v>
      </c>
      <c r="C629" s="184">
        <f t="shared" si="182"/>
        <v>41955</v>
      </c>
      <c r="D629" s="184" t="s">
        <v>935</v>
      </c>
      <c r="E629" s="191">
        <v>41955</v>
      </c>
      <c r="F629" s="192" t="s">
        <v>420</v>
      </c>
      <c r="G629" s="463" t="s">
        <v>770</v>
      </c>
      <c r="H629" s="7" t="s">
        <v>438</v>
      </c>
      <c r="I629" s="251"/>
      <c r="J629" s="251"/>
      <c r="K629" s="563">
        <v>863100</v>
      </c>
      <c r="L629" s="564" t="s">
        <v>253</v>
      </c>
      <c r="M629" s="564" t="s">
        <v>365</v>
      </c>
      <c r="N629" s="52" t="str">
        <f>IF(AND('331-CT'!$E$7=TH!H629,OR(L629="331",M629="331")),"331",IF(AND(OR(L629="131",M629="131"),H629='131-CT'!$E$7),"131",""))</f>
        <v/>
      </c>
      <c r="O629" s="89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09"/>
      <c r="AC629" s="555" t="str">
        <f>IF(VLOOKUP(H629,DS_131,1,0)&lt;&gt;"","","x")</f>
        <v/>
      </c>
    </row>
    <row r="630" spans="1:31" s="211" customFormat="1" ht="15.75" customHeight="1">
      <c r="A630" s="204">
        <f>IF(B630&lt;&gt;"",IF(AND(B630&gt;=_TM1,B630&lt;=_TM2,OR(TH!L630="1111",TH!M630="1111")),TH!D630,""),"")</f>
        <v>0</v>
      </c>
      <c r="B630" s="36">
        <f t="shared" ref="B630" si="198">IF(C630&lt;&gt;"",MONTH(C630),"")</f>
        <v>11</v>
      </c>
      <c r="C630" s="184">
        <f t="shared" ref="C630" si="199">E630</f>
        <v>41955</v>
      </c>
      <c r="D630" s="184"/>
      <c r="E630" s="191">
        <v>41955</v>
      </c>
      <c r="F630" s="192" t="s">
        <v>894</v>
      </c>
      <c r="G630" s="463" t="s">
        <v>770</v>
      </c>
      <c r="H630" s="7" t="s">
        <v>438</v>
      </c>
      <c r="I630" s="251"/>
      <c r="J630" s="251"/>
      <c r="K630" s="563">
        <v>9494100</v>
      </c>
      <c r="L630" s="564" t="s">
        <v>47</v>
      </c>
      <c r="M630" s="564" t="s">
        <v>253</v>
      </c>
      <c r="N630" s="52" t="str">
        <f>IF(AND('331-CT'!$E$7=TH!H630,OR(L630="331",M630="331")),"331",IF(AND(OR(L630="131",M630="131"),H630='131-CT'!$E$7),"131",""))</f>
        <v/>
      </c>
      <c r="O630" s="89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09"/>
      <c r="AC630" s="555" t="str">
        <f>IF(VLOOKUP(H630,DS_131,1,0)&lt;&gt;"","","x")</f>
        <v/>
      </c>
    </row>
    <row r="631" spans="1:31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181"/>
        <v>11</v>
      </c>
      <c r="C631" s="184">
        <f t="shared" si="182"/>
        <v>41955</v>
      </c>
      <c r="D631" s="184" t="s">
        <v>936</v>
      </c>
      <c r="E631" s="191">
        <v>41955</v>
      </c>
      <c r="F631" s="777" t="s">
        <v>771</v>
      </c>
      <c r="G631" s="463" t="s">
        <v>770</v>
      </c>
      <c r="H631" s="7" t="s">
        <v>684</v>
      </c>
      <c r="I631" s="251">
        <v>347</v>
      </c>
      <c r="J631" s="251">
        <v>31500</v>
      </c>
      <c r="K631" s="563">
        <f>ROUND(I631*J631,0)</f>
        <v>10930500</v>
      </c>
      <c r="L631" s="564" t="s">
        <v>253</v>
      </c>
      <c r="M631" s="564" t="s">
        <v>177</v>
      </c>
      <c r="N631" s="52" t="str">
        <f>IF(AND('331-CT'!$E$7=TH!H631,OR(L631="331",M631="331")),"331",IF(AND(OR(L631="131",M631="131"),H631='131-CT'!$E$7),"131",""))</f>
        <v/>
      </c>
      <c r="O631" s="89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09"/>
      <c r="AC631" s="211" t="str">
        <f>IF(F631=VLOOKUP(F631,NXT!$C$12:$C$345,1,0),"","x")</f>
        <v/>
      </c>
    </row>
    <row r="632" spans="1:31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181"/>
        <v>11</v>
      </c>
      <c r="C632" s="184">
        <f t="shared" si="182"/>
        <v>41955</v>
      </c>
      <c r="D632" s="184" t="s">
        <v>936</v>
      </c>
      <c r="E632" s="191">
        <v>41955</v>
      </c>
      <c r="F632" s="40" t="s">
        <v>772</v>
      </c>
      <c r="G632" s="463" t="s">
        <v>770</v>
      </c>
      <c r="H632" s="7" t="s">
        <v>684</v>
      </c>
      <c r="I632" s="251">
        <v>593</v>
      </c>
      <c r="J632" s="251">
        <v>39900</v>
      </c>
      <c r="K632" s="563">
        <f>ROUND(I632*J632,0)</f>
        <v>23660700</v>
      </c>
      <c r="L632" s="564" t="s">
        <v>253</v>
      </c>
      <c r="M632" s="564" t="s">
        <v>177</v>
      </c>
      <c r="N632" s="52" t="str">
        <f>IF(AND('331-CT'!$E$7=TH!H632,OR(L632="331",M632="331")),"331",IF(AND(OR(L632="131",M632="131"),H632='131-CT'!$E$7),"131",""))</f>
        <v/>
      </c>
      <c r="O632" s="89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09"/>
      <c r="AC632" s="211" t="str">
        <f>IF(F632=VLOOKUP(F632,NXT!$C$12:$C$345,1,0),"","x")</f>
        <v/>
      </c>
    </row>
    <row r="633" spans="1:31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181"/>
        <v>11</v>
      </c>
      <c r="C633" s="184">
        <f t="shared" si="182"/>
        <v>41955</v>
      </c>
      <c r="D633" s="184" t="s">
        <v>936</v>
      </c>
      <c r="E633" s="191">
        <v>41955</v>
      </c>
      <c r="F633" s="192" t="s">
        <v>746</v>
      </c>
      <c r="G633" s="463" t="s">
        <v>770</v>
      </c>
      <c r="H633" s="7" t="s">
        <v>684</v>
      </c>
      <c r="I633" s="251">
        <v>1880</v>
      </c>
      <c r="J633" s="251">
        <v>1440</v>
      </c>
      <c r="K633" s="563">
        <f>ROUND(I633*J633,0)</f>
        <v>2707200</v>
      </c>
      <c r="L633" s="564" t="s">
        <v>253</v>
      </c>
      <c r="M633" s="564" t="s">
        <v>177</v>
      </c>
      <c r="N633" s="52" t="str">
        <f>IF(AND('331-CT'!$E$7=TH!H633,OR(L633="331",M633="331")),"331",IF(AND(OR(L633="131",M633="131"),H633='131-CT'!$E$7),"131",""))</f>
        <v/>
      </c>
      <c r="O633" s="89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09"/>
      <c r="AC633" s="211" t="str">
        <f>IF(F633=VLOOKUP(F633,NXT!$C$12:$C$345,1,0),"","x")</f>
        <v/>
      </c>
    </row>
    <row r="634" spans="1:31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181"/>
        <v>11</v>
      </c>
      <c r="C634" s="184">
        <f t="shared" si="182"/>
        <v>41955</v>
      </c>
      <c r="D634" s="184" t="s">
        <v>936</v>
      </c>
      <c r="E634" s="191">
        <v>41955</v>
      </c>
      <c r="F634" s="192" t="s">
        <v>420</v>
      </c>
      <c r="G634" s="463" t="s">
        <v>770</v>
      </c>
      <c r="H634" s="7" t="s">
        <v>684</v>
      </c>
      <c r="I634" s="251"/>
      <c r="J634" s="251"/>
      <c r="K634" s="563">
        <v>3729840</v>
      </c>
      <c r="L634" s="564" t="s">
        <v>253</v>
      </c>
      <c r="M634" s="564" t="s">
        <v>365</v>
      </c>
      <c r="N634" s="52" t="str">
        <f>IF(AND('331-CT'!$E$7=TH!H634,OR(L634="331",M634="331")),"331",IF(AND(OR(L634="131",M634="131"),H634='131-CT'!$E$7),"131",""))</f>
        <v/>
      </c>
      <c r="O634" s="89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09"/>
      <c r="AC634" s="555" t="str">
        <f>IF(VLOOKUP(H634,DS_131,1,0)&lt;&gt;"","","x")</f>
        <v/>
      </c>
    </row>
    <row r="635" spans="1:31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ref="B635:B704" si="200">IF(C635&lt;&gt;"",MONTH(C635),"")</f>
        <v>11</v>
      </c>
      <c r="C635" s="184">
        <f t="shared" ref="C635:C704" si="201">E635</f>
        <v>41956</v>
      </c>
      <c r="D635" s="184" t="s">
        <v>937</v>
      </c>
      <c r="E635" s="184">
        <v>41956</v>
      </c>
      <c r="F635" s="189" t="s">
        <v>670</v>
      </c>
      <c r="G635" s="565" t="s">
        <v>773</v>
      </c>
      <c r="H635" s="193" t="s">
        <v>672</v>
      </c>
      <c r="I635" s="251">
        <v>1010</v>
      </c>
      <c r="J635" s="251">
        <v>9500</v>
      </c>
      <c r="K635" s="563">
        <f>ROUND(I635*J635,0)</f>
        <v>9595000</v>
      </c>
      <c r="L635" s="564" t="s">
        <v>253</v>
      </c>
      <c r="M635" s="564" t="s">
        <v>177</v>
      </c>
      <c r="N635" s="52" t="str">
        <f>IF(AND('331-CT'!$E$7=TH!H635,OR(L635="331",M635="331")),"331",IF(AND(OR(L635="131",M635="131"),H635='131-CT'!$E$7),"131",""))</f>
        <v/>
      </c>
      <c r="O635" s="89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09"/>
      <c r="AC635" s="211" t="str">
        <f>IF(F635=VLOOKUP(F635,NXT!$C$12:$C$345,1,0),"","x")</f>
        <v/>
      </c>
      <c r="AD635" s="555"/>
      <c r="AE635" s="555"/>
    </row>
    <row r="636" spans="1:31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200"/>
        <v>11</v>
      </c>
      <c r="C636" s="184">
        <f t="shared" si="201"/>
        <v>41956</v>
      </c>
      <c r="D636" s="184" t="s">
        <v>937</v>
      </c>
      <c r="E636" s="191">
        <v>41956</v>
      </c>
      <c r="F636" s="192" t="s">
        <v>420</v>
      </c>
      <c r="G636" s="463" t="s">
        <v>773</v>
      </c>
      <c r="H636" s="7" t="s">
        <v>672</v>
      </c>
      <c r="I636" s="252"/>
      <c r="J636" s="252"/>
      <c r="K636" s="563">
        <v>959500</v>
      </c>
      <c r="L636" s="564" t="s">
        <v>253</v>
      </c>
      <c r="M636" s="564" t="s">
        <v>365</v>
      </c>
      <c r="N636" s="52" t="str">
        <f>IF(AND('331-CT'!$E$7=TH!H636,OR(L636="331",M636="331")),"331",IF(AND(OR(L636="131",M636="131"),H636='131-CT'!$E$7),"131",""))</f>
        <v/>
      </c>
      <c r="O636" s="89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09"/>
      <c r="AC636" s="555" t="str">
        <f>IF(VLOOKUP(H636,DS_131,1,0)&lt;&gt;"","","x")</f>
        <v/>
      </c>
      <c r="AD636" s="555"/>
      <c r="AE636" s="555"/>
    </row>
    <row r="637" spans="1:31" s="211" customFormat="1" ht="15.75" customHeight="1">
      <c r="A637" s="204">
        <f>IF(B637&lt;&gt;"",IF(AND(B637&gt;=_TM1,B637&lt;=_TM2,OR(TH!L637="1111",TH!M637="1111")),TH!D637,""),"")</f>
        <v>0</v>
      </c>
      <c r="B637" s="36">
        <f t="shared" ref="B637" si="202">IF(C637&lt;&gt;"",MONTH(C637),"")</f>
        <v>11</v>
      </c>
      <c r="C637" s="184">
        <f t="shared" ref="C637" si="203">E637</f>
        <v>41956</v>
      </c>
      <c r="D637" s="184"/>
      <c r="E637" s="191">
        <v>41956</v>
      </c>
      <c r="F637" s="192" t="s">
        <v>894</v>
      </c>
      <c r="G637" s="463" t="s">
        <v>773</v>
      </c>
      <c r="H637" s="7" t="s">
        <v>672</v>
      </c>
      <c r="I637" s="252"/>
      <c r="J637" s="252"/>
      <c r="K637" s="563">
        <v>10554500</v>
      </c>
      <c r="L637" s="564" t="s">
        <v>47</v>
      </c>
      <c r="M637" s="564" t="s">
        <v>253</v>
      </c>
      <c r="N637" s="52" t="str">
        <f>IF(AND('331-CT'!$E$7=TH!H637,OR(L637="331",M637="331")),"331",IF(AND(OR(L637="131",M637="131"),H637='131-CT'!$E$7),"131",""))</f>
        <v/>
      </c>
      <c r="O637" s="89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09"/>
      <c r="AC637" s="555" t="str">
        <f>IF(VLOOKUP(H637,DS_131,1,0)&lt;&gt;"","","x")</f>
        <v/>
      </c>
      <c r="AD637" s="555"/>
      <c r="AE637" s="555"/>
    </row>
    <row r="638" spans="1:31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200"/>
        <v>11</v>
      </c>
      <c r="C638" s="184">
        <f t="shared" si="201"/>
        <v>41958</v>
      </c>
      <c r="D638" s="184" t="s">
        <v>938</v>
      </c>
      <c r="E638" s="191">
        <v>41958</v>
      </c>
      <c r="F638" s="757" t="s">
        <v>515</v>
      </c>
      <c r="G638" s="463" t="s">
        <v>774</v>
      </c>
      <c r="H638" s="7" t="s">
        <v>908</v>
      </c>
      <c r="I638" s="251">
        <v>1012</v>
      </c>
      <c r="J638" s="251">
        <v>12000</v>
      </c>
      <c r="K638" s="563">
        <f>ROUND(I638*J638,0)</f>
        <v>12144000</v>
      </c>
      <c r="L638" s="564" t="s">
        <v>253</v>
      </c>
      <c r="M638" s="564" t="s">
        <v>177</v>
      </c>
      <c r="N638" s="52" t="str">
        <f>IF(AND('331-CT'!$E$7=TH!H638,OR(L638="331",M638="331")),"331",IF(AND(OR(L638="131",M638="131"),H638='131-CT'!$E$7),"131",""))</f>
        <v/>
      </c>
      <c r="O638" s="89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09"/>
      <c r="AC638" s="211" t="str">
        <f>IF(F638=VLOOKUP(F638,NXT!$C$12:$C$345,1,0),"","x")</f>
        <v/>
      </c>
      <c r="AE638" s="555"/>
    </row>
    <row r="639" spans="1:31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200"/>
        <v>11</v>
      </c>
      <c r="C639" s="184">
        <f t="shared" si="201"/>
        <v>41958</v>
      </c>
      <c r="D639" s="184" t="s">
        <v>938</v>
      </c>
      <c r="E639" s="184">
        <v>41958</v>
      </c>
      <c r="F639" s="192" t="s">
        <v>420</v>
      </c>
      <c r="G639" s="565" t="s">
        <v>774</v>
      </c>
      <c r="H639" s="7" t="s">
        <v>908</v>
      </c>
      <c r="I639" s="251"/>
      <c r="J639" s="251"/>
      <c r="K639" s="563">
        <v>1214400</v>
      </c>
      <c r="L639" s="564" t="s">
        <v>253</v>
      </c>
      <c r="M639" s="564" t="s">
        <v>365</v>
      </c>
      <c r="N639" s="52" t="str">
        <f>IF(AND('331-CT'!$E$7=TH!H639,OR(L639="331",M639="331")),"331",IF(AND(OR(L639="131",M639="131"),H639='131-CT'!$E$7),"131",""))</f>
        <v/>
      </c>
      <c r="O639" s="89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09"/>
      <c r="AC639" s="555" t="str">
        <f>IF(VLOOKUP(H639,DS_131,1,0)&lt;&gt;"","","x")</f>
        <v/>
      </c>
      <c r="AD639" s="555"/>
      <c r="AE639" s="555"/>
    </row>
    <row r="640" spans="1:31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200"/>
        <v>11</v>
      </c>
      <c r="C640" s="184">
        <f t="shared" si="201"/>
        <v>41960</v>
      </c>
      <c r="D640" s="184" t="s">
        <v>939</v>
      </c>
      <c r="E640" s="184">
        <v>41960</v>
      </c>
      <c r="F640" s="189" t="s">
        <v>775</v>
      </c>
      <c r="G640" s="565" t="s">
        <v>776</v>
      </c>
      <c r="H640" s="7" t="s">
        <v>777</v>
      </c>
      <c r="I640" s="251">
        <v>1990</v>
      </c>
      <c r="J640" s="251">
        <v>6100</v>
      </c>
      <c r="K640" s="563">
        <f>ROUND(I640*J640,0)</f>
        <v>12139000</v>
      </c>
      <c r="L640" s="564" t="s">
        <v>253</v>
      </c>
      <c r="M640" s="564" t="s">
        <v>177</v>
      </c>
      <c r="N640" s="52" t="str">
        <f>IF(AND('331-CT'!$E$7=TH!H640,OR(L640="331",M640="331")),"331",IF(AND(OR(L640="131",M640="131"),H640='131-CT'!$E$7),"131",""))</f>
        <v/>
      </c>
      <c r="O640" s="89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09"/>
      <c r="AC640" s="211" t="str">
        <f>IF(F640=VLOOKUP(F640,NXT!$C$12:$C$345,1,0),"","x")</f>
        <v/>
      </c>
      <c r="AD640" s="555"/>
      <c r="AE640" s="555"/>
    </row>
    <row r="641" spans="1:31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200"/>
        <v>11</v>
      </c>
      <c r="C641" s="184">
        <f t="shared" si="201"/>
        <v>41960</v>
      </c>
      <c r="D641" s="184" t="s">
        <v>939</v>
      </c>
      <c r="E641" s="191">
        <v>41960</v>
      </c>
      <c r="F641" s="192" t="s">
        <v>420</v>
      </c>
      <c r="G641" s="463" t="s">
        <v>776</v>
      </c>
      <c r="H641" s="7" t="s">
        <v>777</v>
      </c>
      <c r="I641" s="252"/>
      <c r="J641" s="252"/>
      <c r="K641" s="563">
        <v>1213900</v>
      </c>
      <c r="L641" s="564" t="s">
        <v>253</v>
      </c>
      <c r="M641" s="564" t="s">
        <v>365</v>
      </c>
      <c r="N641" s="52" t="str">
        <f>IF(AND('331-CT'!$E$7=TH!H641,OR(L641="331",M641="331")),"331",IF(AND(OR(L641="131",M641="131"),H641='131-CT'!$E$7),"131",""))</f>
        <v/>
      </c>
      <c r="O641" s="89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09"/>
      <c r="AC641" s="555" t="str">
        <f>IF(VLOOKUP(H641,DS_131,1,0)&lt;&gt;"","","x")</f>
        <v/>
      </c>
      <c r="AD641" s="555"/>
      <c r="AE641" s="555"/>
    </row>
    <row r="642" spans="1:31" s="211" customFormat="1" ht="15.75" customHeight="1">
      <c r="A642" s="204">
        <f>IF(B642&lt;&gt;"",IF(AND(B642&gt;=_TM1,B642&lt;=_TM2,OR(TH!L642="1111",TH!M642="1111")),TH!D642,""),"")</f>
        <v>0</v>
      </c>
      <c r="B642" s="36">
        <f t="shared" ref="B642" si="204">IF(C642&lt;&gt;"",MONTH(C642),"")</f>
        <v>11</v>
      </c>
      <c r="C642" s="184">
        <f t="shared" ref="C642" si="205">E642</f>
        <v>41960</v>
      </c>
      <c r="D642" s="184"/>
      <c r="E642" s="191">
        <v>41960</v>
      </c>
      <c r="F642" s="192" t="s">
        <v>894</v>
      </c>
      <c r="G642" s="463" t="s">
        <v>776</v>
      </c>
      <c r="H642" s="7" t="s">
        <v>777</v>
      </c>
      <c r="I642" s="252"/>
      <c r="J642" s="252"/>
      <c r="K642" s="563">
        <f>K640+K641</f>
        <v>13352900</v>
      </c>
      <c r="L642" s="564" t="s">
        <v>47</v>
      </c>
      <c r="M642" s="564" t="s">
        <v>253</v>
      </c>
      <c r="N642" s="52" t="str">
        <f>IF(AND('331-CT'!$E$7=TH!H642,OR(L642="331",M642="331")),"331",IF(AND(OR(L642="131",M642="131"),H642='131-CT'!$E$7),"131",""))</f>
        <v/>
      </c>
      <c r="O642" s="89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09"/>
      <c r="AC642" s="555" t="str">
        <f>IF(VLOOKUP(H642,DS_131,1,0)&lt;&gt;"","","x")</f>
        <v/>
      </c>
      <c r="AD642" s="555"/>
      <c r="AE642" s="555"/>
    </row>
    <row r="643" spans="1:31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200"/>
        <v>11</v>
      </c>
      <c r="C643" s="184">
        <f t="shared" si="201"/>
        <v>41962</v>
      </c>
      <c r="D643" s="184" t="s">
        <v>940</v>
      </c>
      <c r="E643" s="191">
        <v>41962</v>
      </c>
      <c r="F643" s="189" t="s">
        <v>503</v>
      </c>
      <c r="G643" s="463" t="s">
        <v>778</v>
      </c>
      <c r="H643" s="7" t="s">
        <v>502</v>
      </c>
      <c r="I643" s="252">
        <v>609</v>
      </c>
      <c r="J643" s="252">
        <v>6250</v>
      </c>
      <c r="K643" s="563">
        <f>ROUND(I643*J643,0)</f>
        <v>3806250</v>
      </c>
      <c r="L643" s="564" t="s">
        <v>253</v>
      </c>
      <c r="M643" s="564" t="s">
        <v>177</v>
      </c>
      <c r="N643" s="52" t="str">
        <f>IF(AND('331-CT'!$E$7=TH!H643,OR(L643="331",M643="331")),"331",IF(AND(OR(L643="131",M643="131"),H643='131-CT'!$E$7),"131",""))</f>
        <v/>
      </c>
      <c r="O643" s="89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09"/>
      <c r="AC643" s="211" t="str">
        <f>IF(F643=VLOOKUP(F643,NXT!$C$12:$C$345,1,0),"","x")</f>
        <v/>
      </c>
      <c r="AD643" s="555"/>
      <c r="AE643" s="555"/>
    </row>
    <row r="644" spans="1:31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200"/>
        <v>11</v>
      </c>
      <c r="C644" s="184">
        <f t="shared" si="201"/>
        <v>41962</v>
      </c>
      <c r="D644" s="184" t="s">
        <v>940</v>
      </c>
      <c r="E644" s="191">
        <v>41962</v>
      </c>
      <c r="F644" s="189" t="s">
        <v>504</v>
      </c>
      <c r="G644" s="463" t="s">
        <v>778</v>
      </c>
      <c r="H644" s="7" t="s">
        <v>502</v>
      </c>
      <c r="I644" s="252">
        <v>213</v>
      </c>
      <c r="J644" s="252">
        <v>6550</v>
      </c>
      <c r="K644" s="563">
        <f>ROUND(I644*J644,0)</f>
        <v>1395150</v>
      </c>
      <c r="L644" s="564" t="s">
        <v>253</v>
      </c>
      <c r="M644" s="564" t="s">
        <v>177</v>
      </c>
      <c r="N644" s="52" t="str">
        <f>IF(AND('331-CT'!$E$7=TH!H644,OR(L644="331",M644="331")),"331",IF(AND(OR(L644="131",M644="131"),H644='131-CT'!$E$7),"131",""))</f>
        <v/>
      </c>
      <c r="O644" s="89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09"/>
      <c r="AC644" s="211" t="str">
        <f>IF(F644=VLOOKUP(F644,NXT!$C$12:$C$345,1,0),"","x")</f>
        <v/>
      </c>
      <c r="AD644" s="555"/>
      <c r="AE644" s="555"/>
    </row>
    <row r="645" spans="1:31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200"/>
        <v>11</v>
      </c>
      <c r="C645" s="184">
        <f t="shared" si="201"/>
        <v>41962</v>
      </c>
      <c r="D645" s="184" t="s">
        <v>940</v>
      </c>
      <c r="E645" s="191">
        <v>41962</v>
      </c>
      <c r="F645" s="189" t="s">
        <v>779</v>
      </c>
      <c r="G645" s="463" t="s">
        <v>778</v>
      </c>
      <c r="H645" s="7" t="s">
        <v>502</v>
      </c>
      <c r="I645" s="252">
        <v>796</v>
      </c>
      <c r="J645" s="252">
        <v>5900</v>
      </c>
      <c r="K645" s="563">
        <f>ROUND(I645*J645,0)</f>
        <v>4696400</v>
      </c>
      <c r="L645" s="564" t="s">
        <v>253</v>
      </c>
      <c r="M645" s="564" t="s">
        <v>177</v>
      </c>
      <c r="N645" s="52" t="str">
        <f>IF(AND('331-CT'!$E$7=TH!H645,OR(L645="331",M645="331")),"331",IF(AND(OR(L645="131",M645="131"),H645='131-CT'!$E$7),"131",""))</f>
        <v/>
      </c>
      <c r="O645" s="89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09"/>
      <c r="AC645" s="211" t="str">
        <f>IF(F645=VLOOKUP(F645,NXT!$C$12:$C$345,1,0),"","x")</f>
        <v/>
      </c>
      <c r="AD645" s="555"/>
      <c r="AE645" s="555"/>
    </row>
    <row r="646" spans="1:31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200"/>
        <v>11</v>
      </c>
      <c r="C646" s="184">
        <f t="shared" si="201"/>
        <v>41962</v>
      </c>
      <c r="D646" s="184" t="s">
        <v>940</v>
      </c>
      <c r="E646" s="191">
        <v>41962</v>
      </c>
      <c r="F646" s="189" t="s">
        <v>406</v>
      </c>
      <c r="G646" s="463" t="s">
        <v>778</v>
      </c>
      <c r="H646" s="7" t="s">
        <v>502</v>
      </c>
      <c r="I646" s="252">
        <v>402</v>
      </c>
      <c r="J646" s="252">
        <v>6800</v>
      </c>
      <c r="K646" s="563">
        <f>ROUND(I646*J646,0)</f>
        <v>2733600</v>
      </c>
      <c r="L646" s="564" t="s">
        <v>253</v>
      </c>
      <c r="M646" s="564" t="s">
        <v>177</v>
      </c>
      <c r="N646" s="52" t="str">
        <f>IF(AND('331-CT'!$E$7=TH!H646,OR(L646="331",M646="331")),"331",IF(AND(OR(L646="131",M646="131"),H646='131-CT'!$E$7),"131",""))</f>
        <v/>
      </c>
      <c r="O646" s="89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09"/>
      <c r="AC646" s="211" t="str">
        <f>IF(F646=VLOOKUP(F646,NXT!$C$12:$C$345,1,0),"","x")</f>
        <v/>
      </c>
      <c r="AD646" s="555"/>
      <c r="AE646" s="555"/>
    </row>
    <row r="647" spans="1:31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200"/>
        <v>11</v>
      </c>
      <c r="C647" s="184">
        <f t="shared" si="201"/>
        <v>41962</v>
      </c>
      <c r="D647" s="184" t="s">
        <v>940</v>
      </c>
      <c r="E647" s="191">
        <v>41962</v>
      </c>
      <c r="F647" s="192" t="s">
        <v>420</v>
      </c>
      <c r="G647" s="463" t="s">
        <v>778</v>
      </c>
      <c r="H647" s="7" t="s">
        <v>502</v>
      </c>
      <c r="I647" s="252"/>
      <c r="J647" s="252"/>
      <c r="K647" s="38">
        <v>1263140</v>
      </c>
      <c r="L647" s="564" t="s">
        <v>253</v>
      </c>
      <c r="M647" s="564" t="s">
        <v>365</v>
      </c>
      <c r="N647" s="52" t="str">
        <f>IF(AND('331-CT'!$E$7=TH!H647,OR(L647="331",M647="331")),"331",IF(AND(OR(L647="131",M647="131"),H647='131-CT'!$E$7),"131",""))</f>
        <v/>
      </c>
      <c r="O647" s="89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09"/>
      <c r="AC647" s="555" t="str">
        <f>IF(VLOOKUP(H647,DS_131,1,0)&lt;&gt;"","","x")</f>
        <v/>
      </c>
      <c r="AD647" s="555"/>
      <c r="AE647" s="555"/>
    </row>
    <row r="648" spans="1:31" s="211" customFormat="1" ht="15.75" customHeight="1">
      <c r="A648" s="204">
        <f>IF(B648&lt;&gt;"",IF(AND(B648&gt;=_TM1,B648&lt;=_TM2,OR(TH!L648="1111",TH!M648="1111")),TH!D648,""),"")</f>
        <v>0</v>
      </c>
      <c r="B648" s="36">
        <f t="shared" ref="B648" si="206">IF(C648&lt;&gt;"",MONTH(C648),"")</f>
        <v>11</v>
      </c>
      <c r="C648" s="184">
        <f t="shared" ref="C648" si="207">E648</f>
        <v>41962</v>
      </c>
      <c r="D648" s="184"/>
      <c r="E648" s="191">
        <v>41962</v>
      </c>
      <c r="F648" s="192" t="s">
        <v>894</v>
      </c>
      <c r="G648" s="463" t="s">
        <v>778</v>
      </c>
      <c r="H648" s="7" t="s">
        <v>502</v>
      </c>
      <c r="I648" s="252"/>
      <c r="J648" s="252"/>
      <c r="K648" s="38">
        <v>13894540</v>
      </c>
      <c r="L648" s="564" t="s">
        <v>47</v>
      </c>
      <c r="M648" s="564" t="s">
        <v>253</v>
      </c>
      <c r="N648" s="52" t="str">
        <f>IF(AND('331-CT'!$E$7=TH!H648,OR(L648="331",M648="331")),"331",IF(AND(OR(L648="131",M648="131"),H648='131-CT'!$E$7),"131",""))</f>
        <v/>
      </c>
      <c r="O648" s="89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09"/>
      <c r="AC648" s="555"/>
      <c r="AD648" s="555"/>
      <c r="AE648" s="555"/>
    </row>
    <row r="649" spans="1:31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200"/>
        <v>11</v>
      </c>
      <c r="C649" s="184">
        <f t="shared" si="201"/>
        <v>41962</v>
      </c>
      <c r="D649" s="184" t="s">
        <v>941</v>
      </c>
      <c r="E649" s="191">
        <v>41962</v>
      </c>
      <c r="F649" s="189" t="s">
        <v>780</v>
      </c>
      <c r="G649" s="463" t="s">
        <v>781</v>
      </c>
      <c r="H649" s="7" t="s">
        <v>782</v>
      </c>
      <c r="I649" s="251">
        <v>975</v>
      </c>
      <c r="J649" s="251">
        <v>5130</v>
      </c>
      <c r="K649" s="563">
        <f t="shared" ref="K649:K652" si="208">ROUND(I649*J649,0)</f>
        <v>5001750</v>
      </c>
      <c r="L649" s="564" t="s">
        <v>253</v>
      </c>
      <c r="M649" s="564" t="s">
        <v>177</v>
      </c>
      <c r="N649" s="52" t="str">
        <f>IF(AND('331-CT'!$E$7=TH!H649,OR(L649="331",M649="331")),"331",IF(AND(OR(L649="131",M649="131"),H649='131-CT'!$E$7),"131",""))</f>
        <v/>
      </c>
      <c r="O649" s="89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09"/>
      <c r="AD649" s="555"/>
      <c r="AE649" s="555"/>
    </row>
    <row r="650" spans="1:31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200"/>
        <v>11</v>
      </c>
      <c r="C650" s="184">
        <f t="shared" si="201"/>
        <v>41962</v>
      </c>
      <c r="D650" s="184" t="s">
        <v>941</v>
      </c>
      <c r="E650" s="191">
        <v>41962</v>
      </c>
      <c r="F650" s="189" t="s">
        <v>1262</v>
      </c>
      <c r="G650" s="463" t="s">
        <v>781</v>
      </c>
      <c r="H650" s="7" t="s">
        <v>782</v>
      </c>
      <c r="I650" s="251">
        <v>1000</v>
      </c>
      <c r="J650" s="251">
        <v>2798</v>
      </c>
      <c r="K650" s="563">
        <f t="shared" si="208"/>
        <v>2798000</v>
      </c>
      <c r="L650" s="564" t="s">
        <v>253</v>
      </c>
      <c r="M650" s="564" t="s">
        <v>177</v>
      </c>
      <c r="N650" s="52" t="str">
        <f>IF(AND('331-CT'!$E$7=TH!H650,OR(L650="331",M650="331")),"331",IF(AND(OR(L650="131",M650="131"),H650='131-CT'!$E$7),"131",""))</f>
        <v/>
      </c>
      <c r="O650" s="89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09"/>
      <c r="AD650" s="555"/>
      <c r="AE650" s="555"/>
    </row>
    <row r="651" spans="1:31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200"/>
        <v>11</v>
      </c>
      <c r="C651" s="184">
        <f t="shared" si="201"/>
        <v>41962</v>
      </c>
      <c r="D651" s="184" t="s">
        <v>941</v>
      </c>
      <c r="E651" s="191">
        <v>41962</v>
      </c>
      <c r="F651" s="189" t="s">
        <v>785</v>
      </c>
      <c r="G651" s="463" t="s">
        <v>781</v>
      </c>
      <c r="H651" s="7" t="s">
        <v>782</v>
      </c>
      <c r="I651" s="251">
        <v>978</v>
      </c>
      <c r="J651" s="251">
        <v>4230</v>
      </c>
      <c r="K651" s="563">
        <f t="shared" si="208"/>
        <v>4136940</v>
      </c>
      <c r="L651" s="564" t="s">
        <v>253</v>
      </c>
      <c r="M651" s="564" t="s">
        <v>177</v>
      </c>
      <c r="N651" s="52" t="str">
        <f>IF(AND('331-CT'!$E$7=TH!H651,OR(L651="331",M651="331")),"331",IF(AND(OR(L651="131",M651="131"),H651='131-CT'!$E$7),"131",""))</f>
        <v/>
      </c>
      <c r="O651" s="89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09"/>
      <c r="AD651" s="555"/>
      <c r="AE651" s="555"/>
    </row>
    <row r="652" spans="1:31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200"/>
        <v>11</v>
      </c>
      <c r="C652" s="184">
        <f t="shared" si="201"/>
        <v>41962</v>
      </c>
      <c r="D652" s="184" t="s">
        <v>941</v>
      </c>
      <c r="E652" s="191">
        <v>41962</v>
      </c>
      <c r="F652" s="189" t="s">
        <v>1262</v>
      </c>
      <c r="G652" s="463" t="s">
        <v>781</v>
      </c>
      <c r="H652" s="7" t="s">
        <v>782</v>
      </c>
      <c r="I652" s="251">
        <v>1000</v>
      </c>
      <c r="J652" s="251">
        <v>1568</v>
      </c>
      <c r="K652" s="563">
        <f t="shared" si="208"/>
        <v>1568000</v>
      </c>
      <c r="L652" s="564" t="s">
        <v>253</v>
      </c>
      <c r="M652" s="564" t="s">
        <v>177</v>
      </c>
      <c r="N652" s="52" t="str">
        <f>IF(AND('331-CT'!$E$7=TH!H652,OR(L652="331",M652="331")),"331",IF(AND(OR(L652="131",M652="131"),H652='131-CT'!$E$7),"131",""))</f>
        <v/>
      </c>
      <c r="O652" s="89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09"/>
      <c r="AE652" s="555"/>
    </row>
    <row r="653" spans="1:31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200"/>
        <v>11</v>
      </c>
      <c r="C653" s="184">
        <f t="shared" si="201"/>
        <v>41962</v>
      </c>
      <c r="D653" s="184" t="s">
        <v>941</v>
      </c>
      <c r="E653" s="191">
        <v>41962</v>
      </c>
      <c r="F653" s="192" t="s">
        <v>420</v>
      </c>
      <c r="G653" s="463" t="s">
        <v>781</v>
      </c>
      <c r="H653" s="7" t="s">
        <v>782</v>
      </c>
      <c r="I653" s="251"/>
      <c r="J653" s="251"/>
      <c r="K653" s="563">
        <v>1350469</v>
      </c>
      <c r="L653" s="564" t="s">
        <v>253</v>
      </c>
      <c r="M653" s="564" t="s">
        <v>365</v>
      </c>
      <c r="N653" s="52" t="str">
        <f>IF(AND('331-CT'!$E$7=TH!H653,OR(L653="331",M653="331")),"331",IF(AND(OR(L653="131",M653="131"),H653='131-CT'!$E$7),"131",""))</f>
        <v/>
      </c>
      <c r="O653" s="89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09"/>
      <c r="AC653" s="555"/>
      <c r="AE653" s="555"/>
    </row>
    <row r="654" spans="1:31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200"/>
        <v>11</v>
      </c>
      <c r="C654" s="184">
        <f t="shared" si="201"/>
        <v>41963</v>
      </c>
      <c r="D654" s="184" t="s">
        <v>942</v>
      </c>
      <c r="E654" s="191">
        <v>41963</v>
      </c>
      <c r="F654" s="189" t="s">
        <v>459</v>
      </c>
      <c r="G654" s="463" t="s">
        <v>788</v>
      </c>
      <c r="H654" s="7" t="s">
        <v>461</v>
      </c>
      <c r="I654" s="251">
        <v>993</v>
      </c>
      <c r="J654" s="251">
        <v>8740</v>
      </c>
      <c r="K654" s="563">
        <f>ROUND(I654*J654,0)</f>
        <v>8678820</v>
      </c>
      <c r="L654" s="564" t="s">
        <v>253</v>
      </c>
      <c r="M654" s="564" t="s">
        <v>177</v>
      </c>
      <c r="N654" s="52" t="str">
        <f>IF(AND('331-CT'!$E$7=TH!H654,OR(L654="331",M654="331")),"331",IF(AND(OR(L654="131",M654="131"),H654='131-CT'!$E$7),"131",""))</f>
        <v/>
      </c>
      <c r="O654" s="89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09"/>
      <c r="AD654" s="555"/>
      <c r="AE654" s="555"/>
    </row>
    <row r="655" spans="1:31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200"/>
        <v>11</v>
      </c>
      <c r="C655" s="184">
        <f t="shared" si="201"/>
        <v>41963</v>
      </c>
      <c r="D655" s="184" t="s">
        <v>942</v>
      </c>
      <c r="E655" s="191">
        <v>41963</v>
      </c>
      <c r="F655" s="192" t="s">
        <v>420</v>
      </c>
      <c r="G655" s="463" t="s">
        <v>788</v>
      </c>
      <c r="H655" s="7" t="s">
        <v>461</v>
      </c>
      <c r="I655" s="251"/>
      <c r="J655" s="251"/>
      <c r="K655" s="38">
        <v>867882</v>
      </c>
      <c r="L655" s="564" t="s">
        <v>253</v>
      </c>
      <c r="M655" s="564" t="s">
        <v>365</v>
      </c>
      <c r="N655" s="52" t="str">
        <f>IF(AND('331-CT'!$E$7=TH!H655,OR(L655="331",M655="331")),"331",IF(AND(OR(L655="131",M655="131"),H655='131-CT'!$E$7),"131",""))</f>
        <v/>
      </c>
      <c r="O655" s="89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09"/>
      <c r="AC655" s="555" t="str">
        <f>IF(VLOOKUP(H655,DS_131,1,0)&lt;&gt;"","","x")</f>
        <v/>
      </c>
      <c r="AD655" s="555"/>
      <c r="AE655" s="555"/>
    </row>
    <row r="656" spans="1:31" s="211" customFormat="1" ht="15.75" customHeight="1">
      <c r="A656" s="204">
        <f>IF(B656&lt;&gt;"",IF(AND(B656&gt;=_TM1,B656&lt;=_TM2,OR(TH!L656="1111",TH!M656="1111")),TH!D656,""),"")</f>
        <v>0</v>
      </c>
      <c r="B656" s="36">
        <f t="shared" ref="B656" si="209">IF(C656&lt;&gt;"",MONTH(C656),"")</f>
        <v>11</v>
      </c>
      <c r="C656" s="184">
        <f t="shared" ref="C656" si="210">E656</f>
        <v>41963</v>
      </c>
      <c r="D656" s="184"/>
      <c r="E656" s="191">
        <v>41963</v>
      </c>
      <c r="F656" s="192" t="s">
        <v>894</v>
      </c>
      <c r="G656" s="463" t="s">
        <v>788</v>
      </c>
      <c r="H656" s="7" t="s">
        <v>461</v>
      </c>
      <c r="I656" s="251"/>
      <c r="J656" s="251"/>
      <c r="K656" s="38">
        <v>9546702</v>
      </c>
      <c r="L656" s="564" t="s">
        <v>47</v>
      </c>
      <c r="M656" s="564" t="s">
        <v>253</v>
      </c>
      <c r="N656" s="52" t="str">
        <f>IF(AND('331-CT'!$E$7=TH!H656,OR(L656="331",M656="331")),"331",IF(AND(OR(L656="131",M656="131"),H656='131-CT'!$E$7),"131",""))</f>
        <v/>
      </c>
      <c r="O656" s="89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09"/>
      <c r="AC656" s="555" t="str">
        <f>IF(VLOOKUP(H656,DS_131,1,0)&lt;&gt;"","","x")</f>
        <v/>
      </c>
      <c r="AD656" s="555"/>
      <c r="AE656" s="555"/>
    </row>
    <row r="657" spans="1:31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200"/>
        <v>11</v>
      </c>
      <c r="C657" s="184">
        <f t="shared" si="201"/>
        <v>41963</v>
      </c>
      <c r="D657" s="184" t="s">
        <v>943</v>
      </c>
      <c r="E657" s="184">
        <v>41963</v>
      </c>
      <c r="F657" s="189" t="s">
        <v>789</v>
      </c>
      <c r="G657" s="565" t="s">
        <v>790</v>
      </c>
      <c r="H657" s="193" t="s">
        <v>582</v>
      </c>
      <c r="I657" s="251">
        <v>3030</v>
      </c>
      <c r="J657" s="251">
        <v>7450</v>
      </c>
      <c r="K657" s="563">
        <f>ROUND(I657*J657,0)</f>
        <v>22573500</v>
      </c>
      <c r="L657" s="564" t="s">
        <v>253</v>
      </c>
      <c r="M657" s="564" t="s">
        <v>177</v>
      </c>
      <c r="N657" s="52" t="str">
        <f>IF(AND('331-CT'!$E$7=TH!H657,OR(L657="331",M657="331")),"331",IF(AND(OR(L657="131",M657="131"),H657='131-CT'!$E$7),"131",""))</f>
        <v/>
      </c>
      <c r="O657" s="89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09"/>
      <c r="AC657" s="211" t="str">
        <f>IF(F657=VLOOKUP(F657,NXT!$C$12:$C$345,1,0),"","x")</f>
        <v/>
      </c>
      <c r="AD657" s="555"/>
      <c r="AE657" s="555"/>
    </row>
    <row r="658" spans="1:31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200"/>
        <v>11</v>
      </c>
      <c r="C658" s="184">
        <f t="shared" si="201"/>
        <v>41963</v>
      </c>
      <c r="D658" s="184" t="s">
        <v>943</v>
      </c>
      <c r="E658" s="191">
        <v>41963</v>
      </c>
      <c r="F658" s="192" t="s">
        <v>789</v>
      </c>
      <c r="G658" s="463" t="s">
        <v>790</v>
      </c>
      <c r="H658" s="193" t="s">
        <v>582</v>
      </c>
      <c r="I658" s="251">
        <v>219</v>
      </c>
      <c r="J658" s="251">
        <v>7450</v>
      </c>
      <c r="K658" s="563">
        <f>ROUND(I658*J658,0)</f>
        <v>1631550</v>
      </c>
      <c r="L658" s="564" t="s">
        <v>253</v>
      </c>
      <c r="M658" s="564" t="s">
        <v>177</v>
      </c>
      <c r="N658" s="52" t="str">
        <f>IF(AND('331-CT'!$E$7=TH!H658,OR(L658="331",M658="331")),"331",IF(AND(OR(L658="131",M658="131"),H658='131-CT'!$E$7),"131",""))</f>
        <v/>
      </c>
      <c r="O658" s="89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09"/>
      <c r="AC658" s="211" t="str">
        <f>IF(F658=VLOOKUP(F658,NXT!$C$12:$C$345,1,0),"","x")</f>
        <v/>
      </c>
      <c r="AD658" s="555"/>
      <c r="AE658" s="555"/>
    </row>
    <row r="659" spans="1:31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200"/>
        <v>11</v>
      </c>
      <c r="C659" s="184">
        <f t="shared" si="201"/>
        <v>41963</v>
      </c>
      <c r="D659" s="184" t="s">
        <v>943</v>
      </c>
      <c r="E659" s="191">
        <v>41963</v>
      </c>
      <c r="F659" s="192" t="s">
        <v>789</v>
      </c>
      <c r="G659" s="463" t="s">
        <v>790</v>
      </c>
      <c r="H659" s="193" t="s">
        <v>582</v>
      </c>
      <c r="I659" s="251">
        <v>3167</v>
      </c>
      <c r="J659" s="251">
        <v>7450</v>
      </c>
      <c r="K659" s="563">
        <f>ROUND(I659*J659,0)</f>
        <v>23594150</v>
      </c>
      <c r="L659" s="564" t="s">
        <v>253</v>
      </c>
      <c r="M659" s="564" t="s">
        <v>177</v>
      </c>
      <c r="N659" s="52" t="str">
        <f>IF(AND('331-CT'!$E$7=TH!H659,OR(L659="331",M659="331")),"331",IF(AND(OR(L659="131",M659="131"),H659='131-CT'!$E$7),"131",""))</f>
        <v/>
      </c>
      <c r="O659" s="89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09"/>
      <c r="AC659" s="211" t="str">
        <f>IF(F659=VLOOKUP(F659,NXT!$C$12:$C$345,1,0),"","x")</f>
        <v/>
      </c>
      <c r="AD659" s="555"/>
      <c r="AE659" s="555"/>
    </row>
    <row r="660" spans="1:31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200"/>
        <v>11</v>
      </c>
      <c r="C660" s="184">
        <f t="shared" si="201"/>
        <v>41963</v>
      </c>
      <c r="D660" s="184" t="s">
        <v>943</v>
      </c>
      <c r="E660" s="191">
        <v>41963</v>
      </c>
      <c r="F660" s="192" t="s">
        <v>420</v>
      </c>
      <c r="G660" s="463" t="s">
        <v>790</v>
      </c>
      <c r="H660" s="193" t="s">
        <v>582</v>
      </c>
      <c r="I660" s="251"/>
      <c r="J660" s="251"/>
      <c r="K660" s="38">
        <v>4779920</v>
      </c>
      <c r="L660" s="564" t="s">
        <v>253</v>
      </c>
      <c r="M660" s="564" t="s">
        <v>365</v>
      </c>
      <c r="N660" s="52" t="str">
        <f>IF(AND('331-CT'!$E$7=TH!H660,OR(L660="331",M660="331")),"331",IF(AND(OR(L660="131",M660="131"),H660='131-CT'!$E$7),"131",""))</f>
        <v/>
      </c>
      <c r="O660" s="89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09"/>
      <c r="AC660" s="555" t="str">
        <f>IF(VLOOKUP(H660,DS_131,1,0)&lt;&gt;"","","x")</f>
        <v/>
      </c>
      <c r="AD660" s="555"/>
      <c r="AE660" s="555"/>
    </row>
    <row r="661" spans="1:31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200"/>
        <v>11</v>
      </c>
      <c r="C661" s="184">
        <f t="shared" si="201"/>
        <v>41964</v>
      </c>
      <c r="D661" s="184" t="s">
        <v>944</v>
      </c>
      <c r="E661" s="191">
        <v>41964</v>
      </c>
      <c r="F661" s="189" t="s">
        <v>1206</v>
      </c>
      <c r="G661" s="463" t="s">
        <v>791</v>
      </c>
      <c r="H661" s="7" t="s">
        <v>906</v>
      </c>
      <c r="I661" s="251">
        <v>780</v>
      </c>
      <c r="J661" s="251">
        <v>14300</v>
      </c>
      <c r="K661" s="563">
        <f>ROUND(I661*J661,0)</f>
        <v>11154000</v>
      </c>
      <c r="L661" s="564" t="s">
        <v>253</v>
      </c>
      <c r="M661" s="564" t="s">
        <v>177</v>
      </c>
      <c r="N661" s="52" t="str">
        <f>IF(AND('331-CT'!$E$7=TH!H661,OR(L661="331",M661="331")),"331",IF(AND(OR(L661="131",M661="131"),H661='131-CT'!$E$7),"131",""))</f>
        <v/>
      </c>
      <c r="O661" s="89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09"/>
      <c r="AC661" s="211" t="str">
        <f>IF(F661=VLOOKUP(F661,NXT!$C$12:$C$345,1,0),"","x")</f>
        <v/>
      </c>
    </row>
    <row r="662" spans="1:31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200"/>
        <v>11</v>
      </c>
      <c r="C662" s="184">
        <f t="shared" si="201"/>
        <v>41964</v>
      </c>
      <c r="D662" s="184" t="s">
        <v>944</v>
      </c>
      <c r="E662" s="191">
        <v>41964</v>
      </c>
      <c r="F662" s="40" t="s">
        <v>445</v>
      </c>
      <c r="G662" s="463" t="s">
        <v>791</v>
      </c>
      <c r="H662" s="7" t="s">
        <v>906</v>
      </c>
      <c r="I662" s="251">
        <v>1600</v>
      </c>
      <c r="J662" s="251">
        <v>1500</v>
      </c>
      <c r="K662" s="563">
        <f>ROUND(I662*J662,0)</f>
        <v>2400000</v>
      </c>
      <c r="L662" s="564" t="s">
        <v>253</v>
      </c>
      <c r="M662" s="564" t="s">
        <v>177</v>
      </c>
      <c r="N662" s="52" t="str">
        <f>IF(AND('331-CT'!$E$7=TH!H662,OR(L662="331",M662="331")),"331",IF(AND(OR(L662="131",M662="131"),H662='131-CT'!$E$7),"131",""))</f>
        <v/>
      </c>
      <c r="O662" s="89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09"/>
      <c r="AC662" s="211" t="str">
        <f>IF(F662=VLOOKUP(F662,NXT!$C$12:$C$345,1,0),"","x")</f>
        <v/>
      </c>
    </row>
    <row r="663" spans="1:31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200"/>
        <v>11</v>
      </c>
      <c r="C663" s="184">
        <f t="shared" si="201"/>
        <v>41964</v>
      </c>
      <c r="D663" s="184" t="s">
        <v>944</v>
      </c>
      <c r="E663" s="191">
        <v>41964</v>
      </c>
      <c r="F663" s="192" t="s">
        <v>420</v>
      </c>
      <c r="G663" s="463" t="s">
        <v>791</v>
      </c>
      <c r="H663" s="7" t="s">
        <v>906</v>
      </c>
      <c r="I663" s="251"/>
      <c r="J663" s="251"/>
      <c r="K663" s="563">
        <v>1355400</v>
      </c>
      <c r="L663" s="564" t="s">
        <v>253</v>
      </c>
      <c r="M663" s="564" t="s">
        <v>365</v>
      </c>
      <c r="N663" s="52" t="str">
        <f>IF(AND('331-CT'!$E$7=TH!H663,OR(L663="331",M663="331")),"331",IF(AND(OR(L663="131",M663="131"),H663='131-CT'!$E$7),"131",""))</f>
        <v/>
      </c>
      <c r="O663" s="89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09"/>
      <c r="AC663" s="555" t="str">
        <f>IF(VLOOKUP(H663,DS_131,1,0)&lt;&gt;"","","x")</f>
        <v/>
      </c>
    </row>
    <row r="664" spans="1:31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200"/>
        <v>11</v>
      </c>
      <c r="C664" s="184">
        <f t="shared" si="201"/>
        <v>41967</v>
      </c>
      <c r="D664" s="184" t="s">
        <v>945</v>
      </c>
      <c r="E664" s="191">
        <v>41967</v>
      </c>
      <c r="F664" s="189" t="s">
        <v>566</v>
      </c>
      <c r="G664" s="463" t="s">
        <v>792</v>
      </c>
      <c r="H664" s="7" t="s">
        <v>438</v>
      </c>
      <c r="I664" s="251">
        <v>511</v>
      </c>
      <c r="J664" s="251">
        <v>10500</v>
      </c>
      <c r="K664" s="563">
        <f>ROUND(I664*J664,0)</f>
        <v>5365500</v>
      </c>
      <c r="L664" s="564" t="s">
        <v>253</v>
      </c>
      <c r="M664" s="564" t="s">
        <v>177</v>
      </c>
      <c r="N664" s="52" t="str">
        <f>IF(AND('331-CT'!$E$7=TH!H664,OR(L664="331",M664="331")),"331",IF(AND(OR(L664="131",M664="131"),H664='131-CT'!$E$7),"131",""))</f>
        <v/>
      </c>
      <c r="O664" s="89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09"/>
      <c r="AC664" s="211" t="str">
        <f>IF(F664=VLOOKUP(F664,NXT!$C$12:$C$345,1,0),"","x")</f>
        <v/>
      </c>
    </row>
    <row r="665" spans="1:31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200"/>
        <v>11</v>
      </c>
      <c r="C665" s="184">
        <f t="shared" si="201"/>
        <v>41967</v>
      </c>
      <c r="D665" s="184" t="s">
        <v>945</v>
      </c>
      <c r="E665" s="191">
        <v>41967</v>
      </c>
      <c r="F665" s="192" t="s">
        <v>420</v>
      </c>
      <c r="G665" s="463" t="s">
        <v>792</v>
      </c>
      <c r="H665" s="7" t="s">
        <v>438</v>
      </c>
      <c r="I665" s="251"/>
      <c r="J665" s="251"/>
      <c r="K665" s="563">
        <v>536550</v>
      </c>
      <c r="L665" s="564" t="s">
        <v>253</v>
      </c>
      <c r="M665" s="564" t="s">
        <v>365</v>
      </c>
      <c r="N665" s="52" t="str">
        <f>IF(AND('331-CT'!$E$7=TH!H665,OR(L665="331",M665="331")),"331",IF(AND(OR(L665="131",M665="131"),H665='131-CT'!$E$7),"131",""))</f>
        <v/>
      </c>
      <c r="O665" s="89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09"/>
      <c r="AC665" s="555" t="str">
        <f>IF(VLOOKUP(H665,DS_131,1,0)&lt;&gt;"","","x")</f>
        <v/>
      </c>
    </row>
    <row r="666" spans="1:31" s="211" customFormat="1" ht="15.75" customHeight="1">
      <c r="A666" s="204">
        <f>IF(B666&lt;&gt;"",IF(AND(B666&gt;=_TM1,B666&lt;=_TM2,OR(TH!L666="1111",TH!M666="1111")),TH!D666,""),"")</f>
        <v>0</v>
      </c>
      <c r="B666" s="36">
        <f t="shared" ref="B666" si="211">IF(C666&lt;&gt;"",MONTH(C666),"")</f>
        <v>11</v>
      </c>
      <c r="C666" s="184">
        <f t="shared" ref="C666" si="212">E666</f>
        <v>41967</v>
      </c>
      <c r="D666" s="184"/>
      <c r="E666" s="191">
        <v>41967</v>
      </c>
      <c r="F666" s="192" t="s">
        <v>894</v>
      </c>
      <c r="G666" s="463" t="s">
        <v>792</v>
      </c>
      <c r="H666" s="7" t="s">
        <v>438</v>
      </c>
      <c r="I666" s="251"/>
      <c r="J666" s="251"/>
      <c r="K666" s="563">
        <v>5902050</v>
      </c>
      <c r="L666" s="564" t="s">
        <v>47</v>
      </c>
      <c r="M666" s="564" t="s">
        <v>253</v>
      </c>
      <c r="N666" s="52" t="str">
        <f>IF(AND('331-CT'!$E$7=TH!H666,OR(L666="331",M666="331")),"331",IF(AND(OR(L666="131",M666="131"),H666='131-CT'!$E$7),"131",""))</f>
        <v/>
      </c>
      <c r="O666" s="89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09"/>
      <c r="AC666" s="555" t="str">
        <f>IF(VLOOKUP(H666,DS_131,1,0)&lt;&gt;"","","x")</f>
        <v/>
      </c>
    </row>
    <row r="667" spans="1:31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200"/>
        <v>11</v>
      </c>
      <c r="C667" s="184">
        <f t="shared" si="201"/>
        <v>41968</v>
      </c>
      <c r="D667" s="184" t="s">
        <v>946</v>
      </c>
      <c r="E667" s="191">
        <v>41968</v>
      </c>
      <c r="F667" s="40" t="s">
        <v>793</v>
      </c>
      <c r="G667" s="463" t="s">
        <v>794</v>
      </c>
      <c r="H667" s="7" t="s">
        <v>582</v>
      </c>
      <c r="I667" s="251">
        <v>3160</v>
      </c>
      <c r="J667" s="251">
        <v>7450</v>
      </c>
      <c r="K667" s="563">
        <f>ROUND(I667*J667,0)</f>
        <v>23542000</v>
      </c>
      <c r="L667" s="564" t="s">
        <v>253</v>
      </c>
      <c r="M667" s="564" t="s">
        <v>177</v>
      </c>
      <c r="N667" s="52" t="str">
        <f>IF(AND('331-CT'!$E$7=TH!H667,OR(L667="331",M667="331")),"331",IF(AND(OR(L667="131",M667="131"),H667='131-CT'!$E$7),"131",""))</f>
        <v/>
      </c>
      <c r="O667" s="89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09"/>
      <c r="AC667" s="211" t="str">
        <f>IF(F667=VLOOKUP(F667,NXT!$C$12:$C$345,1,0),"","x")</f>
        <v/>
      </c>
    </row>
    <row r="668" spans="1:31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200"/>
        <v>11</v>
      </c>
      <c r="C668" s="184">
        <f t="shared" si="201"/>
        <v>41968</v>
      </c>
      <c r="D668" s="184" t="s">
        <v>946</v>
      </c>
      <c r="E668" s="191">
        <v>41968</v>
      </c>
      <c r="F668" s="192" t="s">
        <v>420</v>
      </c>
      <c r="G668" s="463" t="s">
        <v>794</v>
      </c>
      <c r="H668" s="7" t="s">
        <v>582</v>
      </c>
      <c r="I668" s="251"/>
      <c r="J668" s="251"/>
      <c r="K668" s="563">
        <v>2354200</v>
      </c>
      <c r="L668" s="564" t="s">
        <v>253</v>
      </c>
      <c r="M668" s="564" t="s">
        <v>365</v>
      </c>
      <c r="N668" s="52" t="str">
        <f>IF(AND('331-CT'!$E$7=TH!H668,OR(L668="331",M668="331")),"331",IF(AND(OR(L668="131",M668="131"),H668='131-CT'!$E$7),"131",""))</f>
        <v/>
      </c>
      <c r="O668" s="89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09"/>
      <c r="AC668" s="555" t="str">
        <f>IF(VLOOKUP(H668,DS_131,1,0)&lt;&gt;"","","x")</f>
        <v/>
      </c>
    </row>
    <row r="669" spans="1:31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200"/>
        <v>11</v>
      </c>
      <c r="C669" s="184">
        <f t="shared" si="201"/>
        <v>41968</v>
      </c>
      <c r="D669" s="184" t="s">
        <v>947</v>
      </c>
      <c r="E669" s="191">
        <v>41968</v>
      </c>
      <c r="F669" s="189" t="s">
        <v>722</v>
      </c>
      <c r="G669" s="463" t="s">
        <v>795</v>
      </c>
      <c r="H669" s="7" t="s">
        <v>684</v>
      </c>
      <c r="I669" s="251">
        <v>33</v>
      </c>
      <c r="J669" s="251">
        <v>30000</v>
      </c>
      <c r="K669" s="563">
        <f>ROUND(I669*J669,0)</f>
        <v>990000</v>
      </c>
      <c r="L669" s="564" t="s">
        <v>253</v>
      </c>
      <c r="M669" s="564" t="s">
        <v>177</v>
      </c>
      <c r="N669" s="52" t="str">
        <f>IF(AND('331-CT'!$E$7=TH!H669,OR(L669="331",M669="331")),"331",IF(AND(OR(L669="131",M669="131"),H669='131-CT'!$E$7),"131",""))</f>
        <v/>
      </c>
      <c r="O669" s="89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09"/>
      <c r="AC669" s="211" t="str">
        <f>IF(F669=VLOOKUP(F669,NXT!$C$12:$C$345,1,0),"","x")</f>
        <v/>
      </c>
    </row>
    <row r="670" spans="1:31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200"/>
        <v>11</v>
      </c>
      <c r="C670" s="184">
        <f t="shared" si="201"/>
        <v>41968</v>
      </c>
      <c r="D670" s="184" t="s">
        <v>947</v>
      </c>
      <c r="E670" s="191">
        <v>41968</v>
      </c>
      <c r="F670" s="40" t="s">
        <v>771</v>
      </c>
      <c r="G670" s="463" t="s">
        <v>795</v>
      </c>
      <c r="H670" s="7" t="s">
        <v>684</v>
      </c>
      <c r="I670" s="251">
        <v>56</v>
      </c>
      <c r="J670" s="251">
        <v>31500</v>
      </c>
      <c r="K670" s="563">
        <f>ROUND(I670*J670,0)</f>
        <v>1764000</v>
      </c>
      <c r="L670" s="564" t="s">
        <v>253</v>
      </c>
      <c r="M670" s="564" t="s">
        <v>177</v>
      </c>
      <c r="N670" s="52" t="str">
        <f>IF(AND('331-CT'!$E$7=TH!H670,OR(L670="331",M670="331")),"331",IF(AND(OR(L670="131",M670="131"),H670='131-CT'!$E$7),"131",""))</f>
        <v/>
      </c>
      <c r="O670" s="89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09"/>
      <c r="AC670" s="211" t="str">
        <f>IF(F670=VLOOKUP(F670,NXT!$C$12:$C$345,1,0),"","x")</f>
        <v/>
      </c>
    </row>
    <row r="671" spans="1:31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200"/>
        <v>11</v>
      </c>
      <c r="C671" s="184">
        <f t="shared" si="201"/>
        <v>41968</v>
      </c>
      <c r="D671" s="184" t="s">
        <v>947</v>
      </c>
      <c r="E671" s="191">
        <v>41968</v>
      </c>
      <c r="F671" s="192" t="s">
        <v>746</v>
      </c>
      <c r="G671" s="463" t="s">
        <v>795</v>
      </c>
      <c r="H671" s="193" t="s">
        <v>684</v>
      </c>
      <c r="I671" s="251">
        <v>178</v>
      </c>
      <c r="J671" s="251">
        <v>1440</v>
      </c>
      <c r="K671" s="563">
        <f>ROUND(I671*J671,0)</f>
        <v>256320</v>
      </c>
      <c r="L671" s="564" t="s">
        <v>253</v>
      </c>
      <c r="M671" s="564" t="s">
        <v>177</v>
      </c>
      <c r="N671" s="52" t="str">
        <f>IF(AND('331-CT'!$E$7=TH!H671,OR(L671="331",M671="331")),"331",IF(AND(OR(L671="131",M671="131"),H671='131-CT'!$E$7),"131",""))</f>
        <v/>
      </c>
      <c r="O671" s="89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09"/>
      <c r="AC671" s="211" t="str">
        <f>IF(F671=VLOOKUP(F671,NXT!$C$12:$C$345,1,0),"","x")</f>
        <v/>
      </c>
      <c r="AE671" s="555"/>
    </row>
    <row r="672" spans="1:31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200"/>
        <v>11</v>
      </c>
      <c r="C672" s="184">
        <f t="shared" si="201"/>
        <v>41968</v>
      </c>
      <c r="D672" s="184" t="s">
        <v>947</v>
      </c>
      <c r="E672" s="191">
        <v>41968</v>
      </c>
      <c r="F672" s="192" t="s">
        <v>420</v>
      </c>
      <c r="G672" s="463" t="s">
        <v>795</v>
      </c>
      <c r="H672" s="193" t="s">
        <v>684</v>
      </c>
      <c r="I672" s="251"/>
      <c r="J672" s="251"/>
      <c r="K672" s="38">
        <v>301032</v>
      </c>
      <c r="L672" s="564" t="s">
        <v>253</v>
      </c>
      <c r="M672" s="564" t="s">
        <v>365</v>
      </c>
      <c r="N672" s="52" t="str">
        <f>IF(AND('331-CT'!$E$7=TH!H672,OR(L672="331",M672="331")),"331",IF(AND(OR(L672="131",M672="131"),H672='131-CT'!$E$7),"131",""))</f>
        <v/>
      </c>
      <c r="O672" s="89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09"/>
      <c r="AC672" s="555" t="str">
        <f>IF(VLOOKUP(H672,DS_131,1,0)&lt;&gt;"","","x")</f>
        <v/>
      </c>
      <c r="AD672" s="555"/>
      <c r="AE672" s="555"/>
    </row>
    <row r="673" spans="1:31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200"/>
        <v>11</v>
      </c>
      <c r="C673" s="184">
        <f t="shared" si="201"/>
        <v>41970</v>
      </c>
      <c r="D673" s="184" t="s">
        <v>948</v>
      </c>
      <c r="E673" s="191">
        <v>41970</v>
      </c>
      <c r="F673" s="189" t="s">
        <v>796</v>
      </c>
      <c r="G673" s="463" t="s">
        <v>797</v>
      </c>
      <c r="H673" s="7" t="s">
        <v>798</v>
      </c>
      <c r="I673" s="252">
        <v>100</v>
      </c>
      <c r="J673" s="252">
        <v>9173</v>
      </c>
      <c r="K673" s="563">
        <f>ROUND(I673*J673,0)</f>
        <v>917300</v>
      </c>
      <c r="L673" s="564" t="s">
        <v>253</v>
      </c>
      <c r="M673" s="564" t="s">
        <v>177</v>
      </c>
      <c r="N673" s="52" t="str">
        <f>IF(AND('331-CT'!$E$7=TH!H673,OR(L673="331",M673="331")),"331",IF(AND(OR(L673="131",M673="131"),H673='131-CT'!$E$7),"131",""))</f>
        <v/>
      </c>
      <c r="O673" s="89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09"/>
      <c r="AC673" s="211" t="str">
        <f>IF(F673=VLOOKUP(F673,NXT!$C$12:$C$345,1,0),"","x")</f>
        <v/>
      </c>
      <c r="AD673" s="555"/>
      <c r="AE673" s="555"/>
    </row>
    <row r="674" spans="1:31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200"/>
        <v>11</v>
      </c>
      <c r="C674" s="184">
        <f t="shared" si="201"/>
        <v>41970</v>
      </c>
      <c r="D674" s="184" t="s">
        <v>948</v>
      </c>
      <c r="E674" s="191">
        <v>41970</v>
      </c>
      <c r="F674" s="192" t="s">
        <v>420</v>
      </c>
      <c r="G674" s="463" t="s">
        <v>797</v>
      </c>
      <c r="H674" s="7" t="s">
        <v>798</v>
      </c>
      <c r="I674" s="251"/>
      <c r="J674" s="251"/>
      <c r="K674" s="563">
        <v>91730</v>
      </c>
      <c r="L674" s="564" t="s">
        <v>253</v>
      </c>
      <c r="M674" s="564" t="s">
        <v>365</v>
      </c>
      <c r="N674" s="52" t="str">
        <f>IF(AND('331-CT'!$E$7=TH!H674,OR(L674="331",M674="331")),"331",IF(AND(OR(L674="131",M674="131"),H674='131-CT'!$E$7),"131",""))</f>
        <v/>
      </c>
      <c r="O674" s="89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09"/>
      <c r="AC674" s="555" t="str">
        <f>IF(VLOOKUP(H674,DS_131,1,0)&lt;&gt;"","","x")</f>
        <v/>
      </c>
      <c r="AD674" s="555"/>
      <c r="AE674" s="555"/>
    </row>
    <row r="675" spans="1:31" s="211" customFormat="1" ht="15.75" customHeight="1">
      <c r="A675" s="204">
        <f>IF(B675&lt;&gt;"",IF(AND(B675&gt;=_TM1,B675&lt;=_TM2,OR(TH!L675="1111",TH!M675="1111")),TH!D675,""),"")</f>
        <v>0</v>
      </c>
      <c r="B675" s="36">
        <f t="shared" ref="B675" si="213">IF(C675&lt;&gt;"",MONTH(C675),"")</f>
        <v>11</v>
      </c>
      <c r="C675" s="184">
        <f t="shared" ref="C675" si="214">E675</f>
        <v>41970</v>
      </c>
      <c r="D675" s="184"/>
      <c r="E675" s="191">
        <v>41970</v>
      </c>
      <c r="F675" s="192" t="s">
        <v>894</v>
      </c>
      <c r="G675" s="463" t="s">
        <v>797</v>
      </c>
      <c r="H675" s="7" t="s">
        <v>798</v>
      </c>
      <c r="I675" s="251"/>
      <c r="J675" s="251"/>
      <c r="K675" s="563">
        <v>1009030</v>
      </c>
      <c r="L675" s="564" t="s">
        <v>47</v>
      </c>
      <c r="M675" s="564" t="s">
        <v>253</v>
      </c>
      <c r="N675" s="52" t="str">
        <f>IF(AND('331-CT'!$E$7=TH!H675,OR(L675="331",M675="331")),"331",IF(AND(OR(L675="131",M675="131"),H675='131-CT'!$E$7),"131",""))</f>
        <v/>
      </c>
      <c r="O675" s="89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09"/>
      <c r="AC675" s="555" t="str">
        <f>IF(VLOOKUP(H675,DS_131,1,0)&lt;&gt;"","","x")</f>
        <v/>
      </c>
      <c r="AD675" s="555"/>
      <c r="AE675" s="555"/>
    </row>
    <row r="676" spans="1:31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200"/>
        <v>11</v>
      </c>
      <c r="C676" s="184">
        <f t="shared" si="201"/>
        <v>41970</v>
      </c>
      <c r="D676" s="184" t="s">
        <v>949</v>
      </c>
      <c r="E676" s="191">
        <v>41970</v>
      </c>
      <c r="F676" s="189" t="s">
        <v>508</v>
      </c>
      <c r="G676" s="463" t="s">
        <v>799</v>
      </c>
      <c r="H676" s="7" t="s">
        <v>907</v>
      </c>
      <c r="I676" s="251">
        <v>333</v>
      </c>
      <c r="J676" s="251">
        <v>9400</v>
      </c>
      <c r="K676" s="563">
        <f>ROUND(I676*J676,0)</f>
        <v>3130200</v>
      </c>
      <c r="L676" s="564" t="s">
        <v>253</v>
      </c>
      <c r="M676" s="564" t="s">
        <v>177</v>
      </c>
      <c r="N676" s="52" t="str">
        <f>IF(AND('331-CT'!$E$7=TH!H676,OR(L676="331",M676="331")),"331",IF(AND(OR(L676="131",M676="131"),H676='131-CT'!$E$7),"131",""))</f>
        <v/>
      </c>
      <c r="O676" s="89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09"/>
      <c r="AC676" s="211" t="str">
        <f>IF(F676=VLOOKUP(F676,NXT!$C$12:$C$345,1,0),"","x")</f>
        <v/>
      </c>
      <c r="AE676" s="555"/>
    </row>
    <row r="677" spans="1:31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200"/>
        <v>11</v>
      </c>
      <c r="C677" s="184">
        <f t="shared" si="201"/>
        <v>41970</v>
      </c>
      <c r="D677" s="184" t="s">
        <v>949</v>
      </c>
      <c r="E677" s="191">
        <v>41970</v>
      </c>
      <c r="F677" s="189" t="s">
        <v>487</v>
      </c>
      <c r="G677" s="463" t="s">
        <v>799</v>
      </c>
      <c r="H677" s="7" t="s">
        <v>907</v>
      </c>
      <c r="I677" s="252">
        <v>219</v>
      </c>
      <c r="J677" s="252">
        <v>6400</v>
      </c>
      <c r="K677" s="563">
        <f>ROUND(I677*J677,0)</f>
        <v>1401600</v>
      </c>
      <c r="L677" s="564" t="s">
        <v>253</v>
      </c>
      <c r="M677" s="564" t="s">
        <v>177</v>
      </c>
      <c r="N677" s="52" t="str">
        <f>IF(AND('331-CT'!$E$7=TH!H677,OR(L677="331",M677="331")),"331",IF(AND(OR(L677="131",M677="131"),H677='131-CT'!$E$7),"131",""))</f>
        <v/>
      </c>
      <c r="O677" s="89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09"/>
      <c r="AC677" s="211" t="str">
        <f>IF(F677=VLOOKUP(F677,NXT!$C$12:$C$345,1,0),"","x")</f>
        <v/>
      </c>
      <c r="AD677" s="555"/>
      <c r="AE677" s="555"/>
    </row>
    <row r="678" spans="1:31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200"/>
        <v>11</v>
      </c>
      <c r="C678" s="184">
        <f t="shared" si="201"/>
        <v>41970</v>
      </c>
      <c r="D678" s="184" t="s">
        <v>949</v>
      </c>
      <c r="E678" s="191">
        <v>41970</v>
      </c>
      <c r="F678" s="189" t="s">
        <v>486</v>
      </c>
      <c r="G678" s="463" t="s">
        <v>799</v>
      </c>
      <c r="H678" s="7" t="s">
        <v>907</v>
      </c>
      <c r="I678" s="251">
        <v>112</v>
      </c>
      <c r="J678" s="251">
        <v>9300</v>
      </c>
      <c r="K678" s="563">
        <f>ROUND(I678*J678,0)</f>
        <v>1041600</v>
      </c>
      <c r="L678" s="564" t="s">
        <v>253</v>
      </c>
      <c r="M678" s="564" t="s">
        <v>177</v>
      </c>
      <c r="N678" s="52" t="str">
        <f>IF(AND('331-CT'!$E$7=TH!H678,OR(L678="331",M678="331")),"331",IF(AND(OR(L678="131",M678="131"),H678='131-CT'!$E$7),"131",""))</f>
        <v/>
      </c>
      <c r="O678" s="89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09"/>
      <c r="AC678" s="211" t="str">
        <f>IF(F678=VLOOKUP(F678,NXT!$C$12:$C$345,1,0),"","x")</f>
        <v/>
      </c>
      <c r="AE678" s="555"/>
    </row>
    <row r="679" spans="1:31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200"/>
        <v>11</v>
      </c>
      <c r="C679" s="184">
        <f t="shared" si="201"/>
        <v>41970</v>
      </c>
      <c r="D679" s="184" t="s">
        <v>949</v>
      </c>
      <c r="E679" s="191">
        <v>41970</v>
      </c>
      <c r="F679" s="192" t="s">
        <v>420</v>
      </c>
      <c r="G679" s="463" t="s">
        <v>799</v>
      </c>
      <c r="H679" s="7" t="s">
        <v>907</v>
      </c>
      <c r="I679" s="252"/>
      <c r="J679" s="252"/>
      <c r="K679" s="38">
        <v>557340</v>
      </c>
      <c r="L679" s="564" t="s">
        <v>253</v>
      </c>
      <c r="M679" s="564" t="s">
        <v>365</v>
      </c>
      <c r="N679" s="52" t="str">
        <f>IF(AND('331-CT'!$E$7=TH!H679,OR(L679="331",M679="331")),"331",IF(AND(OR(L679="131",M679="131"),H679='131-CT'!$E$7),"131",""))</f>
        <v/>
      </c>
      <c r="O679" s="89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09"/>
      <c r="AC679" s="555" t="str">
        <f>IF(VLOOKUP(H679,DS_131,1,0)&lt;&gt;"","","x")</f>
        <v/>
      </c>
      <c r="AD679" s="555"/>
      <c r="AE679" s="555"/>
    </row>
    <row r="680" spans="1:31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200"/>
        <v>11</v>
      </c>
      <c r="C680" s="184">
        <f t="shared" si="201"/>
        <v>41970</v>
      </c>
      <c r="D680" s="184" t="s">
        <v>950</v>
      </c>
      <c r="E680" s="191">
        <v>41970</v>
      </c>
      <c r="F680" s="192" t="s">
        <v>630</v>
      </c>
      <c r="G680" s="463" t="s">
        <v>800</v>
      </c>
      <c r="H680" s="45" t="s">
        <v>469</v>
      </c>
      <c r="I680" s="251">
        <v>110</v>
      </c>
      <c r="J680" s="251">
        <v>3600</v>
      </c>
      <c r="K680" s="563">
        <f>ROUND(I680*J680,0)</f>
        <v>396000</v>
      </c>
      <c r="L680" s="564" t="s">
        <v>253</v>
      </c>
      <c r="M680" s="564" t="s">
        <v>177</v>
      </c>
      <c r="N680" s="52" t="str">
        <f>IF(AND('331-CT'!$E$7=TH!H680,OR(L680="331",M680="331")),"331",IF(AND(OR(L680="131",M680="131"),H680='131-CT'!$E$7),"131",""))</f>
        <v/>
      </c>
      <c r="O680" s="89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09"/>
      <c r="AC680" s="211" t="str">
        <f>IF(F680=VLOOKUP(F680,NXT!$C$12:$C$345,1,0),"","x")</f>
        <v/>
      </c>
      <c r="AD680" s="555"/>
      <c r="AE680" s="555"/>
    </row>
    <row r="681" spans="1:31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200"/>
        <v>11</v>
      </c>
      <c r="C681" s="184">
        <f t="shared" si="201"/>
        <v>41970</v>
      </c>
      <c r="D681" s="184" t="s">
        <v>950</v>
      </c>
      <c r="E681" s="191">
        <v>41970</v>
      </c>
      <c r="F681" s="192" t="s">
        <v>632</v>
      </c>
      <c r="G681" s="463" t="s">
        <v>800</v>
      </c>
      <c r="H681" s="45" t="s">
        <v>469</v>
      </c>
      <c r="I681" s="251">
        <v>260</v>
      </c>
      <c r="J681" s="251">
        <v>5650</v>
      </c>
      <c r="K681" s="563">
        <f>ROUND(I681*J681,0)</f>
        <v>1469000</v>
      </c>
      <c r="L681" s="564" t="s">
        <v>253</v>
      </c>
      <c r="M681" s="564" t="s">
        <v>177</v>
      </c>
      <c r="N681" s="52" t="str">
        <f>IF(AND('331-CT'!$E$7=TH!H681,OR(L681="331",M681="331")),"331",IF(AND(OR(L681="131",M681="131"),H681='131-CT'!$E$7),"131",""))</f>
        <v/>
      </c>
      <c r="O681" s="89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09"/>
      <c r="AC681" s="211" t="str">
        <f>IF(F681=VLOOKUP(F681,NXT!$C$12:$C$345,1,0),"","x")</f>
        <v/>
      </c>
      <c r="AD681" s="555"/>
      <c r="AE681" s="555"/>
    </row>
    <row r="682" spans="1:31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200"/>
        <v>11</v>
      </c>
      <c r="C682" s="184">
        <f t="shared" si="201"/>
        <v>41970</v>
      </c>
      <c r="D682" s="184" t="s">
        <v>950</v>
      </c>
      <c r="E682" s="191">
        <v>41970</v>
      </c>
      <c r="F682" s="189" t="s">
        <v>631</v>
      </c>
      <c r="G682" s="463" t="s">
        <v>800</v>
      </c>
      <c r="H682" s="7" t="s">
        <v>469</v>
      </c>
      <c r="I682" s="251">
        <v>450</v>
      </c>
      <c r="J682" s="251">
        <v>3800</v>
      </c>
      <c r="K682" s="563">
        <f>ROUND(I682*J682,0)</f>
        <v>1710000</v>
      </c>
      <c r="L682" s="564" t="s">
        <v>253</v>
      </c>
      <c r="M682" s="564" t="s">
        <v>177</v>
      </c>
      <c r="N682" s="52" t="str">
        <f>IF(AND('331-CT'!$E$7=TH!H682,OR(L682="331",M682="331")),"331",IF(AND(OR(L682="131",M682="131"),H682='131-CT'!$E$7),"131",""))</f>
        <v/>
      </c>
      <c r="O682" s="89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09"/>
      <c r="AC682" s="211" t="str">
        <f>IF(F682=VLOOKUP(F682,NXT!$C$12:$C$345,1,0),"","x")</f>
        <v/>
      </c>
      <c r="AD682" s="555"/>
    </row>
    <row r="683" spans="1:31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200"/>
        <v>11</v>
      </c>
      <c r="C683" s="184">
        <f t="shared" si="201"/>
        <v>41970</v>
      </c>
      <c r="D683" s="184" t="s">
        <v>950</v>
      </c>
      <c r="E683" s="191">
        <v>41970</v>
      </c>
      <c r="F683" s="192" t="s">
        <v>420</v>
      </c>
      <c r="G683" s="463" t="s">
        <v>800</v>
      </c>
      <c r="H683" s="7" t="s">
        <v>469</v>
      </c>
      <c r="I683" s="251"/>
      <c r="J683" s="251"/>
      <c r="K683" s="563">
        <v>357500</v>
      </c>
      <c r="L683" s="564" t="s">
        <v>253</v>
      </c>
      <c r="M683" s="564" t="s">
        <v>365</v>
      </c>
      <c r="N683" s="52" t="str">
        <f>IF(AND('331-CT'!$E$7=TH!H683,OR(L683="331",M683="331")),"331",IF(AND(OR(L683="131",M683="131"),H683='131-CT'!$E$7),"131",""))</f>
        <v/>
      </c>
      <c r="O683" s="89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09"/>
      <c r="AC683" s="555" t="str">
        <f>IF(VLOOKUP(H683,DS_131,1,0)&lt;&gt;"","","x")</f>
        <v/>
      </c>
      <c r="AD683" s="555"/>
      <c r="AE683" s="555"/>
    </row>
    <row r="684" spans="1:31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200"/>
        <v>11</v>
      </c>
      <c r="C684" s="184">
        <f t="shared" si="201"/>
        <v>41972</v>
      </c>
      <c r="D684" s="184" t="s">
        <v>951</v>
      </c>
      <c r="E684" s="191">
        <v>41972</v>
      </c>
      <c r="F684" s="189" t="s">
        <v>670</v>
      </c>
      <c r="G684" s="463" t="s">
        <v>801</v>
      </c>
      <c r="H684" s="7" t="s">
        <v>672</v>
      </c>
      <c r="I684" s="251">
        <v>1000</v>
      </c>
      <c r="J684" s="251">
        <v>9300</v>
      </c>
      <c r="K684" s="563">
        <f>ROUND(I684*J684,0)</f>
        <v>9300000</v>
      </c>
      <c r="L684" s="564" t="s">
        <v>253</v>
      </c>
      <c r="M684" s="564" t="s">
        <v>177</v>
      </c>
      <c r="N684" s="52" t="str">
        <f>IF(AND('331-CT'!$E$7=TH!H684,OR(L684="331",M684="331")),"331",IF(AND(OR(L684="131",M684="131"),H684='131-CT'!$E$7),"131",""))</f>
        <v/>
      </c>
      <c r="O684" s="89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09"/>
      <c r="AC684" s="211" t="str">
        <f>IF(F684=VLOOKUP(F684,NXT!$C$12:$C$345,1,0),"","x")</f>
        <v/>
      </c>
      <c r="AE684" s="555"/>
    </row>
    <row r="685" spans="1:31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200"/>
        <v>11</v>
      </c>
      <c r="C685" s="184">
        <f t="shared" si="201"/>
        <v>41972</v>
      </c>
      <c r="D685" s="184" t="s">
        <v>951</v>
      </c>
      <c r="E685" s="191">
        <v>41972</v>
      </c>
      <c r="F685" s="192" t="s">
        <v>420</v>
      </c>
      <c r="G685" s="463" t="s">
        <v>801</v>
      </c>
      <c r="H685" s="7" t="s">
        <v>672</v>
      </c>
      <c r="I685" s="251"/>
      <c r="J685" s="251"/>
      <c r="K685" s="563">
        <v>930000</v>
      </c>
      <c r="L685" s="564" t="s">
        <v>253</v>
      </c>
      <c r="M685" s="564" t="s">
        <v>365</v>
      </c>
      <c r="N685" s="52" t="str">
        <f>IF(AND('331-CT'!$E$7=TH!H685,OR(L685="331",M685="331")),"331",IF(AND(OR(L685="131",M685="131"),H685='131-CT'!$E$7),"131",""))</f>
        <v/>
      </c>
      <c r="O685" s="89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09"/>
      <c r="AC685" s="555" t="str">
        <f>IF(VLOOKUP(H685,DS_131,1,0)&lt;&gt;"","","x")</f>
        <v/>
      </c>
      <c r="AD685" s="555"/>
      <c r="AE685" s="555"/>
    </row>
    <row r="686" spans="1:31" s="211" customFormat="1" ht="15.75" customHeight="1">
      <c r="A686" s="204">
        <f>IF(B686&lt;&gt;"",IF(AND(B686&gt;=_TM1,B686&lt;=_TM2,OR(TH!L686="1111",TH!M686="1111")),TH!D686,""),"")</f>
        <v>0</v>
      </c>
      <c r="B686" s="36">
        <f t="shared" ref="B686" si="215">IF(C686&lt;&gt;"",MONTH(C686),"")</f>
        <v>11</v>
      </c>
      <c r="C686" s="184">
        <f t="shared" ref="C686" si="216">E686</f>
        <v>41972</v>
      </c>
      <c r="D686" s="184"/>
      <c r="E686" s="191">
        <v>41972</v>
      </c>
      <c r="F686" s="192" t="s">
        <v>894</v>
      </c>
      <c r="G686" s="463" t="s">
        <v>801</v>
      </c>
      <c r="H686" s="7" t="s">
        <v>672</v>
      </c>
      <c r="I686" s="251"/>
      <c r="J686" s="251"/>
      <c r="K686" s="563">
        <v>10230000</v>
      </c>
      <c r="L686" s="564" t="s">
        <v>47</v>
      </c>
      <c r="M686" s="564" t="s">
        <v>253</v>
      </c>
      <c r="N686" s="52" t="str">
        <f>IF(AND('331-CT'!$E$7=TH!H686,OR(L686="331",M686="331")),"331",IF(AND(OR(L686="131",M686="131"),H686='131-CT'!$E$7),"131",""))</f>
        <v/>
      </c>
      <c r="O686" s="89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09"/>
      <c r="AC686" s="555" t="str">
        <f>IF(VLOOKUP(H686,DS_131,1,0)&lt;&gt;"","","x")</f>
        <v/>
      </c>
      <c r="AD686" s="555"/>
      <c r="AE686" s="555"/>
    </row>
    <row r="687" spans="1:31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200"/>
        <v>11</v>
      </c>
      <c r="C687" s="184">
        <f t="shared" si="201"/>
        <v>41973</v>
      </c>
      <c r="D687" s="184" t="s">
        <v>952</v>
      </c>
      <c r="E687" s="191">
        <v>41973</v>
      </c>
      <c r="F687" s="189" t="s">
        <v>670</v>
      </c>
      <c r="G687" s="463" t="s">
        <v>802</v>
      </c>
      <c r="H687" s="7" t="s">
        <v>672</v>
      </c>
      <c r="I687" s="251">
        <v>987</v>
      </c>
      <c r="J687" s="251">
        <v>9300</v>
      </c>
      <c r="K687" s="563">
        <f>ROUND(I687*J687,0)</f>
        <v>9179100</v>
      </c>
      <c r="L687" s="564" t="s">
        <v>253</v>
      </c>
      <c r="M687" s="564" t="s">
        <v>177</v>
      </c>
      <c r="N687" s="52" t="str">
        <f>IF(AND('331-CT'!$E$7=TH!H687,OR(L687="331",M687="331")),"331",IF(AND(OR(L687="131",M687="131"),H687='131-CT'!$E$7),"131",""))</f>
        <v/>
      </c>
      <c r="O687" s="89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09"/>
      <c r="AC687" s="211" t="str">
        <f>IF(F687=VLOOKUP(F687,NXT!$C$12:$C$345,1,0),"","x")</f>
        <v/>
      </c>
      <c r="AE687" s="555"/>
    </row>
    <row r="688" spans="1:31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200"/>
        <v>11</v>
      </c>
      <c r="C688" s="184">
        <f t="shared" si="201"/>
        <v>41973</v>
      </c>
      <c r="D688" s="184" t="s">
        <v>952</v>
      </c>
      <c r="E688" s="191">
        <v>41973</v>
      </c>
      <c r="F688" s="189" t="s">
        <v>670</v>
      </c>
      <c r="G688" s="463" t="s">
        <v>802</v>
      </c>
      <c r="H688" s="7" t="s">
        <v>672</v>
      </c>
      <c r="I688" s="251">
        <v>226</v>
      </c>
      <c r="J688" s="251">
        <v>7100</v>
      </c>
      <c r="K688" s="563">
        <f>ROUND(I688*J688,0)</f>
        <v>1604600</v>
      </c>
      <c r="L688" s="564" t="s">
        <v>253</v>
      </c>
      <c r="M688" s="564" t="s">
        <v>177</v>
      </c>
      <c r="N688" s="52" t="str">
        <f>IF(AND('331-CT'!$E$7=TH!H688,OR(L688="331",M688="331")),"331",IF(AND(OR(L688="131",M688="131"),H688='131-CT'!$E$7),"131",""))</f>
        <v/>
      </c>
      <c r="O688" s="89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09"/>
      <c r="AC688" s="211" t="str">
        <f>IF(F688=VLOOKUP(F688,NXT!$C$12:$C$345,1,0),"","x")</f>
        <v/>
      </c>
      <c r="AD688" s="555"/>
    </row>
    <row r="689" spans="1:31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200"/>
        <v>11</v>
      </c>
      <c r="C689" s="184">
        <f t="shared" si="201"/>
        <v>41973</v>
      </c>
      <c r="D689" s="184" t="s">
        <v>952</v>
      </c>
      <c r="E689" s="191">
        <v>41973</v>
      </c>
      <c r="F689" s="192" t="s">
        <v>420</v>
      </c>
      <c r="G689" s="463" t="s">
        <v>802</v>
      </c>
      <c r="H689" s="7" t="s">
        <v>672</v>
      </c>
      <c r="I689" s="251"/>
      <c r="J689" s="251"/>
      <c r="K689" s="563">
        <v>1078370</v>
      </c>
      <c r="L689" s="564" t="s">
        <v>253</v>
      </c>
      <c r="M689" s="564" t="s">
        <v>365</v>
      </c>
      <c r="N689" s="52" t="str">
        <f>IF(AND('331-CT'!$E$7=TH!H689,OR(L689="331",M689="331")),"331",IF(AND(OR(L689="131",M689="131"),H689='131-CT'!$E$7),"131",""))</f>
        <v/>
      </c>
      <c r="O689" s="89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09"/>
      <c r="AC689" s="555" t="str">
        <f>IF(VLOOKUP(H689,DS_131,1,0)&lt;&gt;"","","x")</f>
        <v/>
      </c>
      <c r="AD689" s="555"/>
    </row>
    <row r="690" spans="1:31" s="211" customFormat="1" ht="15.75" customHeight="1">
      <c r="A690" s="204">
        <f>IF(B690&lt;&gt;"",IF(AND(B690&gt;=_TM1,B690&lt;=_TM2,OR(TH!L690="1111",TH!M690="1111")),TH!D690,""),"")</f>
        <v>0</v>
      </c>
      <c r="B690" s="36">
        <f t="shared" ref="B690" si="217">IF(C690&lt;&gt;"",MONTH(C690),"")</f>
        <v>11</v>
      </c>
      <c r="C690" s="184">
        <f t="shared" ref="C690" si="218">E690</f>
        <v>41973</v>
      </c>
      <c r="D690" s="184"/>
      <c r="E690" s="191">
        <v>41973</v>
      </c>
      <c r="F690" s="192" t="s">
        <v>894</v>
      </c>
      <c r="G690" s="463" t="s">
        <v>802</v>
      </c>
      <c r="H690" s="7" t="s">
        <v>672</v>
      </c>
      <c r="I690" s="251"/>
      <c r="J690" s="251"/>
      <c r="K690" s="563">
        <v>11862070</v>
      </c>
      <c r="L690" s="564" t="s">
        <v>47</v>
      </c>
      <c r="M690" s="564" t="s">
        <v>253</v>
      </c>
      <c r="N690" s="52" t="str">
        <f>IF(AND('331-CT'!$E$7=TH!H690,OR(L690="331",M690="331")),"331",IF(AND(OR(L690="131",M690="131"),H690='131-CT'!$E$7),"131",""))</f>
        <v/>
      </c>
      <c r="O690" s="89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09"/>
      <c r="AC690" s="555" t="str">
        <f>IF(VLOOKUP(H690,DS_131,1,0)&lt;&gt;"","","x")</f>
        <v/>
      </c>
      <c r="AD690" s="555"/>
    </row>
    <row r="691" spans="1:31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00"/>
        <v>11</v>
      </c>
      <c r="C691" s="184">
        <f t="shared" si="201"/>
        <v>41973</v>
      </c>
      <c r="D691" s="184" t="s">
        <v>953</v>
      </c>
      <c r="E691" s="191">
        <v>41973</v>
      </c>
      <c r="F691" s="189" t="s">
        <v>775</v>
      </c>
      <c r="G691" s="463" t="s">
        <v>803</v>
      </c>
      <c r="H691" s="7" t="s">
        <v>777</v>
      </c>
      <c r="I691" s="251">
        <v>1980</v>
      </c>
      <c r="J691" s="251">
        <v>6100</v>
      </c>
      <c r="K691" s="563">
        <f>ROUND(I691*J691,0)</f>
        <v>12078000</v>
      </c>
      <c r="L691" s="564" t="s">
        <v>253</v>
      </c>
      <c r="M691" s="564" t="s">
        <v>177</v>
      </c>
      <c r="N691" s="52" t="str">
        <f>IF(AND('331-CT'!$E$7=TH!H691,OR(L691="331",M691="331")),"331",IF(AND(OR(L691="131",M691="131"),H691='131-CT'!$E$7),"131",""))</f>
        <v/>
      </c>
      <c r="O691" s="89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09"/>
      <c r="AC691" s="211" t="str">
        <f>IF(F691=VLOOKUP(F691,NXT!$C$12:$C$345,1,0),"","x")</f>
        <v/>
      </c>
      <c r="AD691" s="555"/>
    </row>
    <row r="692" spans="1:31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200"/>
        <v>11</v>
      </c>
      <c r="C692" s="184">
        <f t="shared" si="201"/>
        <v>41973</v>
      </c>
      <c r="D692" s="184" t="s">
        <v>953</v>
      </c>
      <c r="E692" s="191">
        <v>41973</v>
      </c>
      <c r="F692" s="192" t="s">
        <v>420</v>
      </c>
      <c r="G692" s="463" t="s">
        <v>803</v>
      </c>
      <c r="H692" s="193" t="s">
        <v>777</v>
      </c>
      <c r="I692" s="251"/>
      <c r="J692" s="251"/>
      <c r="K692" s="38">
        <v>1207800</v>
      </c>
      <c r="L692" s="564" t="s">
        <v>253</v>
      </c>
      <c r="M692" s="564" t="s">
        <v>365</v>
      </c>
      <c r="N692" s="52" t="str">
        <f>IF(AND('331-CT'!$E$7=TH!H692,OR(L692="331",M692="331")),"331",IF(AND(OR(L692="131",M692="131"),H692='131-CT'!$E$7),"131",""))</f>
        <v/>
      </c>
      <c r="O692" s="89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09"/>
      <c r="AC692" s="555" t="str">
        <f>IF(VLOOKUP(H692,DS_131,1,0)&lt;&gt;"","","x")</f>
        <v/>
      </c>
      <c r="AD692" s="555"/>
      <c r="AE692" s="555"/>
    </row>
    <row r="693" spans="1:31" s="211" customFormat="1" ht="15.75" customHeight="1">
      <c r="A693" s="204">
        <f>IF(B693&lt;&gt;"",IF(AND(B693&gt;=_TM1,B693&lt;=_TM2,OR(TH!L693="1111",TH!M693="1111")),TH!D693,""),"")</f>
        <v>0</v>
      </c>
      <c r="B693" s="36">
        <f t="shared" ref="B693" si="219">IF(C693&lt;&gt;"",MONTH(C693),"")</f>
        <v>11</v>
      </c>
      <c r="C693" s="184">
        <f t="shared" ref="C693" si="220">E693</f>
        <v>41973</v>
      </c>
      <c r="D693" s="184"/>
      <c r="E693" s="191">
        <v>41973</v>
      </c>
      <c r="F693" s="192" t="s">
        <v>894</v>
      </c>
      <c r="G693" s="463" t="s">
        <v>803</v>
      </c>
      <c r="H693" s="193" t="s">
        <v>777</v>
      </c>
      <c r="I693" s="251"/>
      <c r="J693" s="251"/>
      <c r="K693" s="38">
        <v>13285800</v>
      </c>
      <c r="L693" s="564" t="s">
        <v>47</v>
      </c>
      <c r="M693" s="564" t="s">
        <v>253</v>
      </c>
      <c r="N693" s="52" t="str">
        <f>IF(AND('331-CT'!$E$7=TH!H693,OR(L693="331",M693="331")),"331",IF(AND(OR(L693="131",M693="131"),H693='131-CT'!$E$7),"131",""))</f>
        <v/>
      </c>
      <c r="O693" s="89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09"/>
      <c r="AC693" s="555" t="str">
        <f>IF(VLOOKUP(H693,DS_131,1,0)&lt;&gt;"","","x")</f>
        <v/>
      </c>
      <c r="AD693" s="555"/>
      <c r="AE693" s="555"/>
    </row>
    <row r="694" spans="1:31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200"/>
        <v>12</v>
      </c>
      <c r="C694" s="184">
        <f t="shared" si="201"/>
        <v>41975</v>
      </c>
      <c r="D694" s="184" t="s">
        <v>954</v>
      </c>
      <c r="E694" s="191">
        <v>41975</v>
      </c>
      <c r="F694" s="192" t="s">
        <v>741</v>
      </c>
      <c r="G694" s="463" t="s">
        <v>804</v>
      </c>
      <c r="H694" s="193" t="s">
        <v>419</v>
      </c>
      <c r="I694" s="251">
        <v>1059</v>
      </c>
      <c r="J694" s="251">
        <v>5400</v>
      </c>
      <c r="K694" s="563">
        <f>ROUND(I694*J694,0)</f>
        <v>5718600</v>
      </c>
      <c r="L694" s="564" t="s">
        <v>253</v>
      </c>
      <c r="M694" s="564" t="s">
        <v>177</v>
      </c>
      <c r="N694" s="52" t="str">
        <f>IF(AND('331-CT'!$E$7=TH!H694,OR(L694="331",M694="331")),"331",IF(AND(OR(L694="131",M694="131"),H694='131-CT'!$E$7),"131",""))</f>
        <v/>
      </c>
      <c r="O694" s="89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09"/>
      <c r="AC694" s="211" t="str">
        <f>IF(F694=VLOOKUP(F694,NXT!$C$12:$C$345,1,0),"","x")</f>
        <v/>
      </c>
      <c r="AD694" s="555"/>
      <c r="AE694" s="555"/>
    </row>
    <row r="695" spans="1:31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200"/>
        <v>12</v>
      </c>
      <c r="C695" s="184">
        <f t="shared" si="201"/>
        <v>41975</v>
      </c>
      <c r="D695" s="184" t="s">
        <v>954</v>
      </c>
      <c r="E695" s="191">
        <v>41975</v>
      </c>
      <c r="F695" s="192" t="s">
        <v>420</v>
      </c>
      <c r="G695" s="463" t="s">
        <v>804</v>
      </c>
      <c r="H695" s="193" t="s">
        <v>419</v>
      </c>
      <c r="I695" s="252"/>
      <c r="J695" s="252"/>
      <c r="K695" s="563">
        <v>571860</v>
      </c>
      <c r="L695" s="564" t="s">
        <v>253</v>
      </c>
      <c r="M695" s="564" t="s">
        <v>365</v>
      </c>
      <c r="N695" s="52" t="str">
        <f>IF(AND('331-CT'!$E$7=TH!H695,OR(L695="331",M695="331")),"331",IF(AND(OR(L695="131",M695="131"),H695='131-CT'!$E$7),"131",""))</f>
        <v/>
      </c>
      <c r="O695" s="89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09"/>
      <c r="AC695" s="555" t="str">
        <f>IF(VLOOKUP(H695,DS_131,1,0)&lt;&gt;"","","x")</f>
        <v/>
      </c>
    </row>
    <row r="696" spans="1:31" s="211" customFormat="1" ht="15.75" customHeight="1">
      <c r="A696" s="204">
        <f>IF(B696&lt;&gt;"",IF(AND(B696&gt;=_TM1,B696&lt;=_TM2,OR(TH!L696="1111",TH!M696="1111")),TH!D696,""),"")</f>
        <v>0</v>
      </c>
      <c r="B696" s="36">
        <f t="shared" ref="B696" si="221">IF(C696&lt;&gt;"",MONTH(C696),"")</f>
        <v>12</v>
      </c>
      <c r="C696" s="184">
        <f t="shared" ref="C696" si="222">E696</f>
        <v>41975</v>
      </c>
      <c r="D696" s="184"/>
      <c r="E696" s="191">
        <v>41975</v>
      </c>
      <c r="F696" s="192" t="s">
        <v>894</v>
      </c>
      <c r="G696" s="463" t="s">
        <v>804</v>
      </c>
      <c r="H696" s="193" t="s">
        <v>419</v>
      </c>
      <c r="I696" s="252"/>
      <c r="J696" s="252"/>
      <c r="K696" s="563">
        <v>6290460</v>
      </c>
      <c r="L696" s="564" t="s">
        <v>47</v>
      </c>
      <c r="M696" s="564" t="s">
        <v>253</v>
      </c>
      <c r="N696" s="52" t="str">
        <f>IF(AND('331-CT'!$E$7=TH!H696,OR(L696="331",M696="331")),"331",IF(AND(OR(L696="131",M696="131"),H696='131-CT'!$E$7),"131",""))</f>
        <v/>
      </c>
      <c r="O696" s="89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09"/>
      <c r="AC696" s="555" t="str">
        <f>IF(VLOOKUP(H696,DS_131,1,0)&lt;&gt;"","","x")</f>
        <v/>
      </c>
    </row>
    <row r="697" spans="1:31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200"/>
        <v>12</v>
      </c>
      <c r="C697" s="184">
        <f t="shared" si="201"/>
        <v>41979</v>
      </c>
      <c r="D697" s="184" t="s">
        <v>955</v>
      </c>
      <c r="E697" s="191">
        <v>41979</v>
      </c>
      <c r="F697" s="192" t="s">
        <v>805</v>
      </c>
      <c r="G697" s="463" t="s">
        <v>806</v>
      </c>
      <c r="H697" s="193" t="s">
        <v>641</v>
      </c>
      <c r="I697" s="251">
        <v>106</v>
      </c>
      <c r="J697" s="251">
        <v>7200</v>
      </c>
      <c r="K697" s="563">
        <f>ROUND(I697*J697,0)</f>
        <v>763200</v>
      </c>
      <c r="L697" s="564" t="s">
        <v>253</v>
      </c>
      <c r="M697" s="564" t="s">
        <v>177</v>
      </c>
      <c r="N697" s="52" t="str">
        <f>IF(AND('331-CT'!$E$7=TH!H697,OR(L697="331",M697="331")),"331",IF(AND(OR(L697="131",M697="131"),H697='131-CT'!$E$7),"131",""))</f>
        <v/>
      </c>
      <c r="O697" s="89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09"/>
      <c r="AC697" s="211" t="str">
        <f>IF(F697=VLOOKUP(F697,NXT!$C$12:$C$345,1,0),"","x")</f>
        <v/>
      </c>
      <c r="AD697" s="555"/>
    </row>
    <row r="698" spans="1:31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200"/>
        <v>12</v>
      </c>
      <c r="C698" s="184">
        <f t="shared" si="201"/>
        <v>41979</v>
      </c>
      <c r="D698" s="184" t="s">
        <v>955</v>
      </c>
      <c r="E698" s="191">
        <v>41979</v>
      </c>
      <c r="F698" s="192" t="s">
        <v>754</v>
      </c>
      <c r="G698" s="463" t="s">
        <v>806</v>
      </c>
      <c r="H698" s="193" t="s">
        <v>641</v>
      </c>
      <c r="I698" s="251">
        <v>493</v>
      </c>
      <c r="J698" s="251">
        <v>5300</v>
      </c>
      <c r="K698" s="563">
        <f>ROUND(I698*J698,0)</f>
        <v>2612900</v>
      </c>
      <c r="L698" s="564" t="s">
        <v>253</v>
      </c>
      <c r="M698" s="564" t="s">
        <v>177</v>
      </c>
      <c r="N698" s="52" t="str">
        <f>IF(AND('331-CT'!$E$7=TH!H698,OR(L698="331",M698="331")),"331",IF(AND(OR(L698="131",M698="131"),H698='131-CT'!$E$7),"131",""))</f>
        <v/>
      </c>
      <c r="O698" s="89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09"/>
      <c r="AC698" s="211" t="str">
        <f>IF(F698=VLOOKUP(F698,NXT!$C$12:$C$345,1,0),"","x")</f>
        <v/>
      </c>
    </row>
    <row r="699" spans="1:31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200"/>
        <v>12</v>
      </c>
      <c r="C699" s="184">
        <f t="shared" si="201"/>
        <v>41979</v>
      </c>
      <c r="D699" s="184" t="s">
        <v>955</v>
      </c>
      <c r="E699" s="191">
        <v>41979</v>
      </c>
      <c r="F699" s="192" t="s">
        <v>807</v>
      </c>
      <c r="G699" s="463" t="s">
        <v>806</v>
      </c>
      <c r="H699" s="193" t="s">
        <v>641</v>
      </c>
      <c r="I699" s="251">
        <v>512</v>
      </c>
      <c r="J699" s="251">
        <v>3900</v>
      </c>
      <c r="K699" s="563">
        <f>ROUND(I699*J699,0)</f>
        <v>1996800</v>
      </c>
      <c r="L699" s="564" t="s">
        <v>253</v>
      </c>
      <c r="M699" s="564" t="s">
        <v>177</v>
      </c>
      <c r="N699" s="52" t="str">
        <f>IF(AND('331-CT'!$E$7=TH!H699,OR(L699="331",M699="331")),"331",IF(AND(OR(L699="131",M699="131"),H699='131-CT'!$E$7),"131",""))</f>
        <v/>
      </c>
      <c r="O699" s="89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09"/>
      <c r="AC699" s="211" t="str">
        <f>IF(F699=VLOOKUP(F699,NXT!$C$12:$C$345,1,0),"","x")</f>
        <v/>
      </c>
      <c r="AD699" s="555"/>
    </row>
    <row r="700" spans="1:31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200"/>
        <v>12</v>
      </c>
      <c r="C700" s="184">
        <f t="shared" si="201"/>
        <v>41979</v>
      </c>
      <c r="D700" s="184" t="s">
        <v>955</v>
      </c>
      <c r="E700" s="191">
        <v>41979</v>
      </c>
      <c r="F700" s="192" t="s">
        <v>690</v>
      </c>
      <c r="G700" s="463" t="s">
        <v>806</v>
      </c>
      <c r="H700" s="193" t="s">
        <v>641</v>
      </c>
      <c r="I700" s="253">
        <v>208</v>
      </c>
      <c r="J700" s="253">
        <v>5900</v>
      </c>
      <c r="K700" s="563">
        <f>ROUND(I700*J700,0)</f>
        <v>1227200</v>
      </c>
      <c r="L700" s="564" t="s">
        <v>253</v>
      </c>
      <c r="M700" s="564" t="s">
        <v>177</v>
      </c>
      <c r="N700" s="52" t="str">
        <f>IF(AND('331-CT'!$E$7=TH!H700,OR(L700="331",M700="331")),"331",IF(AND(OR(L700="131",M700="131"),H700='131-CT'!$E$7),"131",""))</f>
        <v/>
      </c>
      <c r="O700" s="89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09"/>
      <c r="AC700" s="211" t="str">
        <f>IF(F700=VLOOKUP(F700,NXT!$C$12:$C$345,1,0),"","x")</f>
        <v/>
      </c>
    </row>
    <row r="701" spans="1:31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200"/>
        <v>12</v>
      </c>
      <c r="C701" s="184">
        <f t="shared" si="201"/>
        <v>41979</v>
      </c>
      <c r="D701" s="184" t="s">
        <v>955</v>
      </c>
      <c r="E701" s="191">
        <v>41979</v>
      </c>
      <c r="F701" s="40" t="s">
        <v>639</v>
      </c>
      <c r="G701" s="463" t="s">
        <v>806</v>
      </c>
      <c r="H701" s="7" t="s">
        <v>641</v>
      </c>
      <c r="I701" s="251">
        <v>1016</v>
      </c>
      <c r="J701" s="251">
        <v>4400</v>
      </c>
      <c r="K701" s="563">
        <f>ROUND(I701*J701,0)</f>
        <v>4470400</v>
      </c>
      <c r="L701" s="564" t="s">
        <v>253</v>
      </c>
      <c r="M701" s="564" t="s">
        <v>177</v>
      </c>
      <c r="N701" s="52" t="str">
        <f>IF(AND('331-CT'!$E$7=TH!H701,OR(L701="331",M701="331")),"331",IF(AND(OR(L701="131",M701="131"),H701='131-CT'!$E$7),"131",""))</f>
        <v/>
      </c>
      <c r="O701" s="89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09"/>
      <c r="AC701" s="211" t="str">
        <f>IF(F701=VLOOKUP(F701,NXT!$C$12:$C$345,1,0),"","x")</f>
        <v/>
      </c>
    </row>
    <row r="702" spans="1:31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200"/>
        <v>12</v>
      </c>
      <c r="C702" s="184">
        <f t="shared" si="201"/>
        <v>41979</v>
      </c>
      <c r="D702" s="184" t="s">
        <v>955</v>
      </c>
      <c r="E702" s="191">
        <v>41979</v>
      </c>
      <c r="F702" s="192" t="s">
        <v>420</v>
      </c>
      <c r="G702" s="463" t="s">
        <v>806</v>
      </c>
      <c r="H702" s="7" t="s">
        <v>641</v>
      </c>
      <c r="I702" s="251"/>
      <c r="J702" s="251"/>
      <c r="K702" s="563">
        <v>1107050</v>
      </c>
      <c r="L702" s="564" t="s">
        <v>253</v>
      </c>
      <c r="M702" s="564" t="s">
        <v>365</v>
      </c>
      <c r="N702" s="52" t="str">
        <f>IF(AND('331-CT'!$E$7=TH!H702,OR(L702="331",M702="331")),"331",IF(AND(OR(L702="131",M702="131"),H702='131-CT'!$E$7),"131",""))</f>
        <v/>
      </c>
      <c r="O702" s="89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09"/>
      <c r="AC702" s="555" t="str">
        <f>IF(VLOOKUP(H702,DS_131,1,0)&lt;&gt;"","","x")</f>
        <v/>
      </c>
    </row>
    <row r="703" spans="1:31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200"/>
        <v>12</v>
      </c>
      <c r="C703" s="184">
        <f t="shared" si="201"/>
        <v>41981</v>
      </c>
      <c r="D703" s="184" t="s">
        <v>956</v>
      </c>
      <c r="E703" s="191">
        <v>41981</v>
      </c>
      <c r="F703" s="40" t="s">
        <v>515</v>
      </c>
      <c r="G703" s="463" t="s">
        <v>808</v>
      </c>
      <c r="H703" s="7" t="s">
        <v>908</v>
      </c>
      <c r="I703" s="251">
        <v>1015</v>
      </c>
      <c r="J703" s="251">
        <v>12000</v>
      </c>
      <c r="K703" s="563">
        <f>ROUND(I703*J703,0)</f>
        <v>12180000</v>
      </c>
      <c r="L703" s="564" t="s">
        <v>253</v>
      </c>
      <c r="M703" s="564" t="s">
        <v>177</v>
      </c>
      <c r="N703" s="52" t="str">
        <f>IF(AND('331-CT'!$E$7=TH!H703,OR(L703="331",M703="331")),"331",IF(AND(OR(L703="131",M703="131"),H703='131-CT'!$E$7),"131",""))</f>
        <v/>
      </c>
      <c r="O703" s="89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09"/>
      <c r="AC703" s="211" t="str">
        <f>IF(F703=VLOOKUP(F703,NXT!$C$12:$C$345,1,0),"","x")</f>
        <v/>
      </c>
    </row>
    <row r="704" spans="1:31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200"/>
        <v>12</v>
      </c>
      <c r="C704" s="184">
        <f t="shared" si="201"/>
        <v>41981</v>
      </c>
      <c r="D704" s="184" t="s">
        <v>956</v>
      </c>
      <c r="E704" s="191">
        <v>41981</v>
      </c>
      <c r="F704" s="192" t="s">
        <v>420</v>
      </c>
      <c r="G704" s="463" t="s">
        <v>808</v>
      </c>
      <c r="H704" s="7" t="s">
        <v>908</v>
      </c>
      <c r="I704" s="251"/>
      <c r="J704" s="251"/>
      <c r="K704" s="563">
        <v>1218000</v>
      </c>
      <c r="L704" s="564" t="s">
        <v>253</v>
      </c>
      <c r="M704" s="564" t="s">
        <v>365</v>
      </c>
      <c r="N704" s="52" t="str">
        <f>IF(AND('331-CT'!$E$7=TH!H704,OR(L704="331",M704="331")),"331",IF(AND(OR(L704="131",M704="131"),H704='131-CT'!$E$7),"131",""))</f>
        <v/>
      </c>
      <c r="O704" s="89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09"/>
      <c r="AC704" s="555" t="str">
        <f>IF(VLOOKUP(H704,DS_131,1,0)&lt;&gt;"","","x")</f>
        <v/>
      </c>
    </row>
    <row r="705" spans="1:31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ref="B705:B779" si="223">IF(C705&lt;&gt;"",MONTH(C705),"")</f>
        <v>12</v>
      </c>
      <c r="C705" s="184">
        <f t="shared" ref="C705:C779" si="224">E705</f>
        <v>41982</v>
      </c>
      <c r="D705" s="184" t="s">
        <v>957</v>
      </c>
      <c r="E705" s="191">
        <v>41982</v>
      </c>
      <c r="F705" s="189" t="s">
        <v>436</v>
      </c>
      <c r="G705" s="463" t="s">
        <v>811</v>
      </c>
      <c r="H705" s="7" t="s">
        <v>438</v>
      </c>
      <c r="I705" s="251">
        <v>440</v>
      </c>
      <c r="J705" s="251">
        <v>10500</v>
      </c>
      <c r="K705" s="563">
        <f>ROUND(I705*J705,0)</f>
        <v>4620000</v>
      </c>
      <c r="L705" s="564" t="s">
        <v>253</v>
      </c>
      <c r="M705" s="564" t="s">
        <v>177</v>
      </c>
      <c r="N705" s="52" t="str">
        <f>IF(AND('331-CT'!$E$7=TH!H705,OR(L705="331",M705="331")),"331",IF(AND(OR(L705="131",M705="131"),H705='131-CT'!$E$7),"131",""))</f>
        <v/>
      </c>
      <c r="O705" s="89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09"/>
      <c r="AC705" s="211" t="str">
        <f>IF(F705=VLOOKUP(F705,NXT!$C$12:$C$345,1,0),"","x")</f>
        <v/>
      </c>
    </row>
    <row r="706" spans="1:31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223"/>
        <v>12</v>
      </c>
      <c r="C706" s="184">
        <f t="shared" si="224"/>
        <v>41982</v>
      </c>
      <c r="D706" s="184" t="s">
        <v>957</v>
      </c>
      <c r="E706" s="191">
        <v>41982</v>
      </c>
      <c r="F706" s="192" t="s">
        <v>420</v>
      </c>
      <c r="G706" s="463" t="s">
        <v>811</v>
      </c>
      <c r="H706" s="7" t="s">
        <v>438</v>
      </c>
      <c r="I706" s="251"/>
      <c r="J706" s="251"/>
      <c r="K706" s="563">
        <v>462000</v>
      </c>
      <c r="L706" s="564" t="s">
        <v>253</v>
      </c>
      <c r="M706" s="564" t="s">
        <v>365</v>
      </c>
      <c r="N706" s="52" t="str">
        <f>IF(AND('331-CT'!$E$7=TH!H706,OR(L706="331",M706="331")),"331",IF(AND(OR(L706="131",M706="131"),H706='131-CT'!$E$7),"131",""))</f>
        <v/>
      </c>
      <c r="O706" s="89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09"/>
      <c r="AC706" s="555" t="str">
        <f>IF(VLOOKUP(H706,DS_131,1,0)&lt;&gt;"","","x")</f>
        <v/>
      </c>
    </row>
    <row r="707" spans="1:31" s="211" customFormat="1" ht="15.75" customHeight="1">
      <c r="A707" s="204">
        <f>IF(B707&lt;&gt;"",IF(AND(B707&gt;=_TM1,B707&lt;=_TM2,OR(TH!L707="1111",TH!M707="1111")),TH!D707,""),"")</f>
        <v>0</v>
      </c>
      <c r="B707" s="36">
        <f t="shared" ref="B707" si="225">IF(C707&lt;&gt;"",MONTH(C707),"")</f>
        <v>12</v>
      </c>
      <c r="C707" s="184">
        <f t="shared" ref="C707" si="226">E707</f>
        <v>41982</v>
      </c>
      <c r="D707" s="184"/>
      <c r="E707" s="191">
        <v>41982</v>
      </c>
      <c r="F707" s="192" t="s">
        <v>894</v>
      </c>
      <c r="G707" s="463" t="s">
        <v>811</v>
      </c>
      <c r="H707" s="7" t="s">
        <v>438</v>
      </c>
      <c r="I707" s="251"/>
      <c r="J707" s="251"/>
      <c r="K707" s="563">
        <v>5082000</v>
      </c>
      <c r="L707" s="564" t="s">
        <v>47</v>
      </c>
      <c r="M707" s="564" t="s">
        <v>253</v>
      </c>
      <c r="N707" s="52" t="str">
        <f>IF(AND('331-CT'!$E$7=TH!H707,OR(L707="331",M707="331")),"331",IF(AND(OR(L707="131",M707="131"),H707='131-CT'!$E$7),"131",""))</f>
        <v/>
      </c>
      <c r="O707" s="89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09"/>
      <c r="AC707" s="555" t="str">
        <f>IF(VLOOKUP(H707,DS_131,1,0)&lt;&gt;"","","x")</f>
        <v/>
      </c>
    </row>
    <row r="708" spans="1:31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223"/>
        <v>12</v>
      </c>
      <c r="C708" s="184">
        <f t="shared" si="224"/>
        <v>41985</v>
      </c>
      <c r="D708" s="184" t="s">
        <v>958</v>
      </c>
      <c r="E708" s="191">
        <v>41985</v>
      </c>
      <c r="F708" s="291" t="s">
        <v>483</v>
      </c>
      <c r="G708" s="463" t="s">
        <v>812</v>
      </c>
      <c r="H708" s="7" t="s">
        <v>907</v>
      </c>
      <c r="I708" s="252">
        <v>411</v>
      </c>
      <c r="J708" s="252">
        <v>12900</v>
      </c>
      <c r="K708" s="563">
        <f>ROUND(I708*J708,0)</f>
        <v>5301900</v>
      </c>
      <c r="L708" s="564" t="s">
        <v>253</v>
      </c>
      <c r="M708" s="564" t="s">
        <v>177</v>
      </c>
      <c r="N708" s="52" t="str">
        <f>IF(AND('331-CT'!$E$7=TH!H708,OR(L708="331",M708="331")),"331",IF(AND(OR(L708="131",M708="131"),H708='131-CT'!$E$7),"131",""))</f>
        <v/>
      </c>
      <c r="O708" s="89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09"/>
      <c r="AC708" s="211" t="str">
        <f>IF(F708=VLOOKUP(F708,NXT!$C$12:$C$345,1,0),"","x")</f>
        <v/>
      </c>
      <c r="AD708" s="555"/>
      <c r="AE708" s="555"/>
    </row>
    <row r="709" spans="1:31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223"/>
        <v>12</v>
      </c>
      <c r="C709" s="184">
        <f t="shared" si="224"/>
        <v>41985</v>
      </c>
      <c r="D709" s="184" t="s">
        <v>958</v>
      </c>
      <c r="E709" s="191">
        <v>41985</v>
      </c>
      <c r="F709" s="192" t="s">
        <v>420</v>
      </c>
      <c r="G709" s="463" t="s">
        <v>812</v>
      </c>
      <c r="H709" s="7" t="s">
        <v>907</v>
      </c>
      <c r="I709" s="251"/>
      <c r="J709" s="251"/>
      <c r="K709" s="38">
        <v>530190</v>
      </c>
      <c r="L709" s="564" t="s">
        <v>253</v>
      </c>
      <c r="M709" s="564" t="s">
        <v>365</v>
      </c>
      <c r="N709" s="52" t="str">
        <f>IF(AND('331-CT'!$E$7=TH!H709,OR(L709="331",M709="331")),"331",IF(AND(OR(L709="131",M709="131"),H709='131-CT'!$E$7),"131",""))</f>
        <v/>
      </c>
      <c r="O709" s="89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09"/>
      <c r="AC709" s="555" t="str">
        <f>IF(VLOOKUP(H709,DS_131,1,0)&lt;&gt;"","","x")</f>
        <v/>
      </c>
      <c r="AD709" s="555"/>
      <c r="AE709" s="555"/>
    </row>
    <row r="710" spans="1:31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223"/>
        <v>12</v>
      </c>
      <c r="C710" s="184">
        <f t="shared" si="224"/>
        <v>41985</v>
      </c>
      <c r="D710" s="184" t="s">
        <v>959</v>
      </c>
      <c r="E710" s="184">
        <v>41985</v>
      </c>
      <c r="F710" s="189" t="s">
        <v>813</v>
      </c>
      <c r="G710" s="565" t="s">
        <v>814</v>
      </c>
      <c r="H710" s="193" t="s">
        <v>641</v>
      </c>
      <c r="I710" s="251">
        <v>89</v>
      </c>
      <c r="J710" s="251">
        <v>29700</v>
      </c>
      <c r="K710" s="563">
        <f>ROUND(I710*J710,0)</f>
        <v>2643300</v>
      </c>
      <c r="L710" s="564" t="s">
        <v>253</v>
      </c>
      <c r="M710" s="564" t="s">
        <v>177</v>
      </c>
      <c r="N710" s="52" t="str">
        <f>IF(AND('331-CT'!$E$7=TH!H710,OR(L710="331",M710="331")),"331",IF(AND(OR(L710="131",M710="131"),H710='131-CT'!$E$7),"131",""))</f>
        <v/>
      </c>
      <c r="O710" s="89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09"/>
      <c r="AC710" s="211" t="str">
        <f>IF(F710=VLOOKUP(F710,NXT!$C$12:$C$345,1,0),"","x")</f>
        <v/>
      </c>
      <c r="AD710" s="555"/>
      <c r="AE710" s="555"/>
    </row>
    <row r="711" spans="1:31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223"/>
        <v>12</v>
      </c>
      <c r="C711" s="184">
        <f t="shared" si="224"/>
        <v>41985</v>
      </c>
      <c r="D711" s="184" t="s">
        <v>959</v>
      </c>
      <c r="E711" s="191">
        <v>41985</v>
      </c>
      <c r="F711" s="192" t="s">
        <v>420</v>
      </c>
      <c r="G711" s="463" t="s">
        <v>814</v>
      </c>
      <c r="H711" s="7" t="s">
        <v>641</v>
      </c>
      <c r="I711" s="252"/>
      <c r="J711" s="252"/>
      <c r="K711" s="38">
        <v>264330</v>
      </c>
      <c r="L711" s="564" t="s">
        <v>253</v>
      </c>
      <c r="M711" s="564" t="s">
        <v>365</v>
      </c>
      <c r="N711" s="52" t="str">
        <f>IF(AND('331-CT'!$E$7=TH!H711,OR(L711="331",M711="331")),"331",IF(AND(OR(L711="131",M711="131"),H711='131-CT'!$E$7),"131",""))</f>
        <v/>
      </c>
      <c r="O711" s="89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09"/>
      <c r="AC711" s="555" t="str">
        <f>IF(VLOOKUP(H711,DS_131,1,0)&lt;&gt;"","","x")</f>
        <v/>
      </c>
      <c r="AD711" s="555"/>
      <c r="AE711" s="555"/>
    </row>
    <row r="712" spans="1:31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223"/>
        <v>12</v>
      </c>
      <c r="C712" s="184">
        <f t="shared" si="224"/>
        <v>41985</v>
      </c>
      <c r="D712" s="184" t="s">
        <v>960</v>
      </c>
      <c r="E712" s="184">
        <v>41985</v>
      </c>
      <c r="F712" s="189" t="s">
        <v>815</v>
      </c>
      <c r="G712" s="565" t="s">
        <v>816</v>
      </c>
      <c r="H712" s="7" t="s">
        <v>721</v>
      </c>
      <c r="I712" s="251">
        <v>350</v>
      </c>
      <c r="J712" s="251">
        <v>47449</v>
      </c>
      <c r="K712" s="563">
        <f>ROUND(I712*J712,0)</f>
        <v>16607150</v>
      </c>
      <c r="L712" s="564" t="s">
        <v>253</v>
      </c>
      <c r="M712" s="564" t="s">
        <v>177</v>
      </c>
      <c r="N712" s="52" t="str">
        <f>IF(AND('331-CT'!$E$7=TH!H712,OR(L712="331",M712="331")),"331",IF(AND(OR(L712="131",M712="131"),H712='131-CT'!$E$7),"131",""))</f>
        <v/>
      </c>
      <c r="O712" s="89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09"/>
      <c r="AC712" s="211" t="str">
        <f>IF(F712=VLOOKUP(F712,NXT!$C$12:$C$345,1,0),"","x")</f>
        <v/>
      </c>
      <c r="AD712" s="555"/>
      <c r="AE712" s="555"/>
    </row>
    <row r="713" spans="1:31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223"/>
        <v>12</v>
      </c>
      <c r="C713" s="184">
        <f t="shared" si="224"/>
        <v>41985</v>
      </c>
      <c r="D713" s="184" t="s">
        <v>960</v>
      </c>
      <c r="E713" s="184">
        <v>41985</v>
      </c>
      <c r="F713" s="192" t="s">
        <v>420</v>
      </c>
      <c r="G713" s="565" t="s">
        <v>816</v>
      </c>
      <c r="H713" s="7" t="s">
        <v>721</v>
      </c>
      <c r="I713" s="251"/>
      <c r="J713" s="251"/>
      <c r="K713" s="563">
        <v>1660715</v>
      </c>
      <c r="L713" s="564" t="s">
        <v>253</v>
      </c>
      <c r="M713" s="564" t="s">
        <v>365</v>
      </c>
      <c r="N713" s="52" t="str">
        <f>IF(AND('331-CT'!$E$7=TH!H713,OR(L713="331",M713="331")),"331",IF(AND(OR(L713="131",M713="131"),H713='131-CT'!$E$7),"131",""))</f>
        <v/>
      </c>
      <c r="O713" s="89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09"/>
      <c r="AC713" s="555" t="str">
        <f>IF(VLOOKUP(H713,DS_131,1,0)&lt;&gt;"","","x")</f>
        <v/>
      </c>
      <c r="AD713" s="555"/>
      <c r="AE713" s="555"/>
    </row>
    <row r="714" spans="1:31" s="211" customFormat="1" ht="15.75" customHeight="1">
      <c r="A714" s="204">
        <f>IF(B714&lt;&gt;"",IF(AND(B714&gt;=_TM1,B714&lt;=_TM2,OR(TH!L714="1111",TH!M714="1111")),TH!D714,""),"")</f>
        <v>0</v>
      </c>
      <c r="B714" s="36">
        <f t="shared" ref="B714" si="227">IF(C714&lt;&gt;"",MONTH(C714),"")</f>
        <v>12</v>
      </c>
      <c r="C714" s="184">
        <f t="shared" ref="C714" si="228">E714</f>
        <v>41985</v>
      </c>
      <c r="D714" s="184"/>
      <c r="E714" s="184">
        <v>41985</v>
      </c>
      <c r="F714" s="192" t="s">
        <v>894</v>
      </c>
      <c r="G714" s="565" t="s">
        <v>816</v>
      </c>
      <c r="H714" s="7" t="s">
        <v>721</v>
      </c>
      <c r="I714" s="251"/>
      <c r="J714" s="251"/>
      <c r="K714" s="563">
        <v>18267865</v>
      </c>
      <c r="L714" s="564" t="s">
        <v>47</v>
      </c>
      <c r="M714" s="564" t="s">
        <v>253</v>
      </c>
      <c r="N714" s="52" t="str">
        <f>IF(AND('331-CT'!$E$7=TH!H714,OR(L714="331",M714="331")),"331",IF(AND(OR(L714="131",M714="131"),H714='131-CT'!$E$7),"131",""))</f>
        <v/>
      </c>
      <c r="O714" s="89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09"/>
      <c r="AC714" s="555" t="str">
        <f>IF(VLOOKUP(H714,DS_131,1,0)&lt;&gt;"","","x")</f>
        <v/>
      </c>
      <c r="AD714" s="555"/>
      <c r="AE714" s="555"/>
    </row>
    <row r="715" spans="1:31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223"/>
        <v>12</v>
      </c>
      <c r="C715" s="184">
        <f t="shared" si="224"/>
        <v>41986</v>
      </c>
      <c r="D715" s="184" t="s">
        <v>961</v>
      </c>
      <c r="E715" s="191">
        <v>41986</v>
      </c>
      <c r="F715" s="192" t="s">
        <v>817</v>
      </c>
      <c r="G715" s="463" t="s">
        <v>818</v>
      </c>
      <c r="H715" s="193" t="s">
        <v>438</v>
      </c>
      <c r="I715" s="251">
        <v>223</v>
      </c>
      <c r="J715" s="251">
        <v>10250</v>
      </c>
      <c r="K715" s="563">
        <f>ROUND(I715*J715,0)</f>
        <v>2285750</v>
      </c>
      <c r="L715" s="564" t="s">
        <v>253</v>
      </c>
      <c r="M715" s="564" t="s">
        <v>177</v>
      </c>
      <c r="N715" s="52" t="str">
        <f>IF(AND('331-CT'!$E$7=TH!H715,OR(L715="331",M715="331")),"331",IF(AND(OR(L715="131",M715="131"),H715='131-CT'!$E$7),"131",""))</f>
        <v/>
      </c>
      <c r="O715" s="89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09"/>
      <c r="AC715" s="211" t="str">
        <f>IF(F715=VLOOKUP(F715,NXT!$C$12:$C$345,1,0),"","x")</f>
        <v/>
      </c>
      <c r="AD715" s="555"/>
    </row>
    <row r="716" spans="1:31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223"/>
        <v>12</v>
      </c>
      <c r="C716" s="184">
        <f t="shared" si="224"/>
        <v>41986</v>
      </c>
      <c r="D716" s="184" t="s">
        <v>961</v>
      </c>
      <c r="E716" s="191">
        <v>41986</v>
      </c>
      <c r="F716" s="192" t="s">
        <v>420</v>
      </c>
      <c r="G716" s="463" t="s">
        <v>818</v>
      </c>
      <c r="H716" s="193" t="s">
        <v>438</v>
      </c>
      <c r="I716" s="251"/>
      <c r="J716" s="251"/>
      <c r="K716" s="563">
        <v>228575</v>
      </c>
      <c r="L716" s="564" t="s">
        <v>253</v>
      </c>
      <c r="M716" s="564" t="s">
        <v>365</v>
      </c>
      <c r="N716" s="52" t="str">
        <f>IF(AND('331-CT'!$E$7=TH!H716,OR(L716="331",M716="331")),"331",IF(AND(OR(L716="131",M716="131"),H716='131-CT'!$E$7),"131",""))</f>
        <v/>
      </c>
      <c r="O716" s="89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09"/>
      <c r="AC716" s="555" t="str">
        <f>IF(VLOOKUP(H716,DS_131,1,0)&lt;&gt;"","","x")</f>
        <v/>
      </c>
    </row>
    <row r="717" spans="1:31" s="211" customFormat="1" ht="15.75" customHeight="1">
      <c r="A717" s="204">
        <f>IF(B717&lt;&gt;"",IF(AND(B717&gt;=_TM1,B717&lt;=_TM2,OR(TH!L717="1111",TH!M717="1111")),TH!D717,""),"")</f>
        <v>0</v>
      </c>
      <c r="B717" s="36">
        <f t="shared" ref="B717" si="229">IF(C717&lt;&gt;"",MONTH(C717),"")</f>
        <v>12</v>
      </c>
      <c r="C717" s="184">
        <f t="shared" ref="C717" si="230">E717</f>
        <v>41986</v>
      </c>
      <c r="D717" s="184"/>
      <c r="E717" s="191">
        <v>41986</v>
      </c>
      <c r="F717" s="192" t="s">
        <v>894</v>
      </c>
      <c r="G717" s="463" t="s">
        <v>818</v>
      </c>
      <c r="H717" s="193" t="s">
        <v>438</v>
      </c>
      <c r="I717" s="251"/>
      <c r="J717" s="251"/>
      <c r="K717" s="563">
        <v>2514325</v>
      </c>
      <c r="L717" s="564" t="s">
        <v>47</v>
      </c>
      <c r="M717" s="564" t="s">
        <v>253</v>
      </c>
      <c r="N717" s="52" t="str">
        <f>IF(AND('331-CT'!$E$7=TH!H717,OR(L717="331",M717="331")),"331",IF(AND(OR(L717="131",M717="131"),H717='131-CT'!$E$7),"131",""))</f>
        <v/>
      </c>
      <c r="O717" s="89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09"/>
      <c r="AC717" s="555" t="str">
        <f>IF(VLOOKUP(H717,DS_131,1,0)&lt;&gt;"","","x")</f>
        <v/>
      </c>
    </row>
    <row r="718" spans="1:31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223"/>
        <v>12</v>
      </c>
      <c r="C718" s="184">
        <f t="shared" si="224"/>
        <v>41986</v>
      </c>
      <c r="D718" s="184" t="s">
        <v>962</v>
      </c>
      <c r="E718" s="191">
        <v>41986</v>
      </c>
      <c r="F718" s="192" t="s">
        <v>819</v>
      </c>
      <c r="G718" s="463" t="s">
        <v>820</v>
      </c>
      <c r="H718" s="193" t="s">
        <v>721</v>
      </c>
      <c r="I718" s="251">
        <v>200</v>
      </c>
      <c r="J718" s="251">
        <v>73100</v>
      </c>
      <c r="K718" s="563">
        <f>ROUND(I718*J718,0)</f>
        <v>14620000</v>
      </c>
      <c r="L718" s="564" t="s">
        <v>253</v>
      </c>
      <c r="M718" s="564" t="s">
        <v>177</v>
      </c>
      <c r="N718" s="52" t="str">
        <f>IF(AND('331-CT'!$E$7=TH!H718,OR(L718="331",M718="331")),"331",IF(AND(OR(L718="131",M718="131"),H718='131-CT'!$E$7),"131",""))</f>
        <v/>
      </c>
      <c r="O718" s="89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09"/>
      <c r="AC718" s="211" t="str">
        <f>IF(F718=VLOOKUP(F718,NXT!$C$12:$C$345,1,0),"","x")</f>
        <v/>
      </c>
      <c r="AD718" s="555"/>
    </row>
    <row r="719" spans="1:31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223"/>
        <v>12</v>
      </c>
      <c r="C719" s="184">
        <f t="shared" si="224"/>
        <v>41986</v>
      </c>
      <c r="D719" s="184" t="s">
        <v>962</v>
      </c>
      <c r="E719" s="191">
        <v>41986</v>
      </c>
      <c r="F719" s="192" t="s">
        <v>420</v>
      </c>
      <c r="G719" s="463" t="s">
        <v>820</v>
      </c>
      <c r="H719" s="193" t="s">
        <v>721</v>
      </c>
      <c r="I719" s="251"/>
      <c r="J719" s="251"/>
      <c r="K719" s="38">
        <v>1462000</v>
      </c>
      <c r="L719" s="564" t="s">
        <v>253</v>
      </c>
      <c r="M719" s="564" t="s">
        <v>365</v>
      </c>
      <c r="N719" s="52" t="str">
        <f>IF(AND('331-CT'!$E$7=TH!H719,OR(L719="331",M719="331")),"331",IF(AND(OR(L719="131",M719="131"),H719='131-CT'!$E$7),"131",""))</f>
        <v/>
      </c>
      <c r="O719" s="89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09"/>
      <c r="AC719" s="555" t="str">
        <f>IF(VLOOKUP(H719,DS_131,1,0)&lt;&gt;"","","x")</f>
        <v/>
      </c>
    </row>
    <row r="720" spans="1:31" s="211" customFormat="1" ht="15.75" customHeight="1">
      <c r="A720" s="204">
        <f>IF(B720&lt;&gt;"",IF(AND(B720&gt;=_TM1,B720&lt;=_TM2,OR(TH!L720="1111",TH!M720="1111")),TH!D720,""),"")</f>
        <v>0</v>
      </c>
      <c r="B720" s="36">
        <f t="shared" ref="B720" si="231">IF(C720&lt;&gt;"",MONTH(C720),"")</f>
        <v>12</v>
      </c>
      <c r="C720" s="184">
        <f t="shared" ref="C720" si="232">E720</f>
        <v>41986</v>
      </c>
      <c r="D720" s="184"/>
      <c r="E720" s="191">
        <v>41986</v>
      </c>
      <c r="F720" s="192" t="s">
        <v>894</v>
      </c>
      <c r="G720" s="463" t="s">
        <v>820</v>
      </c>
      <c r="H720" s="193" t="s">
        <v>721</v>
      </c>
      <c r="I720" s="251"/>
      <c r="J720" s="251"/>
      <c r="K720" s="38">
        <v>16082000</v>
      </c>
      <c r="L720" s="564" t="s">
        <v>47</v>
      </c>
      <c r="M720" s="564" t="s">
        <v>253</v>
      </c>
      <c r="N720" s="52" t="str">
        <f>IF(AND('331-CT'!$E$7=TH!H720,OR(L720="331",M720="331")),"331",IF(AND(OR(L720="131",M720="131"),H720='131-CT'!$E$7),"131",""))</f>
        <v/>
      </c>
      <c r="O720" s="89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09"/>
      <c r="AC720" s="555" t="str">
        <f>IF(VLOOKUP(H720,DS_131,1,0)&lt;&gt;"","","x")</f>
        <v/>
      </c>
    </row>
    <row r="721" spans="1:31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223"/>
        <v>12</v>
      </c>
      <c r="C721" s="184">
        <f t="shared" si="224"/>
        <v>41986</v>
      </c>
      <c r="D721" s="184" t="s">
        <v>963</v>
      </c>
      <c r="E721" s="191">
        <v>41986</v>
      </c>
      <c r="F721" s="192" t="s">
        <v>703</v>
      </c>
      <c r="G721" s="463" t="s">
        <v>821</v>
      </c>
      <c r="H721" s="7" t="s">
        <v>582</v>
      </c>
      <c r="I721" s="251">
        <v>3160</v>
      </c>
      <c r="J721" s="251">
        <v>7200</v>
      </c>
      <c r="K721" s="563">
        <f>ROUND(I721*J721,0)</f>
        <v>22752000</v>
      </c>
      <c r="L721" s="564" t="s">
        <v>253</v>
      </c>
      <c r="M721" s="564" t="s">
        <v>177</v>
      </c>
      <c r="N721" s="52" t="str">
        <f>IF(AND('331-CT'!$E$7=TH!H721,OR(L721="331",M721="331")),"331",IF(AND(OR(L721="131",M721="131"),H721='131-CT'!$E$7),"131",""))</f>
        <v/>
      </c>
      <c r="O721" s="89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09"/>
      <c r="AC721" s="211" t="str">
        <f>IF(F721=VLOOKUP(F721,NXT!$C$12:$C$345,1,0),"","x")</f>
        <v/>
      </c>
      <c r="AD721" s="555"/>
      <c r="AE721" s="555"/>
    </row>
    <row r="722" spans="1:31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223"/>
        <v>12</v>
      </c>
      <c r="C722" s="184">
        <f t="shared" si="224"/>
        <v>41986</v>
      </c>
      <c r="D722" s="184" t="s">
        <v>963</v>
      </c>
      <c r="E722" s="191">
        <v>41986</v>
      </c>
      <c r="F722" s="192" t="s">
        <v>708</v>
      </c>
      <c r="G722" s="463" t="s">
        <v>821</v>
      </c>
      <c r="H722" s="7" t="s">
        <v>582</v>
      </c>
      <c r="I722" s="251">
        <v>301</v>
      </c>
      <c r="J722" s="251">
        <v>8750</v>
      </c>
      <c r="K722" s="563">
        <f>ROUND(I722*J722,0)</f>
        <v>2633750</v>
      </c>
      <c r="L722" s="564" t="s">
        <v>253</v>
      </c>
      <c r="M722" s="564" t="s">
        <v>177</v>
      </c>
      <c r="N722" s="52" t="str">
        <f>IF(AND('331-CT'!$E$7=TH!H722,OR(L722="331",M722="331")),"331",IF(AND(OR(L722="131",M722="131"),H722='131-CT'!$E$7),"131",""))</f>
        <v/>
      </c>
      <c r="O722" s="89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09"/>
      <c r="AC722" s="211" t="str">
        <f>IF(F722=VLOOKUP(F722,NXT!$C$12:$C$345,1,0),"","x")</f>
        <v/>
      </c>
      <c r="AE722" s="555"/>
    </row>
    <row r="723" spans="1:31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223"/>
        <v>12</v>
      </c>
      <c r="C723" s="184">
        <f t="shared" si="224"/>
        <v>41986</v>
      </c>
      <c r="D723" s="184" t="s">
        <v>963</v>
      </c>
      <c r="E723" s="184">
        <v>41986</v>
      </c>
      <c r="F723" s="192" t="s">
        <v>420</v>
      </c>
      <c r="G723" s="565" t="s">
        <v>821</v>
      </c>
      <c r="H723" s="193" t="s">
        <v>582</v>
      </c>
      <c r="I723" s="251"/>
      <c r="J723" s="251"/>
      <c r="K723" s="563">
        <v>2538575</v>
      </c>
      <c r="L723" s="564" t="s">
        <v>253</v>
      </c>
      <c r="M723" s="564" t="s">
        <v>365</v>
      </c>
      <c r="N723" s="52" t="str">
        <f>IF(AND('331-CT'!$E$7=TH!H723,OR(L723="331",M723="331")),"331",IF(AND(OR(L723="131",M723="131"),H723='131-CT'!$E$7),"131",""))</f>
        <v/>
      </c>
      <c r="O723" s="89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09"/>
      <c r="AC723" s="555" t="str">
        <f>IF(VLOOKUP(H723,DS_131,1,0)&lt;&gt;"","","x")</f>
        <v/>
      </c>
      <c r="AD723" s="555"/>
      <c r="AE723" s="555"/>
    </row>
    <row r="724" spans="1:31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223"/>
        <v>12</v>
      </c>
      <c r="C724" s="184">
        <f t="shared" si="224"/>
        <v>41986</v>
      </c>
      <c r="D724" s="184" t="s">
        <v>964</v>
      </c>
      <c r="E724" s="191">
        <v>41986</v>
      </c>
      <c r="F724" s="192" t="s">
        <v>712</v>
      </c>
      <c r="G724" s="463" t="s">
        <v>822</v>
      </c>
      <c r="H724" s="7" t="s">
        <v>602</v>
      </c>
      <c r="I724" s="251">
        <v>20</v>
      </c>
      <c r="J724" s="251">
        <v>13500</v>
      </c>
      <c r="K724" s="563">
        <f>ROUND(I724*J724,0)</f>
        <v>270000</v>
      </c>
      <c r="L724" s="564" t="s">
        <v>253</v>
      </c>
      <c r="M724" s="564" t="s">
        <v>177</v>
      </c>
      <c r="N724" s="52" t="str">
        <f>IF(AND('331-CT'!$E$7=TH!H724,OR(L724="331",M724="331")),"331",IF(AND(OR(L724="131",M724="131"),H724='131-CT'!$E$7),"131",""))</f>
        <v/>
      </c>
      <c r="O724" s="89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09"/>
      <c r="AC724" s="211" t="str">
        <f>IF(F724=VLOOKUP(F724,NXT!$C$12:$C$345,1,0),"","x")</f>
        <v/>
      </c>
      <c r="AE724" s="555"/>
    </row>
    <row r="725" spans="1:31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223"/>
        <v>12</v>
      </c>
      <c r="C725" s="184">
        <f t="shared" si="224"/>
        <v>41986</v>
      </c>
      <c r="D725" s="184" t="s">
        <v>964</v>
      </c>
      <c r="E725" s="191">
        <v>41986</v>
      </c>
      <c r="F725" s="192" t="s">
        <v>823</v>
      </c>
      <c r="G725" s="463" t="s">
        <v>822</v>
      </c>
      <c r="H725" s="7" t="s">
        <v>602</v>
      </c>
      <c r="I725" s="251">
        <v>47</v>
      </c>
      <c r="J725" s="251">
        <v>13500</v>
      </c>
      <c r="K725" s="563">
        <f>ROUND(I725*J725,0)</f>
        <v>634500</v>
      </c>
      <c r="L725" s="564" t="s">
        <v>253</v>
      </c>
      <c r="M725" s="564" t="s">
        <v>177</v>
      </c>
      <c r="N725" s="52" t="str">
        <f>IF(AND('331-CT'!$E$7=TH!H725,OR(L725="331",M725="331")),"331",IF(AND(OR(L725="131",M725="131"),H725='131-CT'!$E$7),"131",""))</f>
        <v/>
      </c>
      <c r="O725" s="89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09"/>
      <c r="AC725" s="211" t="str">
        <f>IF(F725=VLOOKUP(F725,NXT!$C$12:$C$345,1,0),"","x")</f>
        <v/>
      </c>
      <c r="AD725" s="555"/>
      <c r="AE725" s="555"/>
    </row>
    <row r="726" spans="1:31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223"/>
        <v>12</v>
      </c>
      <c r="C726" s="184">
        <f t="shared" si="224"/>
        <v>41986</v>
      </c>
      <c r="D726" s="184" t="s">
        <v>964</v>
      </c>
      <c r="E726" s="191">
        <v>41986</v>
      </c>
      <c r="F726" s="192" t="s">
        <v>824</v>
      </c>
      <c r="G726" s="463" t="s">
        <v>822</v>
      </c>
      <c r="H726" s="193" t="s">
        <v>602</v>
      </c>
      <c r="I726" s="251">
        <v>902</v>
      </c>
      <c r="J726" s="251">
        <v>24000</v>
      </c>
      <c r="K726" s="563">
        <f>ROUND(I726*J726,0)</f>
        <v>21648000</v>
      </c>
      <c r="L726" s="564" t="s">
        <v>253</v>
      </c>
      <c r="M726" s="564" t="s">
        <v>177</v>
      </c>
      <c r="N726" s="52" t="str">
        <f>IF(AND('331-CT'!$E$7=TH!H726,OR(L726="331",M726="331")),"331",IF(AND(OR(L726="131",M726="131"),H726='131-CT'!$E$7),"131",""))</f>
        <v/>
      </c>
      <c r="O726" s="89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09"/>
      <c r="AC726" s="211" t="str">
        <f>IF(F726=VLOOKUP(F726,NXT!$C$12:$C$345,1,0),"","x")</f>
        <v/>
      </c>
      <c r="AD726" s="555"/>
      <c r="AE726" s="555"/>
    </row>
    <row r="727" spans="1:31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223"/>
        <v>12</v>
      </c>
      <c r="C727" s="184">
        <f t="shared" si="224"/>
        <v>41986</v>
      </c>
      <c r="D727" s="184" t="s">
        <v>964</v>
      </c>
      <c r="E727" s="191">
        <v>41986</v>
      </c>
      <c r="F727" s="192" t="s">
        <v>420</v>
      </c>
      <c r="G727" s="463" t="s">
        <v>822</v>
      </c>
      <c r="H727" s="193" t="s">
        <v>602</v>
      </c>
      <c r="I727" s="251"/>
      <c r="J727" s="251"/>
      <c r="K727" s="38">
        <v>2255250</v>
      </c>
      <c r="L727" s="564" t="s">
        <v>253</v>
      </c>
      <c r="M727" s="564" t="s">
        <v>365</v>
      </c>
      <c r="N727" s="52" t="str">
        <f>IF(AND('331-CT'!$E$7=TH!H727,OR(L727="331",M727="331")),"331",IF(AND(OR(L727="131",M727="131"),H727='131-CT'!$E$7),"131",""))</f>
        <v/>
      </c>
      <c r="O727" s="89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09"/>
      <c r="AC727" s="555" t="str">
        <f>IF(VLOOKUP(H727,DS_131,1,0)&lt;&gt;"","","x")</f>
        <v/>
      </c>
      <c r="AD727" s="555"/>
      <c r="AE727" s="555"/>
    </row>
    <row r="728" spans="1:31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223"/>
        <v>12</v>
      </c>
      <c r="C728" s="184">
        <f t="shared" si="224"/>
        <v>41988</v>
      </c>
      <c r="D728" s="184" t="s">
        <v>965</v>
      </c>
      <c r="E728" s="191">
        <v>41988</v>
      </c>
      <c r="F728" s="189" t="s">
        <v>825</v>
      </c>
      <c r="G728" s="463" t="s">
        <v>826</v>
      </c>
      <c r="H728" s="7" t="s">
        <v>688</v>
      </c>
      <c r="I728" s="251">
        <v>352</v>
      </c>
      <c r="J728" s="251">
        <v>19000</v>
      </c>
      <c r="K728" s="563">
        <f>ROUND(I728*J728,0)</f>
        <v>6688000</v>
      </c>
      <c r="L728" s="564" t="s">
        <v>253</v>
      </c>
      <c r="M728" s="564" t="s">
        <v>177</v>
      </c>
      <c r="N728" s="52" t="str">
        <f>IF(AND('331-CT'!$E$7=TH!H728,OR(L728="331",M728="331")),"331",IF(AND(OR(L728="131",M728="131"),H728='131-CT'!$E$7),"131",""))</f>
        <v/>
      </c>
      <c r="O728" s="89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09"/>
      <c r="AC728" s="211" t="str">
        <f>IF(F728=VLOOKUP(F728,NXT!$C$12:$C$345,1,0),"","x")</f>
        <v/>
      </c>
    </row>
    <row r="729" spans="1:31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223"/>
        <v>12</v>
      </c>
      <c r="C729" s="184">
        <f t="shared" si="224"/>
        <v>41988</v>
      </c>
      <c r="D729" s="184" t="s">
        <v>965</v>
      </c>
      <c r="E729" s="191">
        <v>41988</v>
      </c>
      <c r="F729" s="189" t="s">
        <v>827</v>
      </c>
      <c r="G729" s="463" t="s">
        <v>826</v>
      </c>
      <c r="H729" s="7" t="s">
        <v>688</v>
      </c>
      <c r="I729" s="251">
        <v>52</v>
      </c>
      <c r="J729" s="251">
        <v>24200</v>
      </c>
      <c r="K729" s="563">
        <f>ROUND(I729*J729,0)</f>
        <v>1258400</v>
      </c>
      <c r="L729" s="564" t="s">
        <v>253</v>
      </c>
      <c r="M729" s="564" t="s">
        <v>177</v>
      </c>
      <c r="N729" s="52" t="str">
        <f>IF(AND('331-CT'!$E$7=TH!H729,OR(L729="331",M729="331")),"331",IF(AND(OR(L729="131",M729="131"),H729='131-CT'!$E$7),"131",""))</f>
        <v/>
      </c>
      <c r="O729" s="89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09"/>
      <c r="AC729" s="211" t="str">
        <f>IF(F729=VLOOKUP(F729,NXT!$C$12:$C$345,1,0),"","x")</f>
        <v/>
      </c>
    </row>
    <row r="730" spans="1:31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223"/>
        <v>12</v>
      </c>
      <c r="C730" s="184">
        <f t="shared" si="224"/>
        <v>41988</v>
      </c>
      <c r="D730" s="184" t="s">
        <v>965</v>
      </c>
      <c r="E730" s="191">
        <v>41988</v>
      </c>
      <c r="F730" s="291" t="s">
        <v>828</v>
      </c>
      <c r="G730" s="463" t="s">
        <v>826</v>
      </c>
      <c r="H730" s="7" t="s">
        <v>688</v>
      </c>
      <c r="I730" s="251">
        <v>52</v>
      </c>
      <c r="J730" s="251">
        <v>27100</v>
      </c>
      <c r="K730" s="563">
        <f>ROUND(I730*J730,0)</f>
        <v>1409200</v>
      </c>
      <c r="L730" s="564" t="s">
        <v>253</v>
      </c>
      <c r="M730" s="564" t="s">
        <v>177</v>
      </c>
      <c r="N730" s="52" t="str">
        <f>IF(AND('331-CT'!$E$7=TH!H730,OR(L730="331",M730="331")),"331",IF(AND(OR(L730="131",M730="131"),H730='131-CT'!$E$7),"131",""))</f>
        <v/>
      </c>
      <c r="O730" s="89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09"/>
      <c r="AC730" s="211" t="str">
        <f>IF(F730=VLOOKUP(F730,NXT!$C$12:$C$345,1,0),"","x")</f>
        <v/>
      </c>
    </row>
    <row r="731" spans="1:31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223"/>
        <v>12</v>
      </c>
      <c r="C731" s="184">
        <f t="shared" si="224"/>
        <v>41988</v>
      </c>
      <c r="D731" s="184" t="s">
        <v>965</v>
      </c>
      <c r="E731" s="191">
        <v>41988</v>
      </c>
      <c r="F731" s="192" t="s">
        <v>420</v>
      </c>
      <c r="G731" s="463" t="s">
        <v>826</v>
      </c>
      <c r="H731" s="7" t="s">
        <v>688</v>
      </c>
      <c r="I731" s="251"/>
      <c r="J731" s="251"/>
      <c r="K731" s="563">
        <v>935560</v>
      </c>
      <c r="L731" s="564" t="s">
        <v>253</v>
      </c>
      <c r="M731" s="564" t="s">
        <v>365</v>
      </c>
      <c r="N731" s="52" t="str">
        <f>IF(AND('331-CT'!$E$7=TH!H731,OR(L731="331",M731="331")),"331",IF(AND(OR(L731="131",M731="131"),H731='131-CT'!$E$7),"131",""))</f>
        <v/>
      </c>
      <c r="O731" s="89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09"/>
      <c r="AC731" s="555" t="str">
        <f>IF(VLOOKUP(H731,DS_131,1,0)&lt;&gt;"","","x")</f>
        <v/>
      </c>
    </row>
    <row r="732" spans="1:31" s="211" customFormat="1" ht="15.75" customHeight="1">
      <c r="A732" s="204">
        <f>IF(B732&lt;&gt;"",IF(AND(B732&gt;=_TM1,B732&lt;=_TM2,OR(TH!L732="1111",TH!M732="1111")),TH!D732,""),"")</f>
        <v>0</v>
      </c>
      <c r="B732" s="36">
        <f t="shared" ref="B732" si="233">IF(C732&lt;&gt;"",MONTH(C732),"")</f>
        <v>12</v>
      </c>
      <c r="C732" s="184">
        <f t="shared" ref="C732" si="234">E732</f>
        <v>41988</v>
      </c>
      <c r="D732" s="184"/>
      <c r="E732" s="191">
        <v>41988</v>
      </c>
      <c r="F732" s="192" t="s">
        <v>894</v>
      </c>
      <c r="G732" s="463" t="s">
        <v>826</v>
      </c>
      <c r="H732" s="7" t="s">
        <v>688</v>
      </c>
      <c r="I732" s="251"/>
      <c r="J732" s="251"/>
      <c r="K732" s="563">
        <v>10291160</v>
      </c>
      <c r="L732" s="564" t="s">
        <v>47</v>
      </c>
      <c r="M732" s="564" t="s">
        <v>253</v>
      </c>
      <c r="N732" s="52" t="str">
        <f>IF(AND('331-CT'!$E$7=TH!H732,OR(L732="331",M732="331")),"331",IF(AND(OR(L732="131",M732="131"),H732='131-CT'!$E$7),"131",""))</f>
        <v/>
      </c>
      <c r="O732" s="89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09"/>
      <c r="AC732" s="555" t="str">
        <f>IF(VLOOKUP(H732,DS_131,1,0)&lt;&gt;"","","x")</f>
        <v/>
      </c>
    </row>
    <row r="733" spans="1:31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223"/>
        <v>12</v>
      </c>
      <c r="C733" s="184">
        <f t="shared" si="224"/>
        <v>41991</v>
      </c>
      <c r="D733" s="184" t="s">
        <v>966</v>
      </c>
      <c r="E733" s="191">
        <v>41991</v>
      </c>
      <c r="F733" s="291" t="s">
        <v>436</v>
      </c>
      <c r="G733" s="463" t="s">
        <v>829</v>
      </c>
      <c r="H733" s="7" t="s">
        <v>438</v>
      </c>
      <c r="I733" s="251">
        <v>522</v>
      </c>
      <c r="J733" s="251">
        <v>10500</v>
      </c>
      <c r="K733" s="563">
        <f>ROUND(I733*J733,0)</f>
        <v>5481000</v>
      </c>
      <c r="L733" s="564" t="s">
        <v>253</v>
      </c>
      <c r="M733" s="564" t="s">
        <v>177</v>
      </c>
      <c r="N733" s="52" t="str">
        <f>IF(AND('331-CT'!$E$7=TH!H733,OR(L733="331",M733="331")),"331",IF(AND(OR(L733="131",M733="131"),H733='131-CT'!$E$7),"131",""))</f>
        <v/>
      </c>
      <c r="O733" s="89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09"/>
      <c r="AC733" s="211" t="str">
        <f>IF(F733=VLOOKUP(F733,NXT!$C$12:$C$345,1,0),"","x")</f>
        <v/>
      </c>
    </row>
    <row r="734" spans="1:31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223"/>
        <v>12</v>
      </c>
      <c r="C734" s="184">
        <f t="shared" si="224"/>
        <v>41991</v>
      </c>
      <c r="D734" s="184" t="s">
        <v>966</v>
      </c>
      <c r="E734" s="191">
        <v>41991</v>
      </c>
      <c r="F734" s="189" t="s">
        <v>420</v>
      </c>
      <c r="G734" s="463" t="s">
        <v>829</v>
      </c>
      <c r="H734" s="7" t="s">
        <v>438</v>
      </c>
      <c r="I734" s="251"/>
      <c r="J734" s="251"/>
      <c r="K734" s="563">
        <v>548100</v>
      </c>
      <c r="L734" s="564" t="s">
        <v>253</v>
      </c>
      <c r="M734" s="564" t="s">
        <v>365</v>
      </c>
      <c r="N734" s="52" t="str">
        <f>IF(AND('331-CT'!$E$7=TH!H734,OR(L734="331",M734="331")),"331",IF(AND(OR(L734="131",M734="131"),H734='131-CT'!$E$7),"131",""))</f>
        <v/>
      </c>
      <c r="O734" s="89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09"/>
      <c r="AC734" s="555" t="str">
        <f>IF(VLOOKUP(H734,DS_131,1,0)&lt;&gt;"","","x")</f>
        <v/>
      </c>
    </row>
    <row r="735" spans="1:31" s="211" customFormat="1" ht="15.75" customHeight="1">
      <c r="A735" s="204">
        <f>IF(B735&lt;&gt;"",IF(AND(B735&gt;=_TM1,B735&lt;=_TM2,OR(TH!L735="1111",TH!M735="1111")),TH!D735,""),"")</f>
        <v>0</v>
      </c>
      <c r="B735" s="36">
        <f t="shared" ref="B735" si="235">IF(C735&lt;&gt;"",MONTH(C735),"")</f>
        <v>12</v>
      </c>
      <c r="C735" s="184">
        <f t="shared" ref="C735" si="236">E735</f>
        <v>41991</v>
      </c>
      <c r="D735" s="184"/>
      <c r="E735" s="191">
        <v>41991</v>
      </c>
      <c r="F735" s="192" t="s">
        <v>894</v>
      </c>
      <c r="G735" s="463" t="s">
        <v>829</v>
      </c>
      <c r="H735" s="7" t="s">
        <v>438</v>
      </c>
      <c r="I735" s="251"/>
      <c r="J735" s="251"/>
      <c r="K735" s="563">
        <v>6029100</v>
      </c>
      <c r="L735" s="564" t="s">
        <v>47</v>
      </c>
      <c r="M735" s="564" t="s">
        <v>253</v>
      </c>
      <c r="N735" s="52" t="str">
        <f>IF(AND('331-CT'!$E$7=TH!H735,OR(L735="331",M735="331")),"331",IF(AND(OR(L735="131",M735="131"),H735='131-CT'!$E$7),"131",""))</f>
        <v/>
      </c>
      <c r="O735" s="89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09"/>
      <c r="AC735" s="555" t="str">
        <f>IF(VLOOKUP(H735,DS_131,1,0)&lt;&gt;"","","x")</f>
        <v/>
      </c>
    </row>
    <row r="736" spans="1:31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223"/>
        <v>12</v>
      </c>
      <c r="C736" s="184">
        <f t="shared" si="224"/>
        <v>41992</v>
      </c>
      <c r="D736" s="184" t="s">
        <v>967</v>
      </c>
      <c r="E736" s="191">
        <v>41992</v>
      </c>
      <c r="F736" s="189" t="s">
        <v>830</v>
      </c>
      <c r="G736" s="463" t="s">
        <v>831</v>
      </c>
      <c r="H736" s="7" t="s">
        <v>832</v>
      </c>
      <c r="I736" s="251">
        <v>2500</v>
      </c>
      <c r="J736" s="251">
        <v>1934</v>
      </c>
      <c r="K736" s="563">
        <f>ROUND(I736*J736,0)</f>
        <v>4835000</v>
      </c>
      <c r="L736" s="564" t="s">
        <v>253</v>
      </c>
      <c r="M736" s="564" t="s">
        <v>177</v>
      </c>
      <c r="N736" s="52" t="str">
        <f>IF(AND('331-CT'!$E$7=TH!H736,OR(L736="331",M736="331")),"331",IF(AND(OR(L736="131",M736="131"),H736='131-CT'!$E$7),"131",""))</f>
        <v/>
      </c>
      <c r="O736" s="89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09"/>
      <c r="AC736" s="211" t="str">
        <f>IF(F736=VLOOKUP(F736,NXT!$C$12:$C$345,1,0),"","x")</f>
        <v/>
      </c>
    </row>
    <row r="737" spans="1:31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223"/>
        <v>12</v>
      </c>
      <c r="C737" s="184">
        <f t="shared" si="224"/>
        <v>41992</v>
      </c>
      <c r="D737" s="184" t="s">
        <v>967</v>
      </c>
      <c r="E737" s="191">
        <v>41992</v>
      </c>
      <c r="F737" s="189" t="s">
        <v>833</v>
      </c>
      <c r="G737" s="463" t="s">
        <v>831</v>
      </c>
      <c r="H737" s="7" t="s">
        <v>832</v>
      </c>
      <c r="I737" s="251">
        <v>2200</v>
      </c>
      <c r="J737" s="251">
        <v>4499</v>
      </c>
      <c r="K737" s="563">
        <f>ROUND(I737*J737,0)</f>
        <v>9897800</v>
      </c>
      <c r="L737" s="564" t="s">
        <v>253</v>
      </c>
      <c r="M737" s="564" t="s">
        <v>177</v>
      </c>
      <c r="N737" s="52" t="str">
        <f>IF(AND('331-CT'!$E$7=TH!H737,OR(L737="331",M737="331")),"331",IF(AND(OR(L737="131",M737="131"),H737='131-CT'!$E$7),"131",""))</f>
        <v/>
      </c>
      <c r="O737" s="89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09"/>
      <c r="AC737" s="211" t="str">
        <f>IF(F737=VLOOKUP(F737,NXT!$C$12:$C$345,1,0),"","x")</f>
        <v/>
      </c>
    </row>
    <row r="738" spans="1:31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223"/>
        <v>12</v>
      </c>
      <c r="C738" s="184">
        <f t="shared" si="224"/>
        <v>41992</v>
      </c>
      <c r="D738" s="184" t="s">
        <v>967</v>
      </c>
      <c r="E738" s="191">
        <v>41992</v>
      </c>
      <c r="F738" s="189" t="s">
        <v>650</v>
      </c>
      <c r="G738" s="463" t="s">
        <v>831</v>
      </c>
      <c r="H738" s="7" t="s">
        <v>832</v>
      </c>
      <c r="I738" s="251"/>
      <c r="J738" s="251"/>
      <c r="K738" s="563">
        <v>1473280</v>
      </c>
      <c r="L738" s="564" t="s">
        <v>253</v>
      </c>
      <c r="M738" s="564" t="s">
        <v>365</v>
      </c>
      <c r="N738" s="52" t="str">
        <f>IF(AND('331-CT'!$E$7=TH!H738,OR(L738="331",M738="331")),"331",IF(AND(OR(L738="131",M738="131"),H738='131-CT'!$E$7),"131",""))</f>
        <v/>
      </c>
      <c r="O738" s="89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09"/>
      <c r="AC738" s="555" t="str">
        <f>IF(VLOOKUP(H738,DS_131,1,0)&lt;&gt;"","","x")</f>
        <v/>
      </c>
    </row>
    <row r="739" spans="1:31" s="211" customFormat="1" ht="15.75" customHeight="1">
      <c r="A739" s="204">
        <f>IF(B739&lt;&gt;"",IF(AND(B739&gt;=_TM1,B739&lt;=_TM2,OR(TH!L739="1111",TH!M739="1111")),TH!D739,""),"")</f>
        <v>0</v>
      </c>
      <c r="B739" s="36">
        <f t="shared" ref="B739" si="237">IF(C739&lt;&gt;"",MONTH(C739),"")</f>
        <v>12</v>
      </c>
      <c r="C739" s="184">
        <f t="shared" ref="C739" si="238">E739</f>
        <v>41992</v>
      </c>
      <c r="D739" s="184"/>
      <c r="E739" s="191">
        <v>41992</v>
      </c>
      <c r="F739" s="192" t="s">
        <v>894</v>
      </c>
      <c r="G739" s="463" t="s">
        <v>831</v>
      </c>
      <c r="H739" s="7" t="s">
        <v>832</v>
      </c>
      <c r="I739" s="251"/>
      <c r="J739" s="251"/>
      <c r="K739" s="563">
        <v>16206080</v>
      </c>
      <c r="L739" s="564" t="s">
        <v>47</v>
      </c>
      <c r="M739" s="564" t="s">
        <v>253</v>
      </c>
      <c r="N739" s="52" t="str">
        <f>IF(AND('331-CT'!$E$7=TH!H739,OR(L739="331",M739="331")),"331",IF(AND(OR(L739="131",M739="131"),H739='131-CT'!$E$7),"131",""))</f>
        <v/>
      </c>
      <c r="O739" s="89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09"/>
      <c r="AC739" s="555" t="str">
        <f>IF(VLOOKUP(H739,DS_131,1,0)&lt;&gt;"","","x")</f>
        <v/>
      </c>
    </row>
    <row r="740" spans="1:31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223"/>
        <v>12</v>
      </c>
      <c r="C740" s="184">
        <f t="shared" si="224"/>
        <v>41993</v>
      </c>
      <c r="D740" s="184" t="s">
        <v>968</v>
      </c>
      <c r="E740" s="184">
        <v>41993</v>
      </c>
      <c r="F740" s="189" t="s">
        <v>834</v>
      </c>
      <c r="G740" s="565" t="s">
        <v>835</v>
      </c>
      <c r="H740" s="193" t="s">
        <v>798</v>
      </c>
      <c r="I740" s="251">
        <v>500</v>
      </c>
      <c r="J740" s="251">
        <v>11000</v>
      </c>
      <c r="K740" s="563">
        <f>ROUND(I740*J740,0)</f>
        <v>5500000</v>
      </c>
      <c r="L740" s="564" t="s">
        <v>253</v>
      </c>
      <c r="M740" s="564" t="s">
        <v>177</v>
      </c>
      <c r="N740" s="52" t="str">
        <f>IF(AND('331-CT'!$E$7=TH!H740,OR(L740="331",M740="331")),"331",IF(AND(OR(L740="131",M740="131"),H740='131-CT'!$E$7),"131",""))</f>
        <v/>
      </c>
      <c r="O740" s="89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09"/>
      <c r="AC740" s="211" t="str">
        <f>IF(F740=VLOOKUP(F740,NXT!$C$12:$C$345,1,0),"","x")</f>
        <v/>
      </c>
      <c r="AD740" s="555"/>
      <c r="AE740" s="555"/>
    </row>
    <row r="741" spans="1:31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223"/>
        <v>12</v>
      </c>
      <c r="C741" s="184">
        <f t="shared" si="224"/>
        <v>41993</v>
      </c>
      <c r="D741" s="184" t="s">
        <v>968</v>
      </c>
      <c r="E741" s="184">
        <v>41993</v>
      </c>
      <c r="F741" s="189" t="s">
        <v>650</v>
      </c>
      <c r="G741" s="565" t="s">
        <v>835</v>
      </c>
      <c r="H741" s="7" t="s">
        <v>798</v>
      </c>
      <c r="I741" s="251"/>
      <c r="J741" s="251"/>
      <c r="K741" s="563">
        <v>550000</v>
      </c>
      <c r="L741" s="564" t="s">
        <v>253</v>
      </c>
      <c r="M741" s="564" t="s">
        <v>365</v>
      </c>
      <c r="N741" s="52" t="str">
        <f>IF(AND('331-CT'!$E$7=TH!H741,OR(L741="331",M741="331")),"331",IF(AND(OR(L741="131",M741="131"),H741='131-CT'!$E$7),"131",""))</f>
        <v/>
      </c>
      <c r="O741" s="89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09"/>
      <c r="AC741" s="555" t="str">
        <f>IF(VLOOKUP(H741,DS_131,1,0)&lt;&gt;"","","x")</f>
        <v/>
      </c>
      <c r="AE741" s="555"/>
    </row>
    <row r="742" spans="1:31" s="211" customFormat="1" ht="15.75" customHeight="1">
      <c r="A742" s="204">
        <f>IF(B742&lt;&gt;"",IF(AND(B742&gt;=_TM1,B742&lt;=_TM2,OR(TH!L742="1111",TH!M742="1111")),TH!D742,""),"")</f>
        <v>0</v>
      </c>
      <c r="B742" s="36">
        <f t="shared" ref="B742" si="239">IF(C742&lt;&gt;"",MONTH(C742),"")</f>
        <v>12</v>
      </c>
      <c r="C742" s="184">
        <f t="shared" ref="C742" si="240">E742</f>
        <v>41993</v>
      </c>
      <c r="D742" s="184"/>
      <c r="E742" s="184">
        <v>41993</v>
      </c>
      <c r="F742" s="192" t="s">
        <v>894</v>
      </c>
      <c r="G742" s="565" t="s">
        <v>835</v>
      </c>
      <c r="H742" s="7" t="s">
        <v>798</v>
      </c>
      <c r="I742" s="251"/>
      <c r="J742" s="251"/>
      <c r="K742" s="563">
        <v>6050000</v>
      </c>
      <c r="L742" s="564" t="s">
        <v>47</v>
      </c>
      <c r="M742" s="564" t="s">
        <v>253</v>
      </c>
      <c r="N742" s="52" t="str">
        <f>IF(AND('331-CT'!$E$7=TH!H742,OR(L742="331",M742="331")),"331",IF(AND(OR(L742="131",M742="131"),H742='131-CT'!$E$7),"131",""))</f>
        <v/>
      </c>
      <c r="O742" s="89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09"/>
      <c r="AC742" s="555" t="str">
        <f>IF(VLOOKUP(H742,DS_131,1,0)&lt;&gt;"","","x")</f>
        <v/>
      </c>
      <c r="AE742" s="555"/>
    </row>
    <row r="743" spans="1:31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223"/>
        <v>12</v>
      </c>
      <c r="C743" s="184">
        <f t="shared" si="224"/>
        <v>41993</v>
      </c>
      <c r="D743" s="184" t="s">
        <v>969</v>
      </c>
      <c r="E743" s="184">
        <v>41993</v>
      </c>
      <c r="F743" s="189" t="s">
        <v>836</v>
      </c>
      <c r="G743" s="565" t="s">
        <v>837</v>
      </c>
      <c r="H743" s="7" t="s">
        <v>838</v>
      </c>
      <c r="I743" s="251">
        <v>213</v>
      </c>
      <c r="J743" s="251">
        <v>15500</v>
      </c>
      <c r="K743" s="563">
        <f>ROUND(I743*J743,0)</f>
        <v>3301500</v>
      </c>
      <c r="L743" s="564" t="s">
        <v>253</v>
      </c>
      <c r="M743" s="564" t="s">
        <v>177</v>
      </c>
      <c r="N743" s="52" t="str">
        <f>IF(AND('331-CT'!$E$7=TH!H743,OR(L743="331",M743="331")),"331",IF(AND(OR(L743="131",M743="131"),H743='131-CT'!$E$7),"131",""))</f>
        <v/>
      </c>
      <c r="O743" s="89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09"/>
      <c r="AC743" s="211" t="str">
        <f>IF(F743=VLOOKUP(F743,NXT!$C$12:$C$345,1,0),"","x")</f>
        <v/>
      </c>
      <c r="AE743" s="555"/>
    </row>
    <row r="744" spans="1:31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223"/>
        <v>12</v>
      </c>
      <c r="C744" s="184">
        <f t="shared" si="224"/>
        <v>41993</v>
      </c>
      <c r="D744" s="184" t="s">
        <v>969</v>
      </c>
      <c r="E744" s="184">
        <v>41993</v>
      </c>
      <c r="F744" s="189" t="s">
        <v>420</v>
      </c>
      <c r="G744" s="565" t="s">
        <v>837</v>
      </c>
      <c r="H744" s="7" t="s">
        <v>838</v>
      </c>
      <c r="I744" s="251"/>
      <c r="J744" s="251"/>
      <c r="K744" s="563">
        <v>330150</v>
      </c>
      <c r="L744" s="564" t="s">
        <v>253</v>
      </c>
      <c r="M744" s="564" t="s">
        <v>365</v>
      </c>
      <c r="N744" s="52" t="str">
        <f>IF(AND('331-CT'!$E$7=TH!H744,OR(L744="331",M744="331")),"331",IF(AND(OR(L744="131",M744="131"),H744='131-CT'!$E$7),"131",""))</f>
        <v/>
      </c>
      <c r="O744" s="89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09"/>
      <c r="AC744" s="555" t="str">
        <f>IF(VLOOKUP(H744,DS_131,1,0)&lt;&gt;"","","x")</f>
        <v/>
      </c>
      <c r="AD744" s="555"/>
      <c r="AE744" s="555"/>
    </row>
    <row r="745" spans="1:31" s="211" customFormat="1" ht="15.75" customHeight="1">
      <c r="A745" s="204">
        <f>IF(B745&lt;&gt;"",IF(AND(B745&gt;=_TM1,B745&lt;=_TM2,OR(TH!L745="1111",TH!M745="1111")),TH!D745,""),"")</f>
        <v>0</v>
      </c>
      <c r="B745" s="36">
        <f t="shared" ref="B745" si="241">IF(C745&lt;&gt;"",MONTH(C745),"")</f>
        <v>12</v>
      </c>
      <c r="C745" s="184">
        <f t="shared" ref="C745" si="242">E745</f>
        <v>41993</v>
      </c>
      <c r="D745" s="184"/>
      <c r="E745" s="184">
        <v>41993</v>
      </c>
      <c r="F745" s="192" t="s">
        <v>894</v>
      </c>
      <c r="G745" s="565" t="s">
        <v>837</v>
      </c>
      <c r="H745" s="7" t="s">
        <v>838</v>
      </c>
      <c r="I745" s="251"/>
      <c r="J745" s="251"/>
      <c r="K745" s="563">
        <v>3631650</v>
      </c>
      <c r="L745" s="564" t="s">
        <v>47</v>
      </c>
      <c r="M745" s="564" t="s">
        <v>253</v>
      </c>
      <c r="N745" s="52" t="str">
        <f>IF(AND('331-CT'!$E$7=TH!H745,OR(L745="331",M745="331")),"331",IF(AND(OR(L745="131",M745="131"),H745='131-CT'!$E$7),"131",""))</f>
        <v/>
      </c>
      <c r="O745" s="89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09"/>
      <c r="AC745" s="555" t="str">
        <f>IF(VLOOKUP(H745,DS_131,1,0)&lt;&gt;"","","x")</f>
        <v/>
      </c>
      <c r="AD745" s="555"/>
      <c r="AE745" s="555"/>
    </row>
    <row r="746" spans="1:31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223"/>
        <v>12</v>
      </c>
      <c r="C746" s="184">
        <f t="shared" si="224"/>
        <v>41995</v>
      </c>
      <c r="D746" s="184" t="s">
        <v>970</v>
      </c>
      <c r="E746" s="191">
        <v>41995</v>
      </c>
      <c r="F746" s="189" t="s">
        <v>1206</v>
      </c>
      <c r="G746" s="463" t="s">
        <v>839</v>
      </c>
      <c r="H746" s="7" t="s">
        <v>906</v>
      </c>
      <c r="I746" s="251">
        <v>819</v>
      </c>
      <c r="J746" s="251">
        <v>14300</v>
      </c>
      <c r="K746" s="563">
        <f>ROUND(I746*J746,0)</f>
        <v>11711700</v>
      </c>
      <c r="L746" s="564" t="s">
        <v>253</v>
      </c>
      <c r="M746" s="564" t="s">
        <v>177</v>
      </c>
      <c r="N746" s="52" t="str">
        <f>IF(AND('331-CT'!$E$7=TH!H746,OR(L746="331",M746="331")),"331",IF(AND(OR(L746="131",M746="131"),H746='131-CT'!$E$7),"131",""))</f>
        <v/>
      </c>
      <c r="O746" s="89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09"/>
      <c r="AC746" s="211" t="str">
        <f>IF(F746=VLOOKUP(F746,NXT!$C$12:$C$345,1,0),"","x")</f>
        <v/>
      </c>
      <c r="AE746" s="555"/>
    </row>
    <row r="747" spans="1:31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223"/>
        <v>12</v>
      </c>
      <c r="C747" s="184">
        <f t="shared" si="224"/>
        <v>41995</v>
      </c>
      <c r="D747" s="184" t="s">
        <v>970</v>
      </c>
      <c r="E747" s="191">
        <v>41995</v>
      </c>
      <c r="F747" s="40" t="s">
        <v>445</v>
      </c>
      <c r="G747" s="463" t="s">
        <v>839</v>
      </c>
      <c r="H747" s="7" t="s">
        <v>906</v>
      </c>
      <c r="I747" s="251">
        <v>1638</v>
      </c>
      <c r="J747" s="251">
        <v>1500</v>
      </c>
      <c r="K747" s="563">
        <f>ROUND(I747*J747,0)</f>
        <v>2457000</v>
      </c>
      <c r="L747" s="564" t="s">
        <v>253</v>
      </c>
      <c r="M747" s="564" t="s">
        <v>177</v>
      </c>
      <c r="N747" s="52" t="str">
        <f>IF(AND('331-CT'!$E$7=TH!H747,OR(L747="331",M747="331")),"331",IF(AND(OR(L747="131",M747="131"),H747='131-CT'!$E$7),"131",""))</f>
        <v/>
      </c>
      <c r="O747" s="89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09"/>
      <c r="AC747" s="211" t="str">
        <f>IF(F747=VLOOKUP(F747,NXT!$C$12:$C$345,1,0),"","x")</f>
        <v/>
      </c>
      <c r="AE747" s="555"/>
    </row>
    <row r="748" spans="1:31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223"/>
        <v>12</v>
      </c>
      <c r="C748" s="184">
        <f t="shared" si="224"/>
        <v>41995</v>
      </c>
      <c r="D748" s="184" t="s">
        <v>970</v>
      </c>
      <c r="E748" s="191">
        <v>41995</v>
      </c>
      <c r="F748" s="189" t="s">
        <v>420</v>
      </c>
      <c r="G748" s="463" t="s">
        <v>839</v>
      </c>
      <c r="H748" s="7" t="s">
        <v>906</v>
      </c>
      <c r="I748" s="251"/>
      <c r="J748" s="251"/>
      <c r="K748" s="563">
        <v>1416870</v>
      </c>
      <c r="L748" s="564" t="s">
        <v>253</v>
      </c>
      <c r="M748" s="564" t="s">
        <v>365</v>
      </c>
      <c r="N748" s="52" t="str">
        <f>IF(AND('331-CT'!$E$7=TH!H748,OR(L748="331",M748="331")),"331",IF(AND(OR(L748="131",M748="131"),H748='131-CT'!$E$7),"131",""))</f>
        <v/>
      </c>
      <c r="O748" s="89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09"/>
      <c r="AC748" s="555" t="str">
        <f>IF(VLOOKUP(H748,DS_131,1,0)&lt;&gt;"","","x")</f>
        <v/>
      </c>
      <c r="AD748" s="555"/>
    </row>
    <row r="749" spans="1:31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223"/>
        <v>12</v>
      </c>
      <c r="C749" s="184">
        <f t="shared" si="224"/>
        <v>41997</v>
      </c>
      <c r="D749" s="184" t="s">
        <v>971</v>
      </c>
      <c r="E749" s="191">
        <v>41997</v>
      </c>
      <c r="F749" s="189" t="s">
        <v>741</v>
      </c>
      <c r="G749" s="463" t="s">
        <v>840</v>
      </c>
      <c r="H749" s="7" t="s">
        <v>419</v>
      </c>
      <c r="I749" s="251">
        <v>517</v>
      </c>
      <c r="J749" s="251">
        <v>5400</v>
      </c>
      <c r="K749" s="563">
        <f>ROUND(I749*J749,0)</f>
        <v>2791800</v>
      </c>
      <c r="L749" s="564" t="s">
        <v>253</v>
      </c>
      <c r="M749" s="564" t="s">
        <v>177</v>
      </c>
      <c r="N749" s="52" t="str">
        <f>IF(AND('331-CT'!$E$7=TH!H749,OR(L749="331",M749="331")),"331",IF(AND(OR(L749="131",M749="131"),H749='131-CT'!$E$7),"131",""))</f>
        <v/>
      </c>
      <c r="O749" s="89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09"/>
      <c r="AC749" s="211" t="str">
        <f>IF(F749=VLOOKUP(F749,NXT!$C$12:$C$345,1,0),"","x")</f>
        <v/>
      </c>
    </row>
    <row r="750" spans="1:31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223"/>
        <v>12</v>
      </c>
      <c r="C750" s="184">
        <f t="shared" si="224"/>
        <v>41997</v>
      </c>
      <c r="D750" s="184" t="s">
        <v>971</v>
      </c>
      <c r="E750" s="191">
        <v>41997</v>
      </c>
      <c r="F750" s="189" t="s">
        <v>420</v>
      </c>
      <c r="G750" s="463" t="s">
        <v>840</v>
      </c>
      <c r="H750" s="7" t="s">
        <v>419</v>
      </c>
      <c r="I750" s="251"/>
      <c r="J750" s="251"/>
      <c r="K750" s="563">
        <v>279180</v>
      </c>
      <c r="L750" s="564" t="s">
        <v>253</v>
      </c>
      <c r="M750" s="564" t="s">
        <v>365</v>
      </c>
      <c r="N750" s="52" t="str">
        <f>IF(AND('331-CT'!$E$7=TH!H750,OR(L750="331",M750="331")),"331",IF(AND(OR(L750="131",M750="131"),H750='131-CT'!$E$7),"131",""))</f>
        <v/>
      </c>
      <c r="O750" s="89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09"/>
      <c r="AC750" s="555" t="str">
        <f>IF(VLOOKUP(H750,DS_131,1,0)&lt;&gt;"","","x")</f>
        <v/>
      </c>
      <c r="AD750" s="555"/>
    </row>
    <row r="751" spans="1:31" s="211" customFormat="1" ht="15.75" customHeight="1">
      <c r="A751" s="204">
        <f>IF(B751&lt;&gt;"",IF(AND(B751&gt;=_TM1,B751&lt;=_TM2,OR(TH!L751="1111",TH!M751="1111")),TH!D751,""),"")</f>
        <v>0</v>
      </c>
      <c r="B751" s="36">
        <f t="shared" ref="B751" si="243">IF(C751&lt;&gt;"",MONTH(C751),"")</f>
        <v>12</v>
      </c>
      <c r="C751" s="184">
        <f t="shared" ref="C751" si="244">E751</f>
        <v>41997</v>
      </c>
      <c r="D751" s="184"/>
      <c r="E751" s="191">
        <v>41997</v>
      </c>
      <c r="F751" s="192" t="s">
        <v>894</v>
      </c>
      <c r="G751" s="463" t="s">
        <v>840</v>
      </c>
      <c r="H751" s="7" t="s">
        <v>419</v>
      </c>
      <c r="I751" s="251"/>
      <c r="J751" s="251"/>
      <c r="K751" s="563">
        <f>K749+K750</f>
        <v>3070980</v>
      </c>
      <c r="L751" s="564" t="s">
        <v>47</v>
      </c>
      <c r="M751" s="564" t="s">
        <v>253</v>
      </c>
      <c r="N751" s="52" t="str">
        <f>IF(AND('331-CT'!$E$7=TH!H751,OR(L751="331",M751="331")),"331",IF(AND(OR(L751="131",M751="131"),H751='131-CT'!$E$7),"131",""))</f>
        <v/>
      </c>
      <c r="O751" s="89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09"/>
      <c r="AC751" s="555" t="str">
        <f>IF(VLOOKUP(H751,DS_131,1,0)&lt;&gt;"","","x")</f>
        <v/>
      </c>
      <c r="AD751" s="555"/>
    </row>
    <row r="752" spans="1:31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223"/>
        <v>12</v>
      </c>
      <c r="C752" s="184">
        <f t="shared" si="224"/>
        <v>41997</v>
      </c>
      <c r="D752" s="184" t="s">
        <v>972</v>
      </c>
      <c r="E752" s="191">
        <v>41997</v>
      </c>
      <c r="F752" s="189" t="s">
        <v>841</v>
      </c>
      <c r="G752" s="463" t="s">
        <v>842</v>
      </c>
      <c r="H752" s="7" t="s">
        <v>684</v>
      </c>
      <c r="I752" s="251">
        <v>701</v>
      </c>
      <c r="J752" s="251">
        <v>18000</v>
      </c>
      <c r="K752" s="563">
        <f>ROUND(I752*J752,0)</f>
        <v>12618000</v>
      </c>
      <c r="L752" s="564" t="s">
        <v>253</v>
      </c>
      <c r="M752" s="564" t="s">
        <v>177</v>
      </c>
      <c r="N752" s="52" t="str">
        <f>IF(AND('331-CT'!$E$7=TH!H752,OR(L752="331",M752="331")),"331",IF(AND(OR(L752="131",M752="131"),H752='131-CT'!$E$7),"131",""))</f>
        <v/>
      </c>
      <c r="O752" s="89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09"/>
      <c r="AC752" s="211" t="str">
        <f>IF(F752=VLOOKUP(F752,NXT!$C$12:$C$345,1,0),"","x")</f>
        <v/>
      </c>
    </row>
    <row r="753" spans="1:31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223"/>
        <v>12</v>
      </c>
      <c r="C753" s="184">
        <f t="shared" si="224"/>
        <v>41997</v>
      </c>
      <c r="D753" s="184" t="s">
        <v>972</v>
      </c>
      <c r="E753" s="191">
        <v>41997</v>
      </c>
      <c r="F753" s="189" t="s">
        <v>843</v>
      </c>
      <c r="G753" s="463" t="s">
        <v>842</v>
      </c>
      <c r="H753" s="7" t="s">
        <v>684</v>
      </c>
      <c r="I753" s="251">
        <v>59</v>
      </c>
      <c r="J753" s="251">
        <v>32000</v>
      </c>
      <c r="K753" s="563">
        <f>ROUND(I753*J753,0)</f>
        <v>1888000</v>
      </c>
      <c r="L753" s="564" t="s">
        <v>253</v>
      </c>
      <c r="M753" s="564" t="s">
        <v>177</v>
      </c>
      <c r="N753" s="52" t="str">
        <f>IF(AND('331-CT'!$E$7=TH!H753,OR(L753="331",M753="331")),"331",IF(AND(OR(L753="131",M753="131"),H753='131-CT'!$E$7),"131",""))</f>
        <v/>
      </c>
      <c r="O753" s="89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09"/>
      <c r="AC753" s="211" t="str">
        <f>IF(F753=VLOOKUP(F753,NXT!$C$12:$C$345,1,0),"","x")</f>
        <v/>
      </c>
      <c r="AD753" s="555"/>
    </row>
    <row r="754" spans="1:31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223"/>
        <v>12</v>
      </c>
      <c r="C754" s="184">
        <f t="shared" si="224"/>
        <v>41997</v>
      </c>
      <c r="D754" s="184" t="s">
        <v>972</v>
      </c>
      <c r="E754" s="191">
        <v>41997</v>
      </c>
      <c r="F754" s="189" t="s">
        <v>1201</v>
      </c>
      <c r="G754" s="463" t="s">
        <v>842</v>
      </c>
      <c r="H754" s="7" t="s">
        <v>684</v>
      </c>
      <c r="I754" s="252">
        <v>1402</v>
      </c>
      <c r="J754" s="251">
        <v>1023</v>
      </c>
      <c r="K754" s="563">
        <f>ROUND(I754*J754,0)</f>
        <v>1434246</v>
      </c>
      <c r="L754" s="564" t="s">
        <v>253</v>
      </c>
      <c r="M754" s="564" t="s">
        <v>177</v>
      </c>
      <c r="N754" s="52" t="str">
        <f>IF(AND('331-CT'!$E$7=TH!H754,OR(L754="331",M754="331")),"331",IF(AND(OR(L754="131",M754="131"),H754='131-CT'!$E$7),"131",""))</f>
        <v/>
      </c>
      <c r="O754" s="89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09"/>
      <c r="AC754" s="211" t="str">
        <f>IF(F754=VLOOKUP(F754,NXT!$C$12:$C$345,1,0),"","x")</f>
        <v/>
      </c>
    </row>
    <row r="755" spans="1:31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223"/>
        <v>12</v>
      </c>
      <c r="C755" s="184">
        <f t="shared" si="224"/>
        <v>41997</v>
      </c>
      <c r="D755" s="184" t="s">
        <v>972</v>
      </c>
      <c r="E755" s="191">
        <v>41997</v>
      </c>
      <c r="F755" s="189" t="s">
        <v>1202</v>
      </c>
      <c r="G755" s="463" t="s">
        <v>842</v>
      </c>
      <c r="H755" s="7" t="s">
        <v>684</v>
      </c>
      <c r="I755" s="251">
        <v>118</v>
      </c>
      <c r="J755" s="251">
        <v>2322</v>
      </c>
      <c r="K755" s="563">
        <f>ROUND(I755*J755,0)</f>
        <v>273996</v>
      </c>
      <c r="L755" s="564" t="s">
        <v>253</v>
      </c>
      <c r="M755" s="564" t="s">
        <v>177</v>
      </c>
      <c r="N755" s="52" t="str">
        <f>IF(AND('331-CT'!$E$7=TH!H755,OR(L755="331",M755="331")),"331",IF(AND(OR(L755="131",M755="131"),H755='131-CT'!$E$7),"131",""))</f>
        <v/>
      </c>
      <c r="O755" s="89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09"/>
      <c r="AC755" s="211" t="str">
        <f>IF(F755=VLOOKUP(F755,NXT!$C$12:$C$345,1,0),"","x")</f>
        <v/>
      </c>
    </row>
    <row r="756" spans="1:31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223"/>
        <v>12</v>
      </c>
      <c r="C756" s="184">
        <f t="shared" si="224"/>
        <v>41997</v>
      </c>
      <c r="D756" s="184" t="s">
        <v>972</v>
      </c>
      <c r="E756" s="191">
        <v>41997</v>
      </c>
      <c r="F756" s="40" t="s">
        <v>420</v>
      </c>
      <c r="G756" s="463" t="s">
        <v>842</v>
      </c>
      <c r="H756" s="7" t="s">
        <v>684</v>
      </c>
      <c r="I756" s="251"/>
      <c r="J756" s="251"/>
      <c r="K756" s="563">
        <v>1621424</v>
      </c>
      <c r="L756" s="564" t="s">
        <v>253</v>
      </c>
      <c r="M756" s="564" t="s">
        <v>365</v>
      </c>
      <c r="N756" s="52" t="str">
        <f>IF(AND('331-CT'!$E$7=TH!H756,OR(L756="331",M756="331")),"331",IF(AND(OR(L756="131",M756="131"),H756='131-CT'!$E$7),"131",""))</f>
        <v/>
      </c>
      <c r="O756" s="89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09"/>
      <c r="AC756" s="555" t="str">
        <f>IF(VLOOKUP(H756,DS_131,1,0)&lt;&gt;"","","x")</f>
        <v/>
      </c>
    </row>
    <row r="757" spans="1:31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223"/>
        <v>12</v>
      </c>
      <c r="C757" s="184">
        <f t="shared" si="224"/>
        <v>41997</v>
      </c>
      <c r="D757" s="184" t="s">
        <v>973</v>
      </c>
      <c r="E757" s="191">
        <v>41997</v>
      </c>
      <c r="F757" s="40" t="s">
        <v>844</v>
      </c>
      <c r="G757" s="463" t="s">
        <v>845</v>
      </c>
      <c r="H757" s="7" t="s">
        <v>846</v>
      </c>
      <c r="I757" s="251">
        <v>42</v>
      </c>
      <c r="J757" s="251">
        <v>7018</v>
      </c>
      <c r="K757" s="563">
        <f t="shared" ref="K757:K766" si="245">ROUND(I757*J757,0)</f>
        <v>294756</v>
      </c>
      <c r="L757" s="564" t="s">
        <v>253</v>
      </c>
      <c r="M757" s="564" t="s">
        <v>177</v>
      </c>
      <c r="N757" s="52" t="str">
        <f>IF(AND('331-CT'!$E$7=TH!H757,OR(L757="331",M757="331")),"331",IF(AND(OR(L757="131",M757="131"),H757='131-CT'!$E$7),"131",""))</f>
        <v/>
      </c>
      <c r="O757" s="89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09"/>
      <c r="AC757" s="211" t="str">
        <f>IF(F757=VLOOKUP(F757,NXT!$C$12:$C$345,1,0),"","x")</f>
        <v/>
      </c>
    </row>
    <row r="758" spans="1:31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223"/>
        <v>12</v>
      </c>
      <c r="C758" s="184">
        <f t="shared" si="224"/>
        <v>41997</v>
      </c>
      <c r="D758" s="184" t="s">
        <v>973</v>
      </c>
      <c r="E758" s="191">
        <v>41997</v>
      </c>
      <c r="F758" s="189" t="s">
        <v>847</v>
      </c>
      <c r="G758" s="463" t="s">
        <v>845</v>
      </c>
      <c r="H758" s="7" t="s">
        <v>846</v>
      </c>
      <c r="I758" s="251">
        <v>137</v>
      </c>
      <c r="J758" s="251">
        <v>8946</v>
      </c>
      <c r="K758" s="563">
        <f t="shared" si="245"/>
        <v>1225602</v>
      </c>
      <c r="L758" s="564" t="s">
        <v>253</v>
      </c>
      <c r="M758" s="564" t="s">
        <v>177</v>
      </c>
      <c r="N758" s="52" t="str">
        <f>IF(AND('331-CT'!$E$7=TH!H758,OR(L758="331",M758="331")),"331",IF(AND(OR(L758="131",M758="131"),H758='131-CT'!$E$7),"131",""))</f>
        <v/>
      </c>
      <c r="O758" s="89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809"/>
      <c r="AC758" s="211" t="str">
        <f>IF(F758=VLOOKUP(F758,NXT!$C$12:$C$345,1,0),"","x")</f>
        <v/>
      </c>
    </row>
    <row r="759" spans="1:31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223"/>
        <v>12</v>
      </c>
      <c r="C759" s="184">
        <f t="shared" si="224"/>
        <v>41997</v>
      </c>
      <c r="D759" s="184" t="s">
        <v>973</v>
      </c>
      <c r="E759" s="191">
        <v>41997</v>
      </c>
      <c r="F759" s="291" t="s">
        <v>848</v>
      </c>
      <c r="G759" s="463" t="s">
        <v>845</v>
      </c>
      <c r="H759" s="7" t="s">
        <v>846</v>
      </c>
      <c r="I759" s="251">
        <v>44</v>
      </c>
      <c r="J759" s="251">
        <v>9191</v>
      </c>
      <c r="K759" s="563">
        <f t="shared" si="245"/>
        <v>404404</v>
      </c>
      <c r="L759" s="564" t="s">
        <v>253</v>
      </c>
      <c r="M759" s="564" t="s">
        <v>177</v>
      </c>
      <c r="N759" s="52" t="str">
        <f>IF(AND('331-CT'!$E$7=TH!H759,OR(L759="331",M759="331")),"331",IF(AND(OR(L759="131",M759="131"),H759='131-CT'!$E$7),"131",""))</f>
        <v/>
      </c>
      <c r="O759" s="89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809"/>
      <c r="AC759" s="211" t="str">
        <f>IF(F759=VLOOKUP(F759,NXT!$C$12:$C$345,1,0),"","x")</f>
        <v/>
      </c>
    </row>
    <row r="760" spans="1:31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223"/>
        <v>12</v>
      </c>
      <c r="C760" s="184">
        <f t="shared" si="224"/>
        <v>41997</v>
      </c>
      <c r="D760" s="184" t="s">
        <v>973</v>
      </c>
      <c r="E760" s="191">
        <v>41997</v>
      </c>
      <c r="F760" s="189" t="s">
        <v>849</v>
      </c>
      <c r="G760" s="463" t="s">
        <v>845</v>
      </c>
      <c r="H760" s="7" t="s">
        <v>846</v>
      </c>
      <c r="I760" s="251">
        <v>966</v>
      </c>
      <c r="J760" s="251">
        <v>9572</v>
      </c>
      <c r="K760" s="563">
        <f t="shared" si="245"/>
        <v>9246552</v>
      </c>
      <c r="L760" s="564" t="s">
        <v>253</v>
      </c>
      <c r="M760" s="564" t="s">
        <v>177</v>
      </c>
      <c r="N760" s="52" t="str">
        <f>IF(AND('331-CT'!$E$7=TH!H760,OR(L760="331",M760="331")),"331",IF(AND(OR(L760="131",M760="131"),H760='131-CT'!$E$7),"131",""))</f>
        <v/>
      </c>
      <c r="O760" s="89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809"/>
      <c r="AC760" s="211" t="str">
        <f>IF(F760=VLOOKUP(F760,NXT!$C$12:$C$345,1,0),"","x")</f>
        <v/>
      </c>
    </row>
    <row r="761" spans="1:31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223"/>
        <v>12</v>
      </c>
      <c r="C761" s="184">
        <f t="shared" si="224"/>
        <v>41997</v>
      </c>
      <c r="D761" s="184" t="s">
        <v>973</v>
      </c>
      <c r="E761" s="191">
        <v>41997</v>
      </c>
      <c r="F761" s="189" t="s">
        <v>850</v>
      </c>
      <c r="G761" s="463" t="s">
        <v>845</v>
      </c>
      <c r="H761" s="7" t="s">
        <v>846</v>
      </c>
      <c r="I761" s="251">
        <v>105</v>
      </c>
      <c r="J761" s="251">
        <v>12019</v>
      </c>
      <c r="K761" s="563">
        <f t="shared" si="245"/>
        <v>1261995</v>
      </c>
      <c r="L761" s="564" t="s">
        <v>253</v>
      </c>
      <c r="M761" s="564" t="s">
        <v>177</v>
      </c>
      <c r="N761" s="52" t="str">
        <f>IF(AND('331-CT'!$E$7=TH!H761,OR(L761="331",M761="331")),"331",IF(AND(OR(L761="131",M761="131"),H761='131-CT'!$E$7),"131",""))</f>
        <v/>
      </c>
      <c r="O761" s="89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809"/>
      <c r="AC761" s="211" t="str">
        <f>IF(F761=VLOOKUP(F761,NXT!$C$12:$C$345,1,0),"","x")</f>
        <v/>
      </c>
    </row>
    <row r="762" spans="1:31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223"/>
        <v>12</v>
      </c>
      <c r="C762" s="184">
        <f t="shared" si="224"/>
        <v>41997</v>
      </c>
      <c r="D762" s="184" t="s">
        <v>973</v>
      </c>
      <c r="E762" s="191">
        <v>41997</v>
      </c>
      <c r="F762" s="189" t="s">
        <v>851</v>
      </c>
      <c r="G762" s="463" t="s">
        <v>845</v>
      </c>
      <c r="H762" s="7" t="s">
        <v>846</v>
      </c>
      <c r="I762" s="251">
        <v>25</v>
      </c>
      <c r="J762" s="251">
        <v>12203</v>
      </c>
      <c r="K762" s="563">
        <f t="shared" si="245"/>
        <v>305075</v>
      </c>
      <c r="L762" s="564" t="s">
        <v>253</v>
      </c>
      <c r="M762" s="564" t="s">
        <v>177</v>
      </c>
      <c r="N762" s="52" t="str">
        <f>IF(AND('331-CT'!$E$7=TH!H762,OR(L762="331",M762="331")),"331",IF(AND(OR(L762="131",M762="131"),H762='131-CT'!$E$7),"131",""))</f>
        <v/>
      </c>
      <c r="O762" s="89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809"/>
      <c r="AC762" s="211" t="str">
        <f>IF(F762=VLOOKUP(F762,NXT!$C$12:$C$345,1,0),"","x")</f>
        <v/>
      </c>
    </row>
    <row r="763" spans="1:31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223"/>
        <v>12</v>
      </c>
      <c r="C763" s="184">
        <f t="shared" si="224"/>
        <v>41997</v>
      </c>
      <c r="D763" s="184" t="s">
        <v>973</v>
      </c>
      <c r="E763" s="184">
        <v>41997</v>
      </c>
      <c r="F763" s="189" t="s">
        <v>852</v>
      </c>
      <c r="G763" s="565" t="s">
        <v>845</v>
      </c>
      <c r="H763" s="193" t="s">
        <v>846</v>
      </c>
      <c r="I763" s="251">
        <v>104</v>
      </c>
      <c r="J763" s="251">
        <v>13450</v>
      </c>
      <c r="K763" s="563">
        <f t="shared" si="245"/>
        <v>1398800</v>
      </c>
      <c r="L763" s="564" t="s">
        <v>253</v>
      </c>
      <c r="M763" s="564" t="s">
        <v>177</v>
      </c>
      <c r="N763" s="52" t="str">
        <f>IF(AND('331-CT'!$E$7=TH!H763,OR(L763="331",M763="331")),"331",IF(AND(OR(L763="131",M763="131"),H763='131-CT'!$E$7),"131",""))</f>
        <v/>
      </c>
      <c r="O763" s="89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809"/>
      <c r="AC763" s="211" t="str">
        <f>IF(F763=VLOOKUP(F763,NXT!$C$12:$C$345,1,0),"","x")</f>
        <v/>
      </c>
      <c r="AD763" s="555"/>
      <c r="AE763" s="555"/>
    </row>
    <row r="764" spans="1:31" s="211" customFormat="1" ht="15.75" customHeight="1">
      <c r="A764" s="204" t="str">
        <f>IF(B764&lt;&gt;"",IF(AND(B764&gt;=_TM1,B764&lt;=_TM2,OR(TH!L764="1111",TH!M764="1111")),TH!D764,""),"")</f>
        <v/>
      </c>
      <c r="B764" s="36">
        <f t="shared" si="223"/>
        <v>12</v>
      </c>
      <c r="C764" s="184">
        <f t="shared" si="224"/>
        <v>41997</v>
      </c>
      <c r="D764" s="184" t="s">
        <v>973</v>
      </c>
      <c r="E764" s="184">
        <v>41997</v>
      </c>
      <c r="F764" s="189" t="s">
        <v>853</v>
      </c>
      <c r="G764" s="565" t="s">
        <v>845</v>
      </c>
      <c r="H764" s="7" t="s">
        <v>846</v>
      </c>
      <c r="I764" s="251">
        <v>108</v>
      </c>
      <c r="J764" s="251">
        <v>14599</v>
      </c>
      <c r="K764" s="563">
        <f t="shared" si="245"/>
        <v>1576692</v>
      </c>
      <c r="L764" s="564" t="s">
        <v>253</v>
      </c>
      <c r="M764" s="564" t="s">
        <v>177</v>
      </c>
      <c r="N764" s="52" t="str">
        <f>IF(AND('331-CT'!$E$7=TH!H764,OR(L764="331",M764="331")),"331",IF(AND(OR(L764="131",M764="131"),H764='131-CT'!$E$7),"131",""))</f>
        <v/>
      </c>
      <c r="O764" s="89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809"/>
      <c r="AC764" s="211" t="str">
        <f>IF(F764=VLOOKUP(F764,NXT!$C$12:$C$345,1,0),"","x")</f>
        <v/>
      </c>
      <c r="AD764" s="555"/>
      <c r="AE764" s="555"/>
    </row>
    <row r="765" spans="1:31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223"/>
        <v>12</v>
      </c>
      <c r="C765" s="184">
        <f t="shared" si="224"/>
        <v>41997</v>
      </c>
      <c r="D765" s="184" t="s">
        <v>973</v>
      </c>
      <c r="E765" s="191">
        <v>41997</v>
      </c>
      <c r="F765" s="189" t="s">
        <v>854</v>
      </c>
      <c r="G765" s="463" t="s">
        <v>845</v>
      </c>
      <c r="H765" s="7" t="s">
        <v>846</v>
      </c>
      <c r="I765" s="251">
        <v>32</v>
      </c>
      <c r="J765" s="251">
        <v>16022</v>
      </c>
      <c r="K765" s="563">
        <f t="shared" si="245"/>
        <v>512704</v>
      </c>
      <c r="L765" s="564" t="s">
        <v>253</v>
      </c>
      <c r="M765" s="564" t="s">
        <v>177</v>
      </c>
      <c r="N765" s="52" t="str">
        <f>IF(AND('331-CT'!$E$7=TH!H765,OR(L765="331",M765="331")),"331",IF(AND(OR(L765="131",M765="131"),H765='131-CT'!$E$7),"131",""))</f>
        <v/>
      </c>
      <c r="O765" s="89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809"/>
      <c r="AC765" s="211" t="str">
        <f>IF(F765=VLOOKUP(F765,NXT!$C$12:$C$345,1,0),"","x")</f>
        <v/>
      </c>
    </row>
    <row r="766" spans="1:31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223"/>
        <v>12</v>
      </c>
      <c r="C766" s="184">
        <f t="shared" si="224"/>
        <v>41997</v>
      </c>
      <c r="D766" s="184" t="s">
        <v>973</v>
      </c>
      <c r="E766" s="191">
        <v>41997</v>
      </c>
      <c r="F766" s="189" t="s">
        <v>855</v>
      </c>
      <c r="G766" s="463" t="s">
        <v>845</v>
      </c>
      <c r="H766" s="7" t="s">
        <v>846</v>
      </c>
      <c r="I766" s="251">
        <v>63</v>
      </c>
      <c r="J766" s="251">
        <v>17415</v>
      </c>
      <c r="K766" s="563">
        <f t="shared" si="245"/>
        <v>1097145</v>
      </c>
      <c r="L766" s="564" t="s">
        <v>253</v>
      </c>
      <c r="M766" s="564" t="s">
        <v>177</v>
      </c>
      <c r="N766" s="52" t="str">
        <f>IF(AND('331-CT'!$E$7=TH!H766,OR(L766="331",M766="331")),"331",IF(AND(OR(L766="131",M766="131"),H766='131-CT'!$E$7),"131",""))</f>
        <v/>
      </c>
      <c r="O766" s="89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809"/>
      <c r="AC766" s="211" t="str">
        <f>IF(F766=VLOOKUP(F766,NXT!$C$12:$C$345,1,0),"","x")</f>
        <v/>
      </c>
    </row>
    <row r="767" spans="1:31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223"/>
        <v>12</v>
      </c>
      <c r="C767" s="184">
        <f t="shared" si="224"/>
        <v>41997</v>
      </c>
      <c r="D767" s="184" t="s">
        <v>973</v>
      </c>
      <c r="E767" s="191">
        <v>41997</v>
      </c>
      <c r="F767" s="189" t="s">
        <v>420</v>
      </c>
      <c r="G767" s="463" t="s">
        <v>845</v>
      </c>
      <c r="H767" s="7" t="s">
        <v>846</v>
      </c>
      <c r="I767" s="251"/>
      <c r="J767" s="251"/>
      <c r="K767" s="563">
        <v>1732373</v>
      </c>
      <c r="L767" s="564" t="s">
        <v>253</v>
      </c>
      <c r="M767" s="564" t="s">
        <v>365</v>
      </c>
      <c r="N767" s="52" t="str">
        <f>IF(AND('331-CT'!$E$7=TH!H767,OR(L767="331",M767="331")),"331",IF(AND(OR(L767="131",M767="131"),H767='131-CT'!$E$7),"131",""))</f>
        <v/>
      </c>
      <c r="O767" s="89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809"/>
      <c r="AC767" s="555" t="str">
        <f>IF(VLOOKUP(H767,DS_131,1,0)&lt;&gt;"","","x")</f>
        <v/>
      </c>
    </row>
    <row r="768" spans="1:31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223"/>
        <v>12</v>
      </c>
      <c r="C768" s="184">
        <f t="shared" si="224"/>
        <v>41998</v>
      </c>
      <c r="D768" s="184" t="s">
        <v>974</v>
      </c>
      <c r="E768" s="191">
        <v>41998</v>
      </c>
      <c r="F768" s="189" t="s">
        <v>436</v>
      </c>
      <c r="G768" s="463" t="s">
        <v>856</v>
      </c>
      <c r="H768" s="7" t="s">
        <v>438</v>
      </c>
      <c r="I768" s="251">
        <v>500</v>
      </c>
      <c r="J768" s="251">
        <v>10500</v>
      </c>
      <c r="K768" s="563">
        <f>ROUND(I768*J768,0)</f>
        <v>5250000</v>
      </c>
      <c r="L768" s="564" t="s">
        <v>253</v>
      </c>
      <c r="M768" s="564" t="s">
        <v>177</v>
      </c>
      <c r="N768" s="52" t="str">
        <f>IF(AND('331-CT'!$E$7=TH!H768,OR(L768="331",M768="331")),"331",IF(AND(OR(L768="131",M768="131"),H768='131-CT'!$E$7),"131",""))</f>
        <v/>
      </c>
      <c r="O768" s="89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809"/>
      <c r="AC768" s="211" t="str">
        <f>IF(F768=VLOOKUP(F768,NXT!$C$12:$C$345,1,0),"","x")</f>
        <v/>
      </c>
    </row>
    <row r="769" spans="1:31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223"/>
        <v>12</v>
      </c>
      <c r="C769" s="184">
        <f t="shared" si="224"/>
        <v>41998</v>
      </c>
      <c r="D769" s="184" t="s">
        <v>974</v>
      </c>
      <c r="E769" s="191">
        <v>41998</v>
      </c>
      <c r="F769" s="189" t="s">
        <v>420</v>
      </c>
      <c r="G769" s="463" t="s">
        <v>856</v>
      </c>
      <c r="H769" s="7" t="s">
        <v>438</v>
      </c>
      <c r="I769" s="251"/>
      <c r="J769" s="251"/>
      <c r="K769" s="563">
        <v>525000</v>
      </c>
      <c r="L769" s="564" t="s">
        <v>253</v>
      </c>
      <c r="M769" s="564" t="s">
        <v>365</v>
      </c>
      <c r="N769" s="52" t="str">
        <f>IF(AND('331-CT'!$E$7=TH!H769,OR(L769="331",M769="331")),"331",IF(AND(OR(L769="131",M769="131"),H769='131-CT'!$E$7),"131",""))</f>
        <v/>
      </c>
      <c r="O769" s="89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809"/>
      <c r="AC769" s="555" t="str">
        <f>IF(VLOOKUP(H769,DS_131,1,0)&lt;&gt;"","","x")</f>
        <v/>
      </c>
    </row>
    <row r="770" spans="1:31" s="211" customFormat="1" ht="15.75" customHeight="1">
      <c r="A770" s="204">
        <f>IF(B770&lt;&gt;"",IF(AND(B770&gt;=_TM1,B770&lt;=_TM2,OR(TH!L770="1111",TH!M770="1111")),TH!D770,""),"")</f>
        <v>0</v>
      </c>
      <c r="B770" s="36">
        <f t="shared" ref="B770" si="246">IF(C770&lt;&gt;"",MONTH(C770),"")</f>
        <v>12</v>
      </c>
      <c r="C770" s="184">
        <f t="shared" ref="C770" si="247">E770</f>
        <v>41998</v>
      </c>
      <c r="D770" s="184"/>
      <c r="E770" s="191">
        <v>41998</v>
      </c>
      <c r="F770" s="192" t="s">
        <v>894</v>
      </c>
      <c r="G770" s="463" t="s">
        <v>856</v>
      </c>
      <c r="H770" s="7" t="s">
        <v>438</v>
      </c>
      <c r="I770" s="251"/>
      <c r="J770" s="251"/>
      <c r="K770" s="563">
        <v>5775000</v>
      </c>
      <c r="L770" s="564" t="s">
        <v>47</v>
      </c>
      <c r="M770" s="564" t="s">
        <v>253</v>
      </c>
      <c r="N770" s="52" t="str">
        <f>IF(AND('331-CT'!$E$7=TH!H770,OR(L770="331",M770="331")),"331",IF(AND(OR(L770="131",M770="131"),H770='131-CT'!$E$7),"131",""))</f>
        <v/>
      </c>
      <c r="O770" s="89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809"/>
      <c r="AC770" s="555" t="str">
        <f>IF(VLOOKUP(H770,DS_131,1,0)&lt;&gt;"","","x")</f>
        <v/>
      </c>
    </row>
    <row r="771" spans="1:31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223"/>
        <v>12</v>
      </c>
      <c r="C771" s="184">
        <f t="shared" si="224"/>
        <v>41998</v>
      </c>
      <c r="D771" s="184" t="s">
        <v>975</v>
      </c>
      <c r="E771" s="191">
        <v>41998</v>
      </c>
      <c r="F771" s="40" t="s">
        <v>459</v>
      </c>
      <c r="G771" s="463" t="s">
        <v>857</v>
      </c>
      <c r="H771" s="7" t="s">
        <v>461</v>
      </c>
      <c r="I771" s="251">
        <v>1000</v>
      </c>
      <c r="J771" s="251">
        <v>8740</v>
      </c>
      <c r="K771" s="563">
        <f>ROUND(I771*J771,0)</f>
        <v>8740000</v>
      </c>
      <c r="L771" s="564" t="s">
        <v>253</v>
      </c>
      <c r="M771" s="564" t="s">
        <v>177</v>
      </c>
      <c r="N771" s="52" t="str">
        <f>IF(AND('331-CT'!$E$7=TH!H771,OR(L771="331",M771="331")),"331",IF(AND(OR(L771="131",M771="131"),H771='131-CT'!$E$7),"131",""))</f>
        <v/>
      </c>
      <c r="O771" s="89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809"/>
      <c r="AC771" s="211" t="str">
        <f>IF(F771=VLOOKUP(F771,NXT!$C$12:$C$345,1,0),"","x")</f>
        <v/>
      </c>
    </row>
    <row r="772" spans="1:31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223"/>
        <v>12</v>
      </c>
      <c r="C772" s="184">
        <f t="shared" si="224"/>
        <v>41998</v>
      </c>
      <c r="D772" s="184" t="s">
        <v>975</v>
      </c>
      <c r="E772" s="191">
        <v>41998</v>
      </c>
      <c r="F772" s="40" t="s">
        <v>420</v>
      </c>
      <c r="G772" s="463" t="s">
        <v>857</v>
      </c>
      <c r="H772" s="7" t="s">
        <v>461</v>
      </c>
      <c r="I772" s="251"/>
      <c r="J772" s="251"/>
      <c r="K772" s="563">
        <v>874000</v>
      </c>
      <c r="L772" s="564" t="s">
        <v>253</v>
      </c>
      <c r="M772" s="564" t="s">
        <v>365</v>
      </c>
      <c r="N772" s="52" t="str">
        <f>IF(AND('331-CT'!$E$7=TH!H772,OR(L772="331",M772="331")),"331",IF(AND(OR(L772="131",M772="131"),H772='131-CT'!$E$7),"131",""))</f>
        <v/>
      </c>
      <c r="O772" s="89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809"/>
      <c r="AC772" s="555" t="str">
        <f>IF(VLOOKUP(H772,DS_131,1,0)&lt;&gt;"","","x")</f>
        <v/>
      </c>
    </row>
    <row r="773" spans="1:31" s="211" customFormat="1" ht="15.75" customHeight="1">
      <c r="A773" s="204">
        <f>IF(B773&lt;&gt;"",IF(AND(B773&gt;=_TM1,B773&lt;=_TM2,OR(TH!L773="1111",TH!M773="1111")),TH!D773,""),"")</f>
        <v>0</v>
      </c>
      <c r="B773" s="36">
        <f t="shared" ref="B773" si="248">IF(C773&lt;&gt;"",MONTH(C773),"")</f>
        <v>12</v>
      </c>
      <c r="C773" s="184">
        <f t="shared" ref="C773" si="249">E773</f>
        <v>41998</v>
      </c>
      <c r="D773" s="184"/>
      <c r="E773" s="191">
        <v>41998</v>
      </c>
      <c r="F773" s="192" t="s">
        <v>894</v>
      </c>
      <c r="G773" s="463" t="s">
        <v>857</v>
      </c>
      <c r="H773" s="7" t="s">
        <v>461</v>
      </c>
      <c r="I773" s="251"/>
      <c r="J773" s="251"/>
      <c r="K773" s="563">
        <v>9614000</v>
      </c>
      <c r="L773" s="564" t="s">
        <v>47</v>
      </c>
      <c r="M773" s="564" t="s">
        <v>253</v>
      </c>
      <c r="N773" s="52" t="str">
        <f>IF(AND('331-CT'!$E$7=TH!H773,OR(L773="331",M773="331")),"331",IF(AND(OR(L773="131",M773="131"),H773='131-CT'!$E$7),"131",""))</f>
        <v/>
      </c>
      <c r="O773" s="89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809"/>
      <c r="AC773" s="555" t="str">
        <f>IF(VLOOKUP(H773,DS_131,1,0)&lt;&gt;"","","x")</f>
        <v/>
      </c>
    </row>
    <row r="774" spans="1:31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223"/>
        <v>12</v>
      </c>
      <c r="C774" s="184">
        <f t="shared" si="224"/>
        <v>41998</v>
      </c>
      <c r="D774" s="184" t="s">
        <v>976</v>
      </c>
      <c r="E774" s="191">
        <v>41998</v>
      </c>
      <c r="F774" s="40" t="s">
        <v>858</v>
      </c>
      <c r="G774" s="463" t="s">
        <v>859</v>
      </c>
      <c r="H774" s="7" t="s">
        <v>684</v>
      </c>
      <c r="I774" s="251">
        <v>45</v>
      </c>
      <c r="J774" s="251">
        <v>45400</v>
      </c>
      <c r="K774" s="563">
        <f>ROUND(I774*J774,0)</f>
        <v>2043000</v>
      </c>
      <c r="L774" s="564" t="s">
        <v>253</v>
      </c>
      <c r="M774" s="564" t="s">
        <v>177</v>
      </c>
      <c r="N774" s="52" t="str">
        <f>IF(AND('331-CT'!$E$7=TH!H774,OR(L774="331",M774="331")),"331",IF(AND(OR(L774="131",M774="131"),H774='131-CT'!$E$7),"131",""))</f>
        <v/>
      </c>
      <c r="O774" s="89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809"/>
      <c r="AC774" s="211" t="str">
        <f>IF(F774=VLOOKUP(F774,NXT!$C$12:$C$345,1,0),"","x")</f>
        <v/>
      </c>
    </row>
    <row r="775" spans="1:31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223"/>
        <v>12</v>
      </c>
      <c r="C775" s="184">
        <f t="shared" si="224"/>
        <v>41998</v>
      </c>
      <c r="D775" s="184" t="s">
        <v>976</v>
      </c>
      <c r="E775" s="191">
        <v>41998</v>
      </c>
      <c r="F775" s="192" t="s">
        <v>746</v>
      </c>
      <c r="G775" s="463" t="s">
        <v>859</v>
      </c>
      <c r="H775" s="7" t="s">
        <v>684</v>
      </c>
      <c r="I775" s="251">
        <v>90</v>
      </c>
      <c r="J775" s="251">
        <v>1500</v>
      </c>
      <c r="K775" s="563">
        <f>ROUND(I775*J775,0)</f>
        <v>135000</v>
      </c>
      <c r="L775" s="564" t="s">
        <v>253</v>
      </c>
      <c r="M775" s="564" t="s">
        <v>177</v>
      </c>
      <c r="N775" s="52" t="str">
        <f>IF(AND('331-CT'!$E$7=TH!H775,OR(L775="331",M775="331")),"331",IF(AND(OR(L775="131",M775="131"),H775='131-CT'!$E$7),"131",""))</f>
        <v/>
      </c>
      <c r="O775" s="89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809"/>
      <c r="AC775" s="211" t="str">
        <f>IF(F775=VLOOKUP(F775,NXT!$C$12:$C$345,1,0),"","x")</f>
        <v/>
      </c>
    </row>
    <row r="776" spans="1:31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223"/>
        <v>12</v>
      </c>
      <c r="C776" s="184">
        <f t="shared" si="224"/>
        <v>41998</v>
      </c>
      <c r="D776" s="184" t="s">
        <v>976</v>
      </c>
      <c r="E776" s="184">
        <v>41998</v>
      </c>
      <c r="F776" s="189" t="s">
        <v>420</v>
      </c>
      <c r="G776" s="565" t="s">
        <v>859</v>
      </c>
      <c r="H776" s="7" t="s">
        <v>684</v>
      </c>
      <c r="I776" s="251"/>
      <c r="J776" s="251"/>
      <c r="K776" s="563">
        <v>217800</v>
      </c>
      <c r="L776" s="564" t="s">
        <v>253</v>
      </c>
      <c r="M776" s="564" t="s">
        <v>365</v>
      </c>
      <c r="N776" s="52" t="str">
        <f>IF(AND('331-CT'!$E$7=TH!H776,OR(L776="331",M776="331")),"331",IF(AND(OR(L776="131",M776="131"),H776='131-CT'!$E$7),"131",""))</f>
        <v/>
      </c>
      <c r="O776" s="89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09"/>
      <c r="AC776" s="555" t="str">
        <f>IF(VLOOKUP(H776,DS_131,1,0)&lt;&gt;"","","x")</f>
        <v/>
      </c>
      <c r="AD776" s="555"/>
      <c r="AE776" s="555"/>
    </row>
    <row r="777" spans="1:31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223"/>
        <v>12</v>
      </c>
      <c r="C777" s="184">
        <f t="shared" si="224"/>
        <v>41999</v>
      </c>
      <c r="D777" s="184" t="s">
        <v>977</v>
      </c>
      <c r="E777" s="191">
        <v>41999</v>
      </c>
      <c r="F777" s="192" t="s">
        <v>860</v>
      </c>
      <c r="G777" s="463" t="s">
        <v>861</v>
      </c>
      <c r="H777" s="193" t="s">
        <v>862</v>
      </c>
      <c r="I777" s="251">
        <v>305</v>
      </c>
      <c r="J777" s="251">
        <v>10670</v>
      </c>
      <c r="K777" s="563">
        <f>ROUND(I777*J777,0)</f>
        <v>3254350</v>
      </c>
      <c r="L777" s="564" t="s">
        <v>253</v>
      </c>
      <c r="M777" s="564" t="s">
        <v>177</v>
      </c>
      <c r="N777" s="52" t="str">
        <f>IF(AND('331-CT'!$E$7=TH!H777,OR(L777="331",M777="331")),"331",IF(AND(OR(L777="131",M777="131"),H777='131-CT'!$E$7),"131",""))</f>
        <v/>
      </c>
      <c r="O777" s="89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09"/>
      <c r="AC777" s="211" t="str">
        <f>IF(F777=VLOOKUP(F777,NXT!$C$12:$C$345,1,0),"","x")</f>
        <v/>
      </c>
      <c r="AD777" s="555"/>
    </row>
    <row r="778" spans="1:31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223"/>
        <v>12</v>
      </c>
      <c r="C778" s="184">
        <f t="shared" si="224"/>
        <v>41999</v>
      </c>
      <c r="D778" s="184" t="s">
        <v>977</v>
      </c>
      <c r="E778" s="191">
        <v>41999</v>
      </c>
      <c r="F778" s="192" t="s">
        <v>863</v>
      </c>
      <c r="G778" s="463" t="s">
        <v>861</v>
      </c>
      <c r="H778" s="193" t="s">
        <v>862</v>
      </c>
      <c r="I778" s="252">
        <v>615</v>
      </c>
      <c r="J778" s="252">
        <v>5700</v>
      </c>
      <c r="K778" s="563">
        <f>ROUND(I778*J778,0)</f>
        <v>3505500</v>
      </c>
      <c r="L778" s="564" t="s">
        <v>253</v>
      </c>
      <c r="M778" s="564" t="s">
        <v>177</v>
      </c>
      <c r="N778" s="52" t="str">
        <f>IF(AND('331-CT'!$E$7=TH!H778,OR(L778="331",M778="331")),"331",IF(AND(OR(L778="131",M778="131"),H778='131-CT'!$E$7),"131",""))</f>
        <v/>
      </c>
      <c r="O778" s="89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809"/>
      <c r="AC778" s="211" t="str">
        <f>IF(F778=VLOOKUP(F778,NXT!$C$12:$C$345,1,0),"","x")</f>
        <v/>
      </c>
    </row>
    <row r="779" spans="1:31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223"/>
        <v>12</v>
      </c>
      <c r="C779" s="184">
        <f t="shared" si="224"/>
        <v>41999</v>
      </c>
      <c r="D779" s="184" t="s">
        <v>977</v>
      </c>
      <c r="E779" s="191">
        <v>41999</v>
      </c>
      <c r="F779" s="192" t="s">
        <v>864</v>
      </c>
      <c r="G779" s="463" t="s">
        <v>861</v>
      </c>
      <c r="H779" s="193" t="s">
        <v>862</v>
      </c>
      <c r="I779" s="251">
        <v>953</v>
      </c>
      <c r="J779" s="251">
        <v>5150</v>
      </c>
      <c r="K779" s="563">
        <f>ROUND(I779*J779,0)</f>
        <v>4907950</v>
      </c>
      <c r="L779" s="564" t="s">
        <v>253</v>
      </c>
      <c r="M779" s="564" t="s">
        <v>177</v>
      </c>
      <c r="N779" s="52" t="str">
        <f>IF(AND('331-CT'!$E$7=TH!H779,OR(L779="331",M779="331")),"331",IF(AND(OR(L779="131",M779="131"),H779='131-CT'!$E$7),"131",""))</f>
        <v/>
      </c>
      <c r="O779" s="89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809"/>
      <c r="AC779" s="211" t="str">
        <f>IF(F779=VLOOKUP(F779,NXT!$C$12:$C$345,1,0),"","x")</f>
        <v/>
      </c>
    </row>
    <row r="780" spans="1:31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ref="B780:B819" si="250">IF(C780&lt;&gt;"",MONTH(C780),"")</f>
        <v>12</v>
      </c>
      <c r="C780" s="184">
        <f t="shared" ref="C780:C819" si="251">E780</f>
        <v>41999</v>
      </c>
      <c r="D780" s="184" t="s">
        <v>977</v>
      </c>
      <c r="E780" s="191">
        <v>41999</v>
      </c>
      <c r="F780" s="192" t="s">
        <v>865</v>
      </c>
      <c r="G780" s="463" t="s">
        <v>861</v>
      </c>
      <c r="H780" s="193" t="s">
        <v>862</v>
      </c>
      <c r="I780" s="252">
        <v>300</v>
      </c>
      <c r="J780" s="252">
        <v>5300</v>
      </c>
      <c r="K780" s="563">
        <f>ROUND(I780*J780,0)</f>
        <v>1590000</v>
      </c>
      <c r="L780" s="564" t="s">
        <v>253</v>
      </c>
      <c r="M780" s="564" t="s">
        <v>177</v>
      </c>
      <c r="N780" s="52" t="str">
        <f>IF(AND('331-CT'!$E$7=TH!H780,OR(L780="331",M780="331")),"331",IF(AND(OR(L780="131",M780="131"),H780='131-CT'!$E$7),"131",""))</f>
        <v/>
      </c>
      <c r="O780" s="89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809"/>
      <c r="AC780" s="211" t="str">
        <f>IF(F780=VLOOKUP(F780,NXT!$C$12:$C$345,1,0),"","x")</f>
        <v/>
      </c>
    </row>
    <row r="781" spans="1:31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250"/>
        <v>12</v>
      </c>
      <c r="C781" s="184">
        <f t="shared" si="251"/>
        <v>41999</v>
      </c>
      <c r="D781" s="184" t="s">
        <v>977</v>
      </c>
      <c r="E781" s="191">
        <v>41999</v>
      </c>
      <c r="F781" s="192" t="s">
        <v>420</v>
      </c>
      <c r="G781" s="463" t="s">
        <v>861</v>
      </c>
      <c r="H781" s="193" t="s">
        <v>862</v>
      </c>
      <c r="I781" s="251"/>
      <c r="J781" s="251"/>
      <c r="K781" s="563">
        <v>1325780</v>
      </c>
      <c r="L781" s="564" t="s">
        <v>253</v>
      </c>
      <c r="M781" s="564" t="s">
        <v>365</v>
      </c>
      <c r="N781" s="52" t="str">
        <f>IF(AND('331-CT'!$E$7=TH!H781,OR(L781="331",M781="331")),"331",IF(AND(OR(L781="131",M781="131"),H781='131-CT'!$E$7),"131",""))</f>
        <v/>
      </c>
      <c r="O781" s="89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809"/>
      <c r="AC781" s="555" t="str">
        <f>IF(VLOOKUP(H781,DS_131,1,0)&lt;&gt;"","","x")</f>
        <v/>
      </c>
    </row>
    <row r="782" spans="1:31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250"/>
        <v>12</v>
      </c>
      <c r="C782" s="184">
        <f t="shared" si="251"/>
        <v>41999</v>
      </c>
      <c r="D782" s="184" t="s">
        <v>978</v>
      </c>
      <c r="E782" s="191">
        <v>41999</v>
      </c>
      <c r="F782" s="192" t="s">
        <v>866</v>
      </c>
      <c r="G782" s="463" t="s">
        <v>867</v>
      </c>
      <c r="H782" s="193" t="s">
        <v>672</v>
      </c>
      <c r="I782" s="252">
        <v>416</v>
      </c>
      <c r="J782" s="252">
        <v>5500</v>
      </c>
      <c r="K782" s="563">
        <f>ROUND(I782*J782,0)</f>
        <v>2288000</v>
      </c>
      <c r="L782" s="564" t="s">
        <v>253</v>
      </c>
      <c r="M782" s="564" t="s">
        <v>177</v>
      </c>
      <c r="N782" s="52" t="str">
        <f>IF(AND('331-CT'!$E$7=TH!H782,OR(L782="331",M782="331")),"331",IF(AND(OR(L782="131",M782="131"),H782='131-CT'!$E$7),"131",""))</f>
        <v/>
      </c>
      <c r="O782" s="89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809"/>
      <c r="AC782" s="211" t="str">
        <f>IF(F782=VLOOKUP(F782,NXT!$C$12:$C$345,1,0),"","x")</f>
        <v/>
      </c>
    </row>
    <row r="783" spans="1:31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250"/>
        <v>12</v>
      </c>
      <c r="C783" s="184">
        <f t="shared" si="251"/>
        <v>41999</v>
      </c>
      <c r="D783" s="184" t="s">
        <v>978</v>
      </c>
      <c r="E783" s="191">
        <v>41999</v>
      </c>
      <c r="F783" s="192" t="s">
        <v>866</v>
      </c>
      <c r="G783" s="463" t="s">
        <v>867</v>
      </c>
      <c r="H783" s="193" t="s">
        <v>672</v>
      </c>
      <c r="I783" s="251">
        <v>602</v>
      </c>
      <c r="J783" s="251">
        <v>5500</v>
      </c>
      <c r="K783" s="563">
        <f>ROUND(I783*J783,0)</f>
        <v>3311000</v>
      </c>
      <c r="L783" s="564" t="s">
        <v>253</v>
      </c>
      <c r="M783" s="564" t="s">
        <v>177</v>
      </c>
      <c r="N783" s="52" t="str">
        <f>IF(AND('331-CT'!$E$7=TH!H783,OR(L783="331",M783="331")),"331",IF(AND(OR(L783="131",M783="131"),H783='131-CT'!$E$7),"131",""))</f>
        <v/>
      </c>
      <c r="O783" s="89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809"/>
      <c r="AC783" s="211" t="str">
        <f>IF(F783=VLOOKUP(F783,NXT!$C$12:$C$345,1,0),"","x")</f>
        <v/>
      </c>
    </row>
    <row r="784" spans="1:31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250"/>
        <v>12</v>
      </c>
      <c r="C784" s="184">
        <f t="shared" si="251"/>
        <v>41999</v>
      </c>
      <c r="D784" s="184" t="s">
        <v>978</v>
      </c>
      <c r="E784" s="191">
        <v>41999</v>
      </c>
      <c r="F784" s="192" t="s">
        <v>868</v>
      </c>
      <c r="G784" s="463" t="s">
        <v>867</v>
      </c>
      <c r="H784" s="193" t="s">
        <v>672</v>
      </c>
      <c r="I784" s="252">
        <v>413</v>
      </c>
      <c r="J784" s="252">
        <v>5000</v>
      </c>
      <c r="K784" s="563">
        <f>ROUND(I784*J784,0)</f>
        <v>2065000</v>
      </c>
      <c r="L784" s="564" t="s">
        <v>253</v>
      </c>
      <c r="M784" s="564" t="s">
        <v>177</v>
      </c>
      <c r="N784" s="52" t="str">
        <f>IF(AND('331-CT'!$E$7=TH!H784,OR(L784="331",M784="331")),"331",IF(AND(OR(L784="131",M784="131"),H784='131-CT'!$E$7),"131",""))</f>
        <v/>
      </c>
      <c r="O784" s="89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809"/>
      <c r="AC784" s="211" t="str">
        <f>IF(F784=VLOOKUP(F784,NXT!$C$12:$C$345,1,0),"","x")</f>
        <v/>
      </c>
    </row>
    <row r="785" spans="1:30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250"/>
        <v>12</v>
      </c>
      <c r="C785" s="184">
        <f t="shared" si="251"/>
        <v>41999</v>
      </c>
      <c r="D785" s="184" t="s">
        <v>978</v>
      </c>
      <c r="E785" s="191">
        <v>41999</v>
      </c>
      <c r="F785" s="192" t="s">
        <v>420</v>
      </c>
      <c r="G785" s="463" t="s">
        <v>867</v>
      </c>
      <c r="H785" s="193" t="s">
        <v>672</v>
      </c>
      <c r="I785" s="251"/>
      <c r="J785" s="251"/>
      <c r="K785" s="38">
        <v>766400</v>
      </c>
      <c r="L785" s="564" t="s">
        <v>253</v>
      </c>
      <c r="M785" s="564" t="s">
        <v>365</v>
      </c>
      <c r="N785" s="52" t="str">
        <f>IF(AND('331-CT'!$E$7=TH!H785,OR(L785="331",M785="331")),"331",IF(AND(OR(L785="131",M785="131"),H785='131-CT'!$E$7),"131",""))</f>
        <v/>
      </c>
      <c r="O785" s="89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809"/>
      <c r="AC785" s="555" t="str">
        <f>IF(VLOOKUP(H785,DS_131,1,0)&lt;&gt;"","","x")</f>
        <v/>
      </c>
      <c r="AD785" s="555"/>
    </row>
    <row r="786" spans="1:30" s="211" customFormat="1" ht="15.75" customHeight="1">
      <c r="A786" s="204">
        <f>IF(B786&lt;&gt;"",IF(AND(B786&gt;=_TM1,B786&lt;=_TM2,OR(TH!L786="1111",TH!M786="1111")),TH!D786,""),"")</f>
        <v>0</v>
      </c>
      <c r="B786" s="36">
        <f t="shared" ref="B786" si="252">IF(C786&lt;&gt;"",MONTH(C786),"")</f>
        <v>12</v>
      </c>
      <c r="C786" s="184">
        <f t="shared" ref="C786" si="253">E786</f>
        <v>41999</v>
      </c>
      <c r="D786" s="184"/>
      <c r="E786" s="191">
        <v>41999</v>
      </c>
      <c r="F786" s="192" t="s">
        <v>894</v>
      </c>
      <c r="G786" s="463" t="s">
        <v>867</v>
      </c>
      <c r="H786" s="193" t="s">
        <v>672</v>
      </c>
      <c r="I786" s="251"/>
      <c r="J786" s="251"/>
      <c r="K786" s="38">
        <v>8430400</v>
      </c>
      <c r="L786" s="564" t="s">
        <v>47</v>
      </c>
      <c r="M786" s="564" t="s">
        <v>253</v>
      </c>
      <c r="N786" s="52" t="str">
        <f>IF(AND('331-CT'!$E$7=TH!H786,OR(L786="331",M786="331")),"331",IF(AND(OR(L786="131",M786="131"),H786='131-CT'!$E$7),"131",""))</f>
        <v/>
      </c>
      <c r="O786" s="89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809"/>
      <c r="AC786" s="555" t="str">
        <f>IF(VLOOKUP(H786,DS_131,1,0)&lt;&gt;"","","x")</f>
        <v/>
      </c>
      <c r="AD786" s="555"/>
    </row>
    <row r="787" spans="1:30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250"/>
        <v>12</v>
      </c>
      <c r="C787" s="184">
        <f t="shared" si="251"/>
        <v>42000</v>
      </c>
      <c r="D787" s="184" t="s">
        <v>979</v>
      </c>
      <c r="E787" s="191">
        <v>42000</v>
      </c>
      <c r="F787" s="189" t="s">
        <v>670</v>
      </c>
      <c r="G787" s="463" t="s">
        <v>869</v>
      </c>
      <c r="H787" s="7" t="s">
        <v>672</v>
      </c>
      <c r="I787" s="251">
        <v>1528</v>
      </c>
      <c r="J787" s="251">
        <v>9300</v>
      </c>
      <c r="K787" s="563">
        <f>ROUND(I787*J787,0)</f>
        <v>14210400</v>
      </c>
      <c r="L787" s="564" t="s">
        <v>253</v>
      </c>
      <c r="M787" s="564" t="s">
        <v>177</v>
      </c>
      <c r="N787" s="52" t="str">
        <f>IF(AND('331-CT'!$E$7=TH!H787,OR(L787="331",M787="331")),"331",IF(AND(OR(L787="131",M787="131"),H787='131-CT'!$E$7),"131",""))</f>
        <v/>
      </c>
      <c r="O787" s="89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809"/>
      <c r="AC787" s="211" t="str">
        <f>IF(F787=VLOOKUP(F787,NXT!$C$12:$C$345,1,0),"","x")</f>
        <v/>
      </c>
    </row>
    <row r="788" spans="1:30" s="211" customFormat="1" ht="15.75" customHeight="1">
      <c r="A788" s="204" t="str">
        <f>IF(B788&lt;&gt;"",IF(AND(B788&gt;=_TM1,B788&lt;=_TM2,OR(TH!L788="1111",TH!M788="1111")),TH!D788,""),"")</f>
        <v/>
      </c>
      <c r="B788" s="36">
        <f t="shared" si="250"/>
        <v>12</v>
      </c>
      <c r="C788" s="184">
        <f t="shared" si="251"/>
        <v>42000</v>
      </c>
      <c r="D788" s="184" t="s">
        <v>979</v>
      </c>
      <c r="E788" s="191">
        <v>42000</v>
      </c>
      <c r="F788" s="189" t="s">
        <v>420</v>
      </c>
      <c r="G788" s="463" t="s">
        <v>869</v>
      </c>
      <c r="H788" s="7" t="s">
        <v>672</v>
      </c>
      <c r="I788" s="251"/>
      <c r="J788" s="251"/>
      <c r="K788" s="563">
        <v>1421040</v>
      </c>
      <c r="L788" s="564" t="s">
        <v>253</v>
      </c>
      <c r="M788" s="564" t="s">
        <v>365</v>
      </c>
      <c r="N788" s="52" t="str">
        <f>IF(AND('331-CT'!$E$7=TH!H788,OR(L788="331",M788="331")),"331",IF(AND(OR(L788="131",M788="131"),H788='131-CT'!$E$7),"131",""))</f>
        <v/>
      </c>
      <c r="O788" s="89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809"/>
      <c r="AC788" s="555" t="str">
        <f>IF(VLOOKUP(H788,DS_131,1,0)&lt;&gt;"","","x")</f>
        <v/>
      </c>
    </row>
    <row r="789" spans="1:30" s="211" customFormat="1" ht="15.75" customHeight="1">
      <c r="A789" s="204">
        <f>IF(B789&lt;&gt;"",IF(AND(B789&gt;=_TM1,B789&lt;=_TM2,OR(TH!L789="1111",TH!M789="1111")),TH!D789,""),"")</f>
        <v>0</v>
      </c>
      <c r="B789" s="36">
        <f t="shared" ref="B789" si="254">IF(C789&lt;&gt;"",MONTH(C789),"")</f>
        <v>12</v>
      </c>
      <c r="C789" s="184">
        <f t="shared" ref="C789" si="255">E789</f>
        <v>42000</v>
      </c>
      <c r="D789" s="184"/>
      <c r="E789" s="191">
        <v>42000</v>
      </c>
      <c r="F789" s="192" t="s">
        <v>894</v>
      </c>
      <c r="G789" s="463" t="s">
        <v>869</v>
      </c>
      <c r="H789" s="7" t="s">
        <v>672</v>
      </c>
      <c r="I789" s="251"/>
      <c r="J789" s="251"/>
      <c r="K789" s="563">
        <v>15631440</v>
      </c>
      <c r="L789" s="564" t="s">
        <v>47</v>
      </c>
      <c r="M789" s="564" t="s">
        <v>253</v>
      </c>
      <c r="N789" s="52" t="str">
        <f>IF(AND('331-CT'!$E$7=TH!H789,OR(L789="331",M789="331")),"331",IF(AND(OR(L789="131",M789="131"),H789='131-CT'!$E$7),"131",""))</f>
        <v/>
      </c>
      <c r="O789" s="89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809"/>
      <c r="AC789" s="555" t="str">
        <f>IF(VLOOKUP(H789,DS_131,1,0)&lt;&gt;"","","x")</f>
        <v/>
      </c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250"/>
        <v>12</v>
      </c>
      <c r="C790" s="184">
        <f t="shared" si="251"/>
        <v>42000</v>
      </c>
      <c r="D790" s="184" t="s">
        <v>980</v>
      </c>
      <c r="E790" s="191">
        <v>42000</v>
      </c>
      <c r="F790" s="189" t="s">
        <v>515</v>
      </c>
      <c r="G790" s="463" t="s">
        <v>870</v>
      </c>
      <c r="H790" s="7" t="s">
        <v>908</v>
      </c>
      <c r="I790" s="251">
        <v>1010</v>
      </c>
      <c r="J790" s="251">
        <v>12000</v>
      </c>
      <c r="K790" s="563">
        <f>ROUND(I790*J790,0)</f>
        <v>12120000</v>
      </c>
      <c r="L790" s="564" t="s">
        <v>253</v>
      </c>
      <c r="M790" s="564" t="s">
        <v>177</v>
      </c>
      <c r="N790" s="52" t="str">
        <f>IF(AND('331-CT'!$E$7=TH!H790,OR(L790="331",M790="331")),"331",IF(AND(OR(L790="131",M790="131"),H790='131-CT'!$E$7),"131",""))</f>
        <v/>
      </c>
      <c r="O790" s="89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809"/>
      <c r="AC790" s="211" t="str">
        <f>IF(F790=VLOOKUP(F790,NXT!$C$12:$C$345,1,0),"","x")</f>
        <v/>
      </c>
    </row>
    <row r="791" spans="1:30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250"/>
        <v>12</v>
      </c>
      <c r="C791" s="184">
        <f t="shared" si="251"/>
        <v>42000</v>
      </c>
      <c r="D791" s="184" t="s">
        <v>980</v>
      </c>
      <c r="E791" s="191">
        <v>42000</v>
      </c>
      <c r="F791" s="291" t="s">
        <v>420</v>
      </c>
      <c r="G791" s="463" t="s">
        <v>870</v>
      </c>
      <c r="H791" s="7" t="s">
        <v>908</v>
      </c>
      <c r="I791" s="251"/>
      <c r="J791" s="251"/>
      <c r="K791" s="563">
        <v>1212000</v>
      </c>
      <c r="L791" s="564" t="s">
        <v>253</v>
      </c>
      <c r="M791" s="564" t="s">
        <v>365</v>
      </c>
      <c r="N791" s="52" t="str">
        <f>IF(AND('331-CT'!$E$7=TH!H791,OR(L791="331",M791="331")),"331",IF(AND(OR(L791="131",M791="131"),H791='131-CT'!$E$7),"131",""))</f>
        <v/>
      </c>
      <c r="O791" s="89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809"/>
      <c r="AC791" s="555" t="str">
        <f>IF(VLOOKUP(H791,DS_131,1,0)&lt;&gt;"","","x")</f>
        <v/>
      </c>
    </row>
    <row r="792" spans="1:30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250"/>
        <v>12</v>
      </c>
      <c r="C792" s="184">
        <f t="shared" si="251"/>
        <v>42003</v>
      </c>
      <c r="D792" s="184" t="s">
        <v>981</v>
      </c>
      <c r="E792" s="191">
        <v>42003</v>
      </c>
      <c r="F792" s="189" t="s">
        <v>871</v>
      </c>
      <c r="G792" s="463" t="s">
        <v>872</v>
      </c>
      <c r="H792" s="7" t="s">
        <v>907</v>
      </c>
      <c r="I792" s="251">
        <v>310</v>
      </c>
      <c r="J792" s="251">
        <v>9400</v>
      </c>
      <c r="K792" s="563">
        <f>ROUND(I792*J792,0)</f>
        <v>2914000</v>
      </c>
      <c r="L792" s="564" t="s">
        <v>253</v>
      </c>
      <c r="M792" s="564" t="s">
        <v>177</v>
      </c>
      <c r="N792" s="52" t="str">
        <f>IF(AND('331-CT'!$E$7=TH!H792,OR(L792="331",M792="331")),"331",IF(AND(OR(L792="131",M792="131"),H792='131-CT'!$E$7),"131",""))</f>
        <v/>
      </c>
      <c r="O792" s="89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809"/>
      <c r="AC792" s="211" t="str">
        <f>IF(F792=VLOOKUP(F792,NXT!$C$12:$C$345,1,0),"","x")</f>
        <v/>
      </c>
    </row>
    <row r="793" spans="1:30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250"/>
        <v>12</v>
      </c>
      <c r="C793" s="184">
        <f t="shared" si="251"/>
        <v>42003</v>
      </c>
      <c r="D793" s="184" t="s">
        <v>981</v>
      </c>
      <c r="E793" s="191">
        <v>42003</v>
      </c>
      <c r="F793" s="40" t="s">
        <v>873</v>
      </c>
      <c r="G793" s="463" t="s">
        <v>872</v>
      </c>
      <c r="H793" s="7" t="s">
        <v>907</v>
      </c>
      <c r="I793" s="251">
        <v>219</v>
      </c>
      <c r="J793" s="251">
        <v>9800</v>
      </c>
      <c r="K793" s="563">
        <f>ROUND(I793*J793,0)</f>
        <v>2146200</v>
      </c>
      <c r="L793" s="564" t="s">
        <v>253</v>
      </c>
      <c r="M793" s="564" t="s">
        <v>177</v>
      </c>
      <c r="N793" s="52" t="str">
        <f>IF(AND('331-CT'!$E$7=TH!H793,OR(L793="331",M793="331")),"331",IF(AND(OR(L793="131",M793="131"),H793='131-CT'!$E$7),"131",""))</f>
        <v/>
      </c>
      <c r="O793" s="89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09"/>
      <c r="AC793" s="211" t="str">
        <f>IF(F793=VLOOKUP(F793,NXT!$C$12:$C$345,1,0),"","x")</f>
        <v/>
      </c>
    </row>
    <row r="794" spans="1:30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250"/>
        <v>12</v>
      </c>
      <c r="C794" s="184">
        <f t="shared" si="251"/>
        <v>42003</v>
      </c>
      <c r="D794" s="184" t="s">
        <v>981</v>
      </c>
      <c r="E794" s="191">
        <v>42003</v>
      </c>
      <c r="F794" s="189" t="s">
        <v>420</v>
      </c>
      <c r="G794" s="463" t="s">
        <v>872</v>
      </c>
      <c r="H794" s="7" t="s">
        <v>907</v>
      </c>
      <c r="I794" s="251"/>
      <c r="J794" s="251"/>
      <c r="K794" s="563">
        <v>506020</v>
      </c>
      <c r="L794" s="564" t="s">
        <v>253</v>
      </c>
      <c r="M794" s="564" t="s">
        <v>365</v>
      </c>
      <c r="N794" s="52" t="str">
        <f>IF(AND('331-CT'!$E$7=TH!H794,OR(L794="331",M794="331")),"331",IF(AND(OR(L794="131",M794="131"),H794='131-CT'!$E$7),"131",""))</f>
        <v/>
      </c>
      <c r="O794" s="89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09"/>
      <c r="AC794" s="555" t="str">
        <f>IF(VLOOKUP(H794,DS_131,1,0)&lt;&gt;"","","x")</f>
        <v/>
      </c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250"/>
        <v>12</v>
      </c>
      <c r="C795" s="184">
        <f t="shared" si="251"/>
        <v>42003</v>
      </c>
      <c r="D795" s="184" t="s">
        <v>982</v>
      </c>
      <c r="E795" s="191">
        <v>42003</v>
      </c>
      <c r="F795" s="40" t="s">
        <v>874</v>
      </c>
      <c r="G795" s="463" t="s">
        <v>875</v>
      </c>
      <c r="H795" s="7" t="s">
        <v>684</v>
      </c>
      <c r="I795" s="251">
        <v>30</v>
      </c>
      <c r="J795" s="251">
        <v>43000</v>
      </c>
      <c r="K795" s="563">
        <f>ROUND(I795*J795,0)</f>
        <v>1290000</v>
      </c>
      <c r="L795" s="564" t="s">
        <v>253</v>
      </c>
      <c r="M795" s="564" t="s">
        <v>177</v>
      </c>
      <c r="N795" s="52" t="str">
        <f>IF(AND('331-CT'!$E$7=TH!H795,OR(L795="331",M795="331")),"331",IF(AND(OR(L795="131",M795="131"),H795='131-CT'!$E$7),"131",""))</f>
        <v/>
      </c>
      <c r="O795" s="89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09"/>
      <c r="AC795" s="211" t="str">
        <f>IF(F795=VLOOKUP(F795,NXT!$C$12:$C$345,1,0),"","x")</f>
        <v/>
      </c>
    </row>
    <row r="796" spans="1:30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250"/>
        <v>12</v>
      </c>
      <c r="C796" s="184">
        <f t="shared" si="251"/>
        <v>42003</v>
      </c>
      <c r="D796" s="184" t="s">
        <v>982</v>
      </c>
      <c r="E796" s="191">
        <v>42003</v>
      </c>
      <c r="F796" s="192" t="s">
        <v>746</v>
      </c>
      <c r="G796" s="463" t="s">
        <v>875</v>
      </c>
      <c r="H796" s="7" t="s">
        <v>684</v>
      </c>
      <c r="I796" s="251">
        <v>60</v>
      </c>
      <c r="J796" s="251">
        <v>1500</v>
      </c>
      <c r="K796" s="563">
        <f>ROUND(I796*J796,0)</f>
        <v>90000</v>
      </c>
      <c r="L796" s="564" t="s">
        <v>253</v>
      </c>
      <c r="M796" s="564" t="s">
        <v>177</v>
      </c>
      <c r="N796" s="52" t="str">
        <f>IF(AND('331-CT'!$E$7=TH!H796,OR(L796="331",M796="331")),"331",IF(AND(OR(L796="131",M796="131"),H796='131-CT'!$E$7),"131",""))</f>
        <v/>
      </c>
      <c r="O796" s="89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09"/>
      <c r="AC796" s="211" t="str">
        <f>IF(F796=VLOOKUP(F796,NXT!$C$12:$C$345,1,0),"","x")</f>
        <v/>
      </c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250"/>
        <v>12</v>
      </c>
      <c r="C797" s="184">
        <f t="shared" si="251"/>
        <v>42003</v>
      </c>
      <c r="D797" s="184" t="s">
        <v>982</v>
      </c>
      <c r="E797" s="191">
        <v>42003</v>
      </c>
      <c r="F797" s="189" t="s">
        <v>420</v>
      </c>
      <c r="G797" s="463" t="s">
        <v>875</v>
      </c>
      <c r="H797" s="7" t="s">
        <v>684</v>
      </c>
      <c r="I797" s="251"/>
      <c r="J797" s="251"/>
      <c r="K797" s="38">
        <v>138000</v>
      </c>
      <c r="L797" s="564" t="s">
        <v>253</v>
      </c>
      <c r="M797" s="564" t="s">
        <v>365</v>
      </c>
      <c r="N797" s="52" t="str">
        <f>IF(AND('331-CT'!$E$7=TH!H797,OR(L797="331",M797="331")),"331",IF(AND(OR(L797="131",M797="131"),H797='131-CT'!$E$7),"131",""))</f>
        <v/>
      </c>
      <c r="O797" s="89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09"/>
      <c r="AC797" s="555" t="str">
        <f>IF(VLOOKUP(H797,DS_131,1,0)&lt;&gt;"","","x")</f>
        <v/>
      </c>
      <c r="AD797" s="555"/>
    </row>
    <row r="798" spans="1:30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250"/>
        <v>12</v>
      </c>
      <c r="C798" s="184">
        <f t="shared" si="251"/>
        <v>42003</v>
      </c>
      <c r="D798" s="184" t="s">
        <v>983</v>
      </c>
      <c r="E798" s="191">
        <v>42003</v>
      </c>
      <c r="F798" s="189" t="s">
        <v>554</v>
      </c>
      <c r="G798" s="463" t="s">
        <v>876</v>
      </c>
      <c r="H798" s="7" t="s">
        <v>454</v>
      </c>
      <c r="I798" s="251">
        <v>650</v>
      </c>
      <c r="J798" s="251">
        <v>25000</v>
      </c>
      <c r="K798" s="563">
        <f>ROUND(I798*J798,0)</f>
        <v>16250000</v>
      </c>
      <c r="L798" s="564" t="s">
        <v>253</v>
      </c>
      <c r="M798" s="564" t="s">
        <v>177</v>
      </c>
      <c r="N798" s="52" t="str">
        <f>IF(AND('331-CT'!$E$7=TH!H798,OR(L798="331",M798="331")),"331",IF(AND(OR(L798="131",M798="131"),H798='131-CT'!$E$7),"131",""))</f>
        <v>131</v>
      </c>
      <c r="O798" s="89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09"/>
      <c r="AC798" s="211" t="str">
        <f>IF(F798=VLOOKUP(F798,NXT!$C$12:$C$345,1,0),"","x")</f>
        <v/>
      </c>
    </row>
    <row r="799" spans="1:30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250"/>
        <v>12</v>
      </c>
      <c r="C799" s="184">
        <f t="shared" si="251"/>
        <v>42003</v>
      </c>
      <c r="D799" s="184" t="s">
        <v>983</v>
      </c>
      <c r="E799" s="191">
        <v>42003</v>
      </c>
      <c r="F799" s="189" t="s">
        <v>420</v>
      </c>
      <c r="G799" s="463" t="s">
        <v>876</v>
      </c>
      <c r="H799" s="7" t="s">
        <v>454</v>
      </c>
      <c r="I799" s="251"/>
      <c r="J799" s="251"/>
      <c r="K799" s="563">
        <v>1625000</v>
      </c>
      <c r="L799" s="564" t="s">
        <v>253</v>
      </c>
      <c r="M799" s="564" t="s">
        <v>365</v>
      </c>
      <c r="N799" s="52" t="str">
        <f>IF(AND('331-CT'!$E$7=TH!H799,OR(L799="331",M799="331")),"331",IF(AND(OR(L799="131",M799="131"),H799='131-CT'!$E$7),"131",""))</f>
        <v>131</v>
      </c>
      <c r="O799" s="89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09"/>
      <c r="AC799" s="555" t="str">
        <f>IF(VLOOKUP(H799,DS_131,1,0)&lt;&gt;"","","x")</f>
        <v/>
      </c>
      <c r="AD799" s="555"/>
    </row>
    <row r="800" spans="1:30" s="211" customFormat="1" ht="15.75" customHeight="1">
      <c r="A800" s="204">
        <f>IF(B800&lt;&gt;"",IF(AND(B800&gt;=_TM1,B800&lt;=_TM2,OR(TH!L800="1111",TH!M800="1111")),TH!D800,""),"")</f>
        <v>0</v>
      </c>
      <c r="B800" s="36">
        <f t="shared" ref="B800" si="256">IF(C800&lt;&gt;"",MONTH(C800),"")</f>
        <v>12</v>
      </c>
      <c r="C800" s="184">
        <f t="shared" ref="C800" si="257">E800</f>
        <v>42003</v>
      </c>
      <c r="D800" s="184"/>
      <c r="E800" s="191">
        <v>42003</v>
      </c>
      <c r="F800" s="192" t="s">
        <v>894</v>
      </c>
      <c r="G800" s="463" t="s">
        <v>876</v>
      </c>
      <c r="H800" s="7" t="s">
        <v>454</v>
      </c>
      <c r="I800" s="251"/>
      <c r="J800" s="251"/>
      <c r="K800" s="563">
        <v>17875000</v>
      </c>
      <c r="L800" s="564" t="s">
        <v>47</v>
      </c>
      <c r="M800" s="564" t="s">
        <v>253</v>
      </c>
      <c r="N800" s="52" t="str">
        <f>IF(AND('331-CT'!$E$7=TH!H800,OR(L800="331",M800="331")),"331",IF(AND(OR(L800="131",M800="131"),H800='131-CT'!$E$7),"131",""))</f>
        <v>131</v>
      </c>
      <c r="O800" s="89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09"/>
      <c r="AC800" s="555"/>
      <c r="AD800" s="555"/>
    </row>
    <row r="801" spans="1:31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250"/>
        <v>12</v>
      </c>
      <c r="C801" s="184">
        <f t="shared" si="251"/>
        <v>42004</v>
      </c>
      <c r="D801" s="184" t="s">
        <v>984</v>
      </c>
      <c r="E801" s="191">
        <v>42004</v>
      </c>
      <c r="F801" s="189" t="s">
        <v>512</v>
      </c>
      <c r="G801" s="463" t="s">
        <v>877</v>
      </c>
      <c r="H801" s="7" t="s">
        <v>907</v>
      </c>
      <c r="I801" s="251">
        <v>307</v>
      </c>
      <c r="J801" s="251">
        <v>7000</v>
      </c>
      <c r="K801" s="563">
        <f>ROUND(I801*J801,0)</f>
        <v>2149000</v>
      </c>
      <c r="L801" s="564" t="s">
        <v>253</v>
      </c>
      <c r="M801" s="564" t="s">
        <v>177</v>
      </c>
      <c r="N801" s="52" t="str">
        <f>IF(AND('331-CT'!$E$7=TH!H801,OR(L801="331",M801="331")),"331",IF(AND(OR(L801="131",M801="131"),H801='131-CT'!$E$7),"131",""))</f>
        <v/>
      </c>
      <c r="O801" s="89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09"/>
      <c r="AC801" s="211" t="str">
        <f>IF(F801=VLOOKUP(F801,NXT!$C$12:$C$345,1,0),"","x")</f>
        <v/>
      </c>
    </row>
    <row r="802" spans="1:31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250"/>
        <v>12</v>
      </c>
      <c r="C802" s="184">
        <f t="shared" si="251"/>
        <v>42004</v>
      </c>
      <c r="D802" s="184" t="s">
        <v>984</v>
      </c>
      <c r="E802" s="191">
        <v>42004</v>
      </c>
      <c r="F802" s="189" t="s">
        <v>486</v>
      </c>
      <c r="G802" s="463" t="s">
        <v>877</v>
      </c>
      <c r="H802" s="7" t="s">
        <v>907</v>
      </c>
      <c r="I802" s="251">
        <v>200</v>
      </c>
      <c r="J802" s="251">
        <v>9300</v>
      </c>
      <c r="K802" s="563">
        <f>ROUND(I802*J802,0)</f>
        <v>1860000</v>
      </c>
      <c r="L802" s="564" t="s">
        <v>253</v>
      </c>
      <c r="M802" s="564" t="s">
        <v>177</v>
      </c>
      <c r="N802" s="52" t="str">
        <f>IF(AND('331-CT'!$E$7=TH!H802,OR(L802="331",M802="331")),"331",IF(AND(OR(L802="131",M802="131"),H802='131-CT'!$E$7),"131",""))</f>
        <v/>
      </c>
      <c r="O802" s="89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09"/>
      <c r="AC802" s="211" t="str">
        <f>IF(F802=VLOOKUP(F802,NXT!$C$12:$C$345,1,0),"","x")</f>
        <v/>
      </c>
      <c r="AD802" s="555"/>
    </row>
    <row r="803" spans="1:31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250"/>
        <v>12</v>
      </c>
      <c r="C803" s="184">
        <f t="shared" si="251"/>
        <v>42004</v>
      </c>
      <c r="D803" s="184" t="s">
        <v>984</v>
      </c>
      <c r="E803" s="191">
        <v>42004</v>
      </c>
      <c r="F803" s="189" t="s">
        <v>420</v>
      </c>
      <c r="G803" s="463" t="s">
        <v>877</v>
      </c>
      <c r="H803" s="7" t="s">
        <v>907</v>
      </c>
      <c r="I803" s="251"/>
      <c r="J803" s="251"/>
      <c r="K803" s="563">
        <v>400900</v>
      </c>
      <c r="L803" s="564" t="s">
        <v>253</v>
      </c>
      <c r="M803" s="564" t="s">
        <v>365</v>
      </c>
      <c r="N803" s="52" t="str">
        <f>IF(AND('331-CT'!$E$7=TH!H803,OR(L803="331",M803="331")),"331",IF(AND(OR(L803="131",M803="131"),H803='131-CT'!$E$7),"131",""))</f>
        <v/>
      </c>
      <c r="O803" s="89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09"/>
      <c r="AC803" s="555" t="str">
        <f>IF(VLOOKUP(H803,DS_131,1,0)&lt;&gt;"","","x")</f>
        <v/>
      </c>
    </row>
    <row r="804" spans="1:31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250"/>
        <v>12</v>
      </c>
      <c r="C804" s="184">
        <f t="shared" si="251"/>
        <v>42004</v>
      </c>
      <c r="D804" s="184" t="s">
        <v>985</v>
      </c>
      <c r="E804" s="191">
        <v>42004</v>
      </c>
      <c r="F804" s="189" t="s">
        <v>775</v>
      </c>
      <c r="G804" s="463" t="s">
        <v>878</v>
      </c>
      <c r="H804" s="7" t="s">
        <v>777</v>
      </c>
      <c r="I804" s="252">
        <v>2500</v>
      </c>
      <c r="J804" s="252">
        <v>6500</v>
      </c>
      <c r="K804" s="563">
        <f>ROUND(I804*J804,0)</f>
        <v>16250000</v>
      </c>
      <c r="L804" s="564" t="s">
        <v>253</v>
      </c>
      <c r="M804" s="564" t="s">
        <v>177</v>
      </c>
      <c r="N804" s="52" t="str">
        <f>IF(AND('331-CT'!$E$7=TH!H804,OR(L804="331",M804="331")),"331",IF(AND(OR(L804="131",M804="131"),H804='131-CT'!$E$7),"131",""))</f>
        <v/>
      </c>
      <c r="O804" s="89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09"/>
      <c r="AC804" s="211" t="str">
        <f>IF(F804=VLOOKUP(F804,NXT!$C$12:$C$345,1,0),"","x")</f>
        <v/>
      </c>
    </row>
    <row r="805" spans="1:31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250"/>
        <v>12</v>
      </c>
      <c r="C805" s="184">
        <f t="shared" si="251"/>
        <v>42004</v>
      </c>
      <c r="D805" s="184" t="s">
        <v>985</v>
      </c>
      <c r="E805" s="191">
        <v>42004</v>
      </c>
      <c r="F805" s="189" t="s">
        <v>420</v>
      </c>
      <c r="G805" s="463" t="s">
        <v>878</v>
      </c>
      <c r="H805" s="7" t="s">
        <v>777</v>
      </c>
      <c r="I805" s="251"/>
      <c r="J805" s="251"/>
      <c r="K805" s="563">
        <v>1625000</v>
      </c>
      <c r="L805" s="564" t="s">
        <v>253</v>
      </c>
      <c r="M805" s="564" t="s">
        <v>365</v>
      </c>
      <c r="N805" s="52" t="str">
        <f>IF(AND('331-CT'!$E$7=TH!H805,OR(L805="331",M805="331")),"331",IF(AND(OR(L805="131",M805="131"),H805='131-CT'!$E$7),"131",""))</f>
        <v/>
      </c>
      <c r="O805" s="89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09"/>
      <c r="AC805" s="555" t="str">
        <f>IF(VLOOKUP(H805,DS_131,1,0)&lt;&gt;"","","x")</f>
        <v/>
      </c>
    </row>
    <row r="806" spans="1:31" s="211" customFormat="1" ht="15.75" customHeight="1">
      <c r="A806" s="204">
        <f>IF(B806&lt;&gt;"",IF(AND(B806&gt;=_TM1,B806&lt;=_TM2,OR(TH!L806="1111",TH!M806="1111")),TH!D806,""),"")</f>
        <v>0</v>
      </c>
      <c r="B806" s="36">
        <f t="shared" ref="B806" si="258">IF(C806&lt;&gt;"",MONTH(C806),"")</f>
        <v>12</v>
      </c>
      <c r="C806" s="184">
        <f t="shared" ref="C806" si="259">E806</f>
        <v>42004</v>
      </c>
      <c r="D806" s="184"/>
      <c r="E806" s="191">
        <v>42004</v>
      </c>
      <c r="F806" s="192" t="s">
        <v>894</v>
      </c>
      <c r="G806" s="463" t="s">
        <v>878</v>
      </c>
      <c r="H806" s="7" t="s">
        <v>777</v>
      </c>
      <c r="I806" s="251"/>
      <c r="J806" s="251"/>
      <c r="K806" s="563">
        <f>K804+K805</f>
        <v>17875000</v>
      </c>
      <c r="L806" s="564" t="s">
        <v>47</v>
      </c>
      <c r="M806" s="564" t="s">
        <v>253</v>
      </c>
      <c r="N806" s="52" t="str">
        <f>IF(AND('331-CT'!$E$7=TH!H806,OR(L806="331",M806="331")),"331",IF(AND(OR(L806="131",M806="131"),H806='131-CT'!$E$7),"131",""))</f>
        <v/>
      </c>
      <c r="O806" s="89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09"/>
      <c r="AC806" s="555" t="str">
        <f>IF(VLOOKUP(H806,DS_131,1,0)&lt;&gt;"","","x")</f>
        <v/>
      </c>
    </row>
    <row r="807" spans="1:31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250"/>
        <v>12</v>
      </c>
      <c r="C807" s="184">
        <f t="shared" si="251"/>
        <v>42004</v>
      </c>
      <c r="D807" s="184" t="s">
        <v>986</v>
      </c>
      <c r="E807" s="191">
        <v>42004</v>
      </c>
      <c r="F807" s="189" t="s">
        <v>879</v>
      </c>
      <c r="G807" s="463" t="s">
        <v>880</v>
      </c>
      <c r="H807" s="7" t="s">
        <v>469</v>
      </c>
      <c r="I807" s="251">
        <v>2050</v>
      </c>
      <c r="J807" s="251">
        <v>3750</v>
      </c>
      <c r="K807" s="563">
        <f>ROUND(I807*J807,0)</f>
        <v>7687500</v>
      </c>
      <c r="L807" s="564" t="s">
        <v>253</v>
      </c>
      <c r="M807" s="564" t="s">
        <v>177</v>
      </c>
      <c r="N807" s="52" t="str">
        <f>IF(AND('331-CT'!$E$7=TH!H807,OR(L807="331",M807="331")),"331",IF(AND(OR(L807="131",M807="131"),H807='131-CT'!$E$7),"131",""))</f>
        <v/>
      </c>
      <c r="O807" s="89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09"/>
      <c r="AC807" s="211" t="str">
        <f>IF(F807=VLOOKUP(F807,NXT!$C$12:$C$345,1,0),"","x")</f>
        <v/>
      </c>
    </row>
    <row r="808" spans="1:31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250"/>
        <v>12</v>
      </c>
      <c r="C808" s="184">
        <f t="shared" si="251"/>
        <v>42004</v>
      </c>
      <c r="D808" s="184" t="s">
        <v>986</v>
      </c>
      <c r="E808" s="191">
        <v>42004</v>
      </c>
      <c r="F808" s="189" t="s">
        <v>881</v>
      </c>
      <c r="G808" s="463" t="s">
        <v>880</v>
      </c>
      <c r="H808" s="7" t="s">
        <v>469</v>
      </c>
      <c r="I808" s="251">
        <v>210</v>
      </c>
      <c r="J808" s="251">
        <v>5000</v>
      </c>
      <c r="K808" s="563">
        <f>ROUND(I808*J808,0)</f>
        <v>1050000</v>
      </c>
      <c r="L808" s="564" t="s">
        <v>253</v>
      </c>
      <c r="M808" s="564" t="s">
        <v>177</v>
      </c>
      <c r="N808" s="52" t="str">
        <f>IF(AND('331-CT'!$E$7=TH!H808,OR(L808="331",M808="331")),"331",IF(AND(OR(L808="131",M808="131"),H808='131-CT'!$E$7),"131",""))</f>
        <v/>
      </c>
      <c r="O808" s="89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09"/>
      <c r="AC808" s="211" t="str">
        <f>IF(F808=VLOOKUP(F808,NXT!$C$12:$C$345,1,0),"","x")</f>
        <v/>
      </c>
    </row>
    <row r="809" spans="1:31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250"/>
        <v>12</v>
      </c>
      <c r="C809" s="184">
        <f t="shared" si="251"/>
        <v>42004</v>
      </c>
      <c r="D809" s="184" t="s">
        <v>986</v>
      </c>
      <c r="E809" s="191">
        <v>42004</v>
      </c>
      <c r="F809" s="189" t="s">
        <v>882</v>
      </c>
      <c r="G809" s="463" t="s">
        <v>880</v>
      </c>
      <c r="H809" s="7" t="s">
        <v>469</v>
      </c>
      <c r="I809" s="251">
        <v>130</v>
      </c>
      <c r="J809" s="251">
        <v>5200</v>
      </c>
      <c r="K809" s="563">
        <f>ROUND(I809*J809,0)</f>
        <v>676000</v>
      </c>
      <c r="L809" s="564" t="s">
        <v>253</v>
      </c>
      <c r="M809" s="564" t="s">
        <v>177</v>
      </c>
      <c r="N809" s="52" t="str">
        <f>IF(AND('331-CT'!$E$7=TH!H809,OR(L809="331",M809="331")),"331",IF(AND(OR(L809="131",M809="131"),H809='131-CT'!$E$7),"131",""))</f>
        <v/>
      </c>
      <c r="O809" s="89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09"/>
      <c r="AC809" s="211" t="str">
        <f>IF(F809=VLOOKUP(F809,NXT!$C$12:$C$345,1,0),"","x")</f>
        <v/>
      </c>
    </row>
    <row r="810" spans="1:31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250"/>
        <v>12</v>
      </c>
      <c r="C810" s="184">
        <f t="shared" si="251"/>
        <v>42004</v>
      </c>
      <c r="D810" s="184" t="s">
        <v>986</v>
      </c>
      <c r="E810" s="184">
        <v>42004</v>
      </c>
      <c r="F810" s="189" t="s">
        <v>883</v>
      </c>
      <c r="G810" s="565" t="s">
        <v>880</v>
      </c>
      <c r="H810" s="193" t="s">
        <v>469</v>
      </c>
      <c r="I810" s="251">
        <v>170</v>
      </c>
      <c r="J810" s="251">
        <v>4650</v>
      </c>
      <c r="K810" s="563">
        <f>ROUND(I810*J810,0)</f>
        <v>790500</v>
      </c>
      <c r="L810" s="564" t="s">
        <v>253</v>
      </c>
      <c r="M810" s="564" t="s">
        <v>177</v>
      </c>
      <c r="N810" s="52" t="str">
        <f>IF(AND('331-CT'!$E$7=TH!H810,OR(L810="331",M810="331")),"331",IF(AND(OR(L810="131",M810="131"),H810='131-CT'!$E$7),"131",""))</f>
        <v/>
      </c>
      <c r="O810" s="89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09"/>
      <c r="AC810" s="211" t="str">
        <f>IF(F810=VLOOKUP(F810,NXT!$C$12:$C$345,1,0),"","x")</f>
        <v/>
      </c>
      <c r="AD810" s="555"/>
      <c r="AE810" s="555"/>
    </row>
    <row r="811" spans="1:31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250"/>
        <v>12</v>
      </c>
      <c r="C811" s="184">
        <f t="shared" si="251"/>
        <v>42004</v>
      </c>
      <c r="D811" s="184" t="s">
        <v>986</v>
      </c>
      <c r="E811" s="191">
        <v>42004</v>
      </c>
      <c r="F811" s="192" t="s">
        <v>420</v>
      </c>
      <c r="G811" s="463" t="s">
        <v>880</v>
      </c>
      <c r="H811" s="193" t="s">
        <v>469</v>
      </c>
      <c r="I811" s="252"/>
      <c r="J811" s="252"/>
      <c r="K811" s="563">
        <v>1020400</v>
      </c>
      <c r="L811" s="564" t="s">
        <v>253</v>
      </c>
      <c r="M811" s="564" t="s">
        <v>365</v>
      </c>
      <c r="N811" s="52" t="str">
        <f>IF(AND('331-CT'!$E$7=TH!H811,OR(L811="331",M811="331")),"331",IF(AND(OR(L811="131",M811="131"),H811='131-CT'!$E$7),"131",""))</f>
        <v/>
      </c>
      <c r="O811" s="89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09"/>
      <c r="AC811" s="555" t="str">
        <f>IF(VLOOKUP(H811,DS_131,1,0)&lt;&gt;"","","x")</f>
        <v/>
      </c>
    </row>
    <row r="812" spans="1:31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250"/>
        <v>12</v>
      </c>
      <c r="C812" s="184">
        <f t="shared" si="251"/>
        <v>42004</v>
      </c>
      <c r="D812" s="184" t="s">
        <v>987</v>
      </c>
      <c r="E812" s="191">
        <v>42004</v>
      </c>
      <c r="F812" s="192" t="s">
        <v>884</v>
      </c>
      <c r="G812" s="463" t="s">
        <v>885</v>
      </c>
      <c r="H812" s="193" t="s">
        <v>886</v>
      </c>
      <c r="I812" s="252">
        <v>200</v>
      </c>
      <c r="J812" s="252">
        <v>10600</v>
      </c>
      <c r="K812" s="563">
        <f>ROUND(I812*J812,0)</f>
        <v>2120000</v>
      </c>
      <c r="L812" s="564" t="s">
        <v>253</v>
      </c>
      <c r="M812" s="564" t="s">
        <v>177</v>
      </c>
      <c r="N812" s="52" t="str">
        <f>IF(AND('331-CT'!$E$7=TH!H812,OR(L812="331",M812="331")),"331",IF(AND(OR(L812="131",M812="131"),H812='131-CT'!$E$7),"131",""))</f>
        <v/>
      </c>
      <c r="O812" s="89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09"/>
      <c r="AC812" s="211" t="str">
        <f>IF(F812=VLOOKUP(F812,NXT!$C$12:$C$345,1,0),"","x")</f>
        <v/>
      </c>
      <c r="AD812" s="555"/>
    </row>
    <row r="813" spans="1:31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250"/>
        <v>12</v>
      </c>
      <c r="C813" s="184">
        <f t="shared" si="251"/>
        <v>42004</v>
      </c>
      <c r="D813" s="184" t="s">
        <v>987</v>
      </c>
      <c r="E813" s="191">
        <v>42004</v>
      </c>
      <c r="F813" s="192" t="s">
        <v>887</v>
      </c>
      <c r="G813" s="463" t="s">
        <v>885</v>
      </c>
      <c r="H813" s="193" t="s">
        <v>886</v>
      </c>
      <c r="I813" s="252">
        <v>100</v>
      </c>
      <c r="J813" s="252">
        <v>45000</v>
      </c>
      <c r="K813" s="563">
        <f>ROUND(I813*J813,0)</f>
        <v>4500000</v>
      </c>
      <c r="L813" s="564" t="s">
        <v>253</v>
      </c>
      <c r="M813" s="564" t="s">
        <v>177</v>
      </c>
      <c r="N813" s="52" t="str">
        <f>IF(AND('331-CT'!$E$7=TH!H813,OR(L813="331",M813="331")),"331",IF(AND(OR(L813="131",M813="131"),H813='131-CT'!$E$7),"131",""))</f>
        <v/>
      </c>
      <c r="O813" s="89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09"/>
      <c r="AC813" s="211" t="str">
        <f>IF(F813=VLOOKUP(F813,NXT!$C$12:$C$345,1,0),"","x")</f>
        <v/>
      </c>
    </row>
    <row r="814" spans="1:31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250"/>
        <v>12</v>
      </c>
      <c r="C814" s="184">
        <f t="shared" si="251"/>
        <v>42004</v>
      </c>
      <c r="D814" s="184" t="s">
        <v>987</v>
      </c>
      <c r="E814" s="191">
        <v>42004</v>
      </c>
      <c r="F814" s="192" t="s">
        <v>888</v>
      </c>
      <c r="G814" s="463" t="s">
        <v>885</v>
      </c>
      <c r="H814" s="193" t="s">
        <v>886</v>
      </c>
      <c r="I814" s="251">
        <v>100</v>
      </c>
      <c r="J814" s="251">
        <v>45300</v>
      </c>
      <c r="K814" s="563">
        <f>ROUND(I814*J814,0)</f>
        <v>4530000</v>
      </c>
      <c r="L814" s="564" t="s">
        <v>253</v>
      </c>
      <c r="M814" s="564" t="s">
        <v>177</v>
      </c>
      <c r="N814" s="52" t="str">
        <f>IF(AND('331-CT'!$E$7=TH!H814,OR(L814="331",M814="331")),"331",IF(AND(OR(L814="131",M814="131"),H814='131-CT'!$E$7),"131",""))</f>
        <v/>
      </c>
      <c r="O814" s="89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09"/>
      <c r="AC814" s="211" t="str">
        <f>IF(F814=VLOOKUP(F814,NXT!$C$12:$C$345,1,0),"","x")</f>
        <v/>
      </c>
      <c r="AD814" s="555"/>
    </row>
    <row r="815" spans="1:31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250"/>
        <v>12</v>
      </c>
      <c r="C815" s="184">
        <f t="shared" si="251"/>
        <v>42004</v>
      </c>
      <c r="D815" s="184" t="s">
        <v>987</v>
      </c>
      <c r="E815" s="191">
        <v>42004</v>
      </c>
      <c r="F815" s="192" t="s">
        <v>889</v>
      </c>
      <c r="G815" s="463" t="s">
        <v>885</v>
      </c>
      <c r="H815" s="193" t="s">
        <v>886</v>
      </c>
      <c r="I815" s="251">
        <v>150</v>
      </c>
      <c r="J815" s="251">
        <v>38800</v>
      </c>
      <c r="K815" s="563">
        <f>ROUND(I815*J815,0)</f>
        <v>5820000</v>
      </c>
      <c r="L815" s="564" t="s">
        <v>253</v>
      </c>
      <c r="M815" s="564" t="s">
        <v>177</v>
      </c>
      <c r="N815" s="52" t="str">
        <f>IF(AND('331-CT'!$E$7=TH!H815,OR(L815="331",M815="331")),"331",IF(AND(OR(L815="131",M815="131"),H815='131-CT'!$E$7),"131",""))</f>
        <v/>
      </c>
      <c r="O815" s="89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09"/>
      <c r="AC815" s="211" t="str">
        <f>IF(F815=VLOOKUP(F815,NXT!$C$12:$C$345,1,0),"","x")</f>
        <v/>
      </c>
    </row>
    <row r="816" spans="1:31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250"/>
        <v>12</v>
      </c>
      <c r="C816" s="184">
        <f t="shared" si="251"/>
        <v>42004</v>
      </c>
      <c r="D816" s="184" t="s">
        <v>987</v>
      </c>
      <c r="E816" s="191">
        <v>42004</v>
      </c>
      <c r="F816" s="192" t="s">
        <v>420</v>
      </c>
      <c r="G816" s="463" t="s">
        <v>885</v>
      </c>
      <c r="H816" s="193" t="s">
        <v>886</v>
      </c>
      <c r="I816" s="251"/>
      <c r="J816" s="251"/>
      <c r="K816" s="563">
        <v>1697000</v>
      </c>
      <c r="L816" s="564" t="s">
        <v>253</v>
      </c>
      <c r="M816" s="564" t="s">
        <v>365</v>
      </c>
      <c r="N816" s="52" t="str">
        <f>IF(AND('331-CT'!$E$7=TH!H816,OR(L816="331",M816="331")),"331",IF(AND(OR(L816="131",M816="131"),H816='131-CT'!$E$7),"131",""))</f>
        <v/>
      </c>
      <c r="O816" s="89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09"/>
      <c r="AC816" s="555" t="str">
        <f>IF(VLOOKUP(H816,DS_131,1,0)&lt;&gt;"","","x")</f>
        <v/>
      </c>
      <c r="AD816" s="555"/>
    </row>
    <row r="817" spans="1:31" s="211" customFormat="1" ht="15.75" customHeight="1">
      <c r="A817" s="204">
        <f>IF(B817&lt;&gt;"",IF(AND(B817&gt;=_TM1,B817&lt;=_TM2,OR(TH!L817="1111",TH!M817="1111")),TH!D817,""),"")</f>
        <v>0</v>
      </c>
      <c r="B817" s="36">
        <f t="shared" ref="B817" si="260">IF(C817&lt;&gt;"",MONTH(C817),"")</f>
        <v>12</v>
      </c>
      <c r="C817" s="184">
        <f t="shared" ref="C817" si="261">E817</f>
        <v>42004</v>
      </c>
      <c r="D817" s="184"/>
      <c r="E817" s="191">
        <v>42004</v>
      </c>
      <c r="F817" s="192" t="s">
        <v>894</v>
      </c>
      <c r="G817" s="463" t="s">
        <v>885</v>
      </c>
      <c r="H817" s="193" t="s">
        <v>886</v>
      </c>
      <c r="I817" s="251"/>
      <c r="J817" s="251"/>
      <c r="K817" s="563">
        <v>18667000</v>
      </c>
      <c r="L817" s="564" t="s">
        <v>47</v>
      </c>
      <c r="M817" s="564" t="s">
        <v>253</v>
      </c>
      <c r="N817" s="52" t="str">
        <f>IF(AND('331-CT'!$E$7=TH!H817,OR(L817="331",M817="331")),"331",IF(AND(OR(L817="131",M817="131"),H817='131-CT'!$E$7),"131",""))</f>
        <v/>
      </c>
      <c r="O817" s="89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09"/>
      <c r="AC817" s="555" t="str">
        <f>IF(VLOOKUP(H817,DS_131,1,0)&lt;&gt;"","","x")</f>
        <v/>
      </c>
      <c r="AD817" s="555"/>
    </row>
    <row r="818" spans="1:31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250"/>
        <v>12</v>
      </c>
      <c r="C818" s="184">
        <f t="shared" si="251"/>
        <v>42004</v>
      </c>
      <c r="D818" s="184" t="s">
        <v>1382</v>
      </c>
      <c r="E818" s="191">
        <v>42004</v>
      </c>
      <c r="F818" s="192" t="s">
        <v>890</v>
      </c>
      <c r="G818" s="463" t="s">
        <v>891</v>
      </c>
      <c r="H818" s="7" t="s">
        <v>454</v>
      </c>
      <c r="I818" s="251">
        <v>1280</v>
      </c>
      <c r="J818" s="251">
        <v>11100</v>
      </c>
      <c r="K818" s="563">
        <f>ROUND(I818*J818,0)</f>
        <v>14208000</v>
      </c>
      <c r="L818" s="564" t="s">
        <v>253</v>
      </c>
      <c r="M818" s="564" t="s">
        <v>177</v>
      </c>
      <c r="N818" s="52" t="str">
        <f>IF(AND('331-CT'!$E$7=TH!H818,OR(L818="331",M818="331")),"331",IF(AND(OR(L818="131",M818="131"),H818='131-CT'!$E$7),"131",""))</f>
        <v>131</v>
      </c>
      <c r="O818" s="89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>x</v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09"/>
      <c r="AC818" s="211" t="str">
        <f>IF(F818=VLOOKUP(F818,NXT!$C$12:$C$345,1,0),"","x")</f>
        <v/>
      </c>
    </row>
    <row r="819" spans="1:31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250"/>
        <v>12</v>
      </c>
      <c r="C819" s="184">
        <f t="shared" si="251"/>
        <v>42004</v>
      </c>
      <c r="D819" s="184" t="s">
        <v>1382</v>
      </c>
      <c r="E819" s="191">
        <v>42004</v>
      </c>
      <c r="F819" s="192" t="s">
        <v>420</v>
      </c>
      <c r="G819" s="463" t="s">
        <v>891</v>
      </c>
      <c r="H819" s="7" t="s">
        <v>454</v>
      </c>
      <c r="I819" s="252"/>
      <c r="J819" s="252"/>
      <c r="K819" s="563">
        <v>1420800</v>
      </c>
      <c r="L819" s="564" t="s">
        <v>253</v>
      </c>
      <c r="M819" s="564" t="s">
        <v>365</v>
      </c>
      <c r="N819" s="52" t="str">
        <f>IF(AND('331-CT'!$E$7=TH!H819,OR(L819="331",M819="331")),"331",IF(AND(OR(L819="131",M819="131"),H819='131-CT'!$E$7),"131",""))</f>
        <v>131</v>
      </c>
      <c r="O819" s="89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09"/>
      <c r="AC819" s="555" t="str">
        <f>IF(VLOOKUP(H819,DS_131,1,0)&lt;&gt;"","","x")</f>
        <v/>
      </c>
      <c r="AD819" s="555"/>
    </row>
    <row r="820" spans="1:31" s="211" customFormat="1" ht="15.75" customHeight="1">
      <c r="A820" s="204">
        <f>IF(B820&lt;&gt;"",IF(AND(B820&gt;=_TM1,B820&lt;=_TM2,OR(TH!L820="1111",TH!M820="1111")),TH!D820,""),"")</f>
        <v>0</v>
      </c>
      <c r="B820" s="36">
        <f t="shared" ref="B820" si="262">IF(C820&lt;&gt;"",MONTH(C820),"")</f>
        <v>12</v>
      </c>
      <c r="C820" s="184">
        <f t="shared" ref="C820" si="263">E820</f>
        <v>42004</v>
      </c>
      <c r="D820" s="184"/>
      <c r="E820" s="191">
        <v>42004</v>
      </c>
      <c r="F820" s="192" t="s">
        <v>894</v>
      </c>
      <c r="G820" s="463" t="s">
        <v>891</v>
      </c>
      <c r="H820" s="7" t="s">
        <v>454</v>
      </c>
      <c r="I820" s="252"/>
      <c r="J820" s="252"/>
      <c r="K820" s="563">
        <v>14809730</v>
      </c>
      <c r="L820" s="564" t="s">
        <v>47</v>
      </c>
      <c r="M820" s="564" t="s">
        <v>253</v>
      </c>
      <c r="N820" s="52" t="str">
        <f>IF(AND('331-CT'!$E$7=TH!H820,OR(L820="331",M820="331")),"331",IF(AND(OR(L820="131",M820="131"),H820='131-CT'!$E$7),"131",""))</f>
        <v>131</v>
      </c>
      <c r="O820" s="89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09"/>
      <c r="AC820" s="555" t="str">
        <f>IF(VLOOKUP(H820,DS_131,1,0)&lt;&gt;"","","x")</f>
        <v/>
      </c>
      <c r="AD820" s="555"/>
    </row>
    <row r="821" spans="1:31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ref="B821:B846" si="264">IF(C821&lt;&gt;"",MONTH(C821),"")</f>
        <v>1</v>
      </c>
      <c r="C821" s="184">
        <f t="shared" ref="C821:C839" si="265">E821</f>
        <v>41645</v>
      </c>
      <c r="D821" s="184" t="s">
        <v>892</v>
      </c>
      <c r="E821" s="191">
        <v>41645</v>
      </c>
      <c r="F821" s="192" t="s">
        <v>894</v>
      </c>
      <c r="G821" s="463" t="s">
        <v>326</v>
      </c>
      <c r="H821" s="7" t="s">
        <v>907</v>
      </c>
      <c r="I821" s="251"/>
      <c r="J821" s="251"/>
      <c r="K821" s="563">
        <v>8132025</v>
      </c>
      <c r="L821" s="194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89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09"/>
    </row>
    <row r="822" spans="1:31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264"/>
        <v>1</v>
      </c>
      <c r="C822" s="184">
        <f t="shared" si="265"/>
        <v>41647</v>
      </c>
      <c r="D822" s="184" t="s">
        <v>892</v>
      </c>
      <c r="E822" s="191">
        <v>41647</v>
      </c>
      <c r="F822" s="192" t="s">
        <v>894</v>
      </c>
      <c r="G822" s="463" t="s">
        <v>326</v>
      </c>
      <c r="H822" s="7" t="s">
        <v>906</v>
      </c>
      <c r="I822" s="251"/>
      <c r="J822" s="251"/>
      <c r="K822" s="38">
        <v>11165000</v>
      </c>
      <c r="L822" s="194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89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09"/>
      <c r="AD822" s="555"/>
    </row>
    <row r="823" spans="1:31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si="264"/>
        <v>1</v>
      </c>
      <c r="C823" s="184">
        <f t="shared" si="265"/>
        <v>41649</v>
      </c>
      <c r="D823" s="184" t="s">
        <v>892</v>
      </c>
      <c r="E823" s="191">
        <v>41649</v>
      </c>
      <c r="F823" s="192" t="s">
        <v>894</v>
      </c>
      <c r="G823" s="463" t="s">
        <v>326</v>
      </c>
      <c r="H823" s="903" t="s">
        <v>438</v>
      </c>
      <c r="I823" s="252"/>
      <c r="J823" s="251"/>
      <c r="K823" s="563">
        <v>8025000</v>
      </c>
      <c r="L823" s="194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89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09"/>
    </row>
    <row r="824" spans="1:31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264"/>
        <v>1</v>
      </c>
      <c r="C824" s="184">
        <f t="shared" si="265"/>
        <v>41656</v>
      </c>
      <c r="D824" s="184" t="s">
        <v>892</v>
      </c>
      <c r="E824" s="191">
        <v>41656</v>
      </c>
      <c r="F824" s="192" t="s">
        <v>894</v>
      </c>
      <c r="G824" s="463" t="s">
        <v>326</v>
      </c>
      <c r="H824" s="7" t="s">
        <v>909</v>
      </c>
      <c r="I824" s="251"/>
      <c r="J824" s="251"/>
      <c r="K824" s="563">
        <v>13959000</v>
      </c>
      <c r="L824" s="194" t="s">
        <v>24</v>
      </c>
      <c r="M824" s="194" t="s">
        <v>253</v>
      </c>
      <c r="N824" s="52" t="str">
        <f>IF(AND('331-CT'!$E$7=TH!H824,OR(L824="331",M824="331")),"331",IF(AND(OR(L824="131",M824="131"),H824='131-CT'!$E$7),"131",""))</f>
        <v/>
      </c>
      <c r="O824" s="89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09"/>
    </row>
    <row r="825" spans="1:31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264"/>
        <v>1</v>
      </c>
      <c r="C825" s="184">
        <f t="shared" si="265"/>
        <v>41659</v>
      </c>
      <c r="D825" s="184" t="s">
        <v>892</v>
      </c>
      <c r="E825" s="191">
        <v>41659</v>
      </c>
      <c r="F825" s="192" t="s">
        <v>894</v>
      </c>
      <c r="G825" s="463" t="s">
        <v>326</v>
      </c>
      <c r="H825" s="7" t="s">
        <v>909</v>
      </c>
      <c r="I825" s="251"/>
      <c r="J825" s="251"/>
      <c r="K825" s="563">
        <v>13513500</v>
      </c>
      <c r="L825" s="194" t="s">
        <v>24</v>
      </c>
      <c r="M825" s="194" t="s">
        <v>253</v>
      </c>
      <c r="N825" s="52" t="str">
        <f>IF(AND('331-CT'!$E$7=TH!H825,OR(L825="331",M825="331")),"331",IF(AND(OR(L825="131",M825="131"),H825='131-CT'!$E$7),"131",""))</f>
        <v/>
      </c>
      <c r="O825" s="89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09"/>
    </row>
    <row r="826" spans="1:31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264"/>
        <v>1</v>
      </c>
      <c r="C826" s="184">
        <f t="shared" si="265"/>
        <v>41659</v>
      </c>
      <c r="D826" s="184" t="s">
        <v>892</v>
      </c>
      <c r="E826" s="191">
        <v>41659</v>
      </c>
      <c r="F826" s="192" t="s">
        <v>894</v>
      </c>
      <c r="G826" s="463" t="s">
        <v>326</v>
      </c>
      <c r="H826" s="7" t="s">
        <v>907</v>
      </c>
      <c r="I826" s="251"/>
      <c r="J826" s="251"/>
      <c r="K826" s="563">
        <v>17257460</v>
      </c>
      <c r="L826" s="194" t="s">
        <v>24</v>
      </c>
      <c r="M826" s="194" t="s">
        <v>253</v>
      </c>
      <c r="N826" s="52" t="str">
        <f>IF(AND('331-CT'!$E$7=TH!H826,OR(L826="331",M826="331")),"331",IF(AND(OR(L826="131",M826="131"),H826='131-CT'!$E$7),"131",""))</f>
        <v/>
      </c>
      <c r="O826" s="89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09"/>
    </row>
    <row r="827" spans="1:31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264"/>
        <v>1</v>
      </c>
      <c r="C827" s="184">
        <f t="shared" si="265"/>
        <v>41664</v>
      </c>
      <c r="D827" s="184" t="s">
        <v>892</v>
      </c>
      <c r="E827" s="191">
        <v>41664</v>
      </c>
      <c r="F827" s="192" t="s">
        <v>895</v>
      </c>
      <c r="G827" s="463" t="s">
        <v>326</v>
      </c>
      <c r="H827" s="7"/>
      <c r="I827" s="251"/>
      <c r="J827" s="251"/>
      <c r="K827" s="563">
        <v>9936</v>
      </c>
      <c r="L827" s="194" t="s">
        <v>24</v>
      </c>
      <c r="M827" s="194" t="s">
        <v>40</v>
      </c>
      <c r="N827" s="52" t="str">
        <f>IF(AND('331-CT'!$E$7=TH!H827,OR(L827="331",M827="331")),"331",IF(AND(OR(L827="131",M827="131"),H827='131-CT'!$E$7),"131",""))</f>
        <v/>
      </c>
      <c r="O827" s="89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09"/>
    </row>
    <row r="828" spans="1:31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264"/>
        <v>1</v>
      </c>
      <c r="C828" s="184">
        <f t="shared" si="265"/>
        <v>41660</v>
      </c>
      <c r="D828" s="184" t="s">
        <v>892</v>
      </c>
      <c r="E828" s="191">
        <v>41660</v>
      </c>
      <c r="F828" s="192" t="s">
        <v>894</v>
      </c>
      <c r="G828" s="463" t="s">
        <v>326</v>
      </c>
      <c r="H828" s="7" t="s">
        <v>908</v>
      </c>
      <c r="I828" s="251"/>
      <c r="J828" s="251"/>
      <c r="K828" s="563">
        <v>13690600</v>
      </c>
      <c r="L828" s="194" t="s">
        <v>24</v>
      </c>
      <c r="M828" s="194" t="s">
        <v>253</v>
      </c>
      <c r="N828" s="52" t="str">
        <f>IF(AND('331-CT'!$E$7=TH!H828,OR(L828="331",M828="331")),"331",IF(AND(OR(L828="131",M828="131"),H828='131-CT'!$E$7),"131",""))</f>
        <v/>
      </c>
      <c r="O828" s="89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09"/>
    </row>
    <row r="829" spans="1:31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264"/>
        <v>2</v>
      </c>
      <c r="C829" s="184">
        <f t="shared" si="265"/>
        <v>41695</v>
      </c>
      <c r="D829" s="184" t="s">
        <v>892</v>
      </c>
      <c r="E829" s="191">
        <v>41695</v>
      </c>
      <c r="F829" s="192" t="s">
        <v>895</v>
      </c>
      <c r="G829" s="463" t="s">
        <v>326</v>
      </c>
      <c r="H829" s="193"/>
      <c r="I829" s="251"/>
      <c r="J829" s="251"/>
      <c r="K829" s="563">
        <v>2311</v>
      </c>
      <c r="L829" s="194" t="s">
        <v>24</v>
      </c>
      <c r="M829" s="194" t="s">
        <v>40</v>
      </c>
      <c r="N829" s="52" t="str">
        <f>IF(AND('331-CT'!$E$7=TH!H829,OR(L829="331",M829="331")),"331",IF(AND(OR(L829="131",M829="131"),H829='131-CT'!$E$7),"131",""))</f>
        <v/>
      </c>
      <c r="O829" s="89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09"/>
      <c r="AC829" s="555"/>
      <c r="AD829" s="555"/>
    </row>
    <row r="830" spans="1:31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264"/>
        <v>1</v>
      </c>
      <c r="C830" s="184">
        <f t="shared" si="265"/>
        <v>41649</v>
      </c>
      <c r="D830" s="184" t="s">
        <v>899</v>
      </c>
      <c r="E830" s="191">
        <v>41649</v>
      </c>
      <c r="F830" s="192" t="s">
        <v>896</v>
      </c>
      <c r="G830" s="463" t="s">
        <v>326</v>
      </c>
      <c r="H830" s="193" t="s">
        <v>897</v>
      </c>
      <c r="I830" s="251"/>
      <c r="J830" s="251"/>
      <c r="K830" s="563">
        <v>27300000</v>
      </c>
      <c r="L830" s="194" t="s">
        <v>47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89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09"/>
      <c r="AD830" s="624"/>
      <c r="AE830" s="624"/>
    </row>
    <row r="831" spans="1:31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264"/>
        <v>1</v>
      </c>
      <c r="C831" s="184">
        <f t="shared" si="265"/>
        <v>41660</v>
      </c>
      <c r="D831" s="184" t="s">
        <v>899</v>
      </c>
      <c r="E831" s="191">
        <v>41660</v>
      </c>
      <c r="F831" s="192" t="s">
        <v>896</v>
      </c>
      <c r="G831" s="463" t="s">
        <v>326</v>
      </c>
      <c r="H831" s="193" t="s">
        <v>897</v>
      </c>
      <c r="I831" s="251"/>
      <c r="J831" s="251"/>
      <c r="K831" s="563">
        <v>44700000</v>
      </c>
      <c r="L831" s="194" t="s">
        <v>47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89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09"/>
      <c r="AC831" s="555"/>
      <c r="AD831" s="555"/>
    </row>
    <row r="832" spans="1:31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264"/>
        <v>3</v>
      </c>
      <c r="C832" s="184">
        <f t="shared" si="265"/>
        <v>41701</v>
      </c>
      <c r="D832" s="184" t="s">
        <v>892</v>
      </c>
      <c r="E832" s="191">
        <v>41701</v>
      </c>
      <c r="F832" s="192" t="s">
        <v>894</v>
      </c>
      <c r="G832" s="463" t="s">
        <v>326</v>
      </c>
      <c r="H832" s="7" t="s">
        <v>909</v>
      </c>
      <c r="I832" s="251"/>
      <c r="J832" s="251"/>
      <c r="K832" s="563">
        <v>24999975</v>
      </c>
      <c r="L832" s="194" t="s">
        <v>24</v>
      </c>
      <c r="M832" s="194" t="s">
        <v>253</v>
      </c>
      <c r="N832" s="52" t="str">
        <f>IF(AND('331-CT'!$E$7=TH!H832,OR(L832="331",M832="331")),"331",IF(AND(OR(L832="131",M832="131"),H832='131-CT'!$E$7),"131",""))</f>
        <v/>
      </c>
      <c r="O832" s="89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09"/>
    </row>
    <row r="833" spans="1:30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264"/>
        <v>3</v>
      </c>
      <c r="C833" s="184">
        <f t="shared" si="265"/>
        <v>41701</v>
      </c>
      <c r="D833" s="184" t="s">
        <v>892</v>
      </c>
      <c r="E833" s="191">
        <v>41701</v>
      </c>
      <c r="F833" s="192" t="s">
        <v>894</v>
      </c>
      <c r="G833" s="463" t="s">
        <v>326</v>
      </c>
      <c r="H833" s="7" t="s">
        <v>906</v>
      </c>
      <c r="I833" s="251"/>
      <c r="J833" s="251"/>
      <c r="K833" s="563">
        <v>10941700</v>
      </c>
      <c r="L833" s="194" t="s">
        <v>24</v>
      </c>
      <c r="M833" s="194" t="s">
        <v>253</v>
      </c>
      <c r="N833" s="52" t="str">
        <f>IF(AND('331-CT'!$E$7=TH!H833,OR(L833="331",M833="331")),"331",IF(AND(OR(L833="131",M833="131"),H833='131-CT'!$E$7),"131",""))</f>
        <v/>
      </c>
      <c r="O833" s="89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09"/>
      <c r="AC833" s="555"/>
      <c r="AD833" s="555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64"/>
        <v>3</v>
      </c>
      <c r="C834" s="184">
        <f t="shared" si="265"/>
        <v>41723</v>
      </c>
      <c r="D834" s="184" t="s">
        <v>892</v>
      </c>
      <c r="E834" s="191">
        <v>41723</v>
      </c>
      <c r="F834" s="192" t="s">
        <v>894</v>
      </c>
      <c r="G834" s="463" t="s">
        <v>326</v>
      </c>
      <c r="H834" s="7" t="s">
        <v>907</v>
      </c>
      <c r="I834" s="251"/>
      <c r="J834" s="251"/>
      <c r="K834" s="563">
        <v>15065490</v>
      </c>
      <c r="L834" s="194" t="s">
        <v>24</v>
      </c>
      <c r="M834" s="194" t="s">
        <v>253</v>
      </c>
      <c r="N834" s="52" t="str">
        <f>IF(AND('331-CT'!$E$7=TH!H834,OR(L834="331",M834="331")),"331",IF(AND(OR(L834="131",M834="131"),H834='131-CT'!$E$7),"131",""))</f>
        <v/>
      </c>
      <c r="O834" s="89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09"/>
    </row>
    <row r="835" spans="1:30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264"/>
        <v>3</v>
      </c>
      <c r="C835" s="184">
        <f t="shared" si="265"/>
        <v>41723</v>
      </c>
      <c r="D835" s="184" t="s">
        <v>892</v>
      </c>
      <c r="E835" s="191">
        <v>41723</v>
      </c>
      <c r="F835" s="192" t="s">
        <v>895</v>
      </c>
      <c r="G835" s="463" t="s">
        <v>326</v>
      </c>
      <c r="H835" s="193"/>
      <c r="I835" s="251"/>
      <c r="J835" s="251"/>
      <c r="K835" s="563">
        <v>4393</v>
      </c>
      <c r="L835" s="194" t="s">
        <v>24</v>
      </c>
      <c r="M835" s="194" t="s">
        <v>40</v>
      </c>
      <c r="N835" s="52" t="str">
        <f>IF(AND('331-CT'!$E$7=TH!H835,OR(L835="331",M835="331")),"331",IF(AND(OR(L835="131",M835="131"),H835='131-CT'!$E$7),"131",""))</f>
        <v/>
      </c>
      <c r="O835" s="89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09"/>
      <c r="AC835" s="555"/>
      <c r="AD835" s="555"/>
    </row>
    <row r="836" spans="1:30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264"/>
        <v>3</v>
      </c>
      <c r="C836" s="184">
        <f t="shared" si="265"/>
        <v>41702</v>
      </c>
      <c r="D836" s="184" t="s">
        <v>899</v>
      </c>
      <c r="E836" s="191">
        <v>41702</v>
      </c>
      <c r="F836" s="192" t="s">
        <v>896</v>
      </c>
      <c r="G836" s="463" t="s">
        <v>326</v>
      </c>
      <c r="H836" s="193" t="s">
        <v>897</v>
      </c>
      <c r="I836" s="251"/>
      <c r="J836" s="251"/>
      <c r="K836" s="563">
        <v>49700000</v>
      </c>
      <c r="L836" s="194" t="s">
        <v>47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89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>x</v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09"/>
    </row>
    <row r="837" spans="1:30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264"/>
        <v>3</v>
      </c>
      <c r="C837" s="184">
        <f t="shared" si="265"/>
        <v>41729</v>
      </c>
      <c r="D837" s="184" t="s">
        <v>899</v>
      </c>
      <c r="E837" s="191">
        <v>41729</v>
      </c>
      <c r="F837" s="192" t="s">
        <v>893</v>
      </c>
      <c r="G837" s="463" t="s">
        <v>326</v>
      </c>
      <c r="H837" s="7" t="s">
        <v>1139</v>
      </c>
      <c r="I837" s="251"/>
      <c r="J837" s="251"/>
      <c r="K837" s="38">
        <v>15000000</v>
      </c>
      <c r="L837" s="194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89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09"/>
      <c r="AD837" s="555"/>
    </row>
    <row r="838" spans="1:30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264"/>
        <v>3</v>
      </c>
      <c r="C838" s="184">
        <f t="shared" si="265"/>
        <v>41729</v>
      </c>
      <c r="D838" s="184" t="s">
        <v>899</v>
      </c>
      <c r="E838" s="191">
        <v>41729</v>
      </c>
      <c r="F838" s="189" t="s">
        <v>898</v>
      </c>
      <c r="G838" s="463" t="s">
        <v>326</v>
      </c>
      <c r="H838" s="7"/>
      <c r="I838" s="251"/>
      <c r="J838" s="251"/>
      <c r="K838" s="563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89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09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264"/>
        <v>4</v>
      </c>
      <c r="C839" s="184">
        <f t="shared" si="265"/>
        <v>41732</v>
      </c>
      <c r="D839" s="184" t="s">
        <v>892</v>
      </c>
      <c r="E839" s="191">
        <v>41732</v>
      </c>
      <c r="F839" s="192" t="s">
        <v>894</v>
      </c>
      <c r="G839" s="463" t="s">
        <v>326</v>
      </c>
      <c r="H839" s="7" t="s">
        <v>906</v>
      </c>
      <c r="I839" s="251"/>
      <c r="J839" s="251"/>
      <c r="K839" s="563">
        <v>11165000</v>
      </c>
      <c r="L839" s="39" t="s">
        <v>24</v>
      </c>
      <c r="M839" s="194" t="s">
        <v>253</v>
      </c>
      <c r="N839" s="52" t="str">
        <f>IF(AND('331-CT'!$E$7=TH!H839,OR(L839="331",M839="331")),"331",IF(AND(OR(L839="131",M839="131"),H839='131-CT'!$E$7),"131",""))</f>
        <v/>
      </c>
      <c r="O839" s="89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09"/>
    </row>
    <row r="840" spans="1:30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264"/>
        <v>4</v>
      </c>
      <c r="C840" s="184">
        <f t="shared" ref="C840:C848" si="266">E840</f>
        <v>41734</v>
      </c>
      <c r="D840" s="184" t="s">
        <v>892</v>
      </c>
      <c r="E840" s="191">
        <v>41734</v>
      </c>
      <c r="F840" s="192" t="s">
        <v>894</v>
      </c>
      <c r="G840" s="463" t="s">
        <v>326</v>
      </c>
      <c r="H840" s="7" t="s">
        <v>454</v>
      </c>
      <c r="I840" s="251"/>
      <c r="J840" s="251"/>
      <c r="K840" s="563">
        <v>9450000</v>
      </c>
      <c r="L840" s="39" t="s">
        <v>24</v>
      </c>
      <c r="M840" s="194" t="s">
        <v>253</v>
      </c>
      <c r="N840" s="52" t="str">
        <f>IF(AND('331-CT'!$E$7=TH!H840,OR(L840="331",M840="331")),"331",IF(AND(OR(L840="131",M840="131"),H840='131-CT'!$E$7),"131",""))</f>
        <v>131</v>
      </c>
      <c r="O840" s="89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09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264"/>
        <v>4</v>
      </c>
      <c r="C841" s="184">
        <f t="shared" si="266"/>
        <v>41736</v>
      </c>
      <c r="D841" s="184" t="s">
        <v>892</v>
      </c>
      <c r="E841" s="191">
        <v>41736</v>
      </c>
      <c r="F841" s="192" t="s">
        <v>894</v>
      </c>
      <c r="G841" s="463" t="s">
        <v>326</v>
      </c>
      <c r="H841" s="7" t="s">
        <v>909</v>
      </c>
      <c r="I841" s="251"/>
      <c r="J841" s="251"/>
      <c r="K841" s="563">
        <v>13200000</v>
      </c>
      <c r="L841" s="39" t="s">
        <v>24</v>
      </c>
      <c r="M841" s="194" t="s">
        <v>253</v>
      </c>
      <c r="N841" s="52" t="str">
        <f>IF(AND('331-CT'!$E$7=TH!H841,OR(L841="331",M841="331")),"331",IF(AND(OR(L841="131",M841="131"),H841='131-CT'!$E$7),"131",""))</f>
        <v/>
      </c>
      <c r="O841" s="89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09"/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264"/>
        <v>4</v>
      </c>
      <c r="C842" s="184">
        <f t="shared" si="266"/>
        <v>41740</v>
      </c>
      <c r="D842" s="184" t="s">
        <v>892</v>
      </c>
      <c r="E842" s="191">
        <v>41740</v>
      </c>
      <c r="F842" s="192" t="s">
        <v>894</v>
      </c>
      <c r="G842" s="463" t="s">
        <v>326</v>
      </c>
      <c r="H842" s="7" t="s">
        <v>908</v>
      </c>
      <c r="I842" s="251"/>
      <c r="J842" s="251"/>
      <c r="K842" s="563">
        <v>8367370</v>
      </c>
      <c r="L842" s="39" t="s">
        <v>24</v>
      </c>
      <c r="M842" s="194" t="s">
        <v>253</v>
      </c>
      <c r="N842" s="52" t="str">
        <f>IF(AND('331-CT'!$E$7=TH!H842,OR(L842="331",M842="331")),"331",IF(AND(OR(L842="131",M842="131"),H842='131-CT'!$E$7),"131",""))</f>
        <v/>
      </c>
      <c r="O842" s="89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09"/>
    </row>
    <row r="843" spans="1:30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264"/>
        <v>4</v>
      </c>
      <c r="C843" s="184">
        <f t="shared" si="266"/>
        <v>41746</v>
      </c>
      <c r="D843" s="184" t="s">
        <v>892</v>
      </c>
      <c r="E843" s="191">
        <v>41746</v>
      </c>
      <c r="F843" s="192" t="s">
        <v>894</v>
      </c>
      <c r="G843" s="463" t="s">
        <v>326</v>
      </c>
      <c r="H843" s="7" t="s">
        <v>490</v>
      </c>
      <c r="I843" s="251"/>
      <c r="J843" s="251"/>
      <c r="K843" s="563">
        <v>9402800</v>
      </c>
      <c r="L843" s="39" t="s">
        <v>24</v>
      </c>
      <c r="M843" s="194" t="s">
        <v>253</v>
      </c>
      <c r="N843" s="52" t="str">
        <f>IF(AND('331-CT'!$E$7=TH!H843,OR(L843="331",M843="331")),"331",IF(AND(OR(L843="131",M843="131"),H843='131-CT'!$E$7),"131",""))</f>
        <v/>
      </c>
      <c r="O843" s="89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09"/>
    </row>
    <row r="844" spans="1:30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264"/>
        <v>4</v>
      </c>
      <c r="C844" s="184">
        <f t="shared" si="266"/>
        <v>41751</v>
      </c>
      <c r="D844" s="184" t="s">
        <v>892</v>
      </c>
      <c r="E844" s="191">
        <v>41751</v>
      </c>
      <c r="F844" s="192" t="s">
        <v>894</v>
      </c>
      <c r="G844" s="463" t="s">
        <v>326</v>
      </c>
      <c r="H844" s="7" t="s">
        <v>907</v>
      </c>
      <c r="I844" s="252"/>
      <c r="J844" s="252"/>
      <c r="K844" s="563">
        <v>14317160</v>
      </c>
      <c r="L844" s="39" t="s">
        <v>24</v>
      </c>
      <c r="M844" s="194" t="s">
        <v>253</v>
      </c>
      <c r="N844" s="52" t="str">
        <f>IF(AND('331-CT'!$E$7=TH!H844,OR(L844="331",M844="331")),"331",IF(AND(OR(L844="131",M844="131"),H844='131-CT'!$E$7),"131",""))</f>
        <v/>
      </c>
      <c r="O844" s="89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09"/>
    </row>
    <row r="845" spans="1:30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264"/>
        <v>4</v>
      </c>
      <c r="C845" s="184">
        <f t="shared" si="266"/>
        <v>41753</v>
      </c>
      <c r="D845" s="184" t="s">
        <v>892</v>
      </c>
      <c r="E845" s="191">
        <v>41753</v>
      </c>
      <c r="F845" s="192" t="s">
        <v>894</v>
      </c>
      <c r="G845" s="463" t="s">
        <v>326</v>
      </c>
      <c r="H845" s="7" t="s">
        <v>906</v>
      </c>
      <c r="I845" s="251"/>
      <c r="J845" s="251"/>
      <c r="K845" s="563">
        <v>11165000</v>
      </c>
      <c r="L845" s="39" t="s">
        <v>24</v>
      </c>
      <c r="M845" s="194" t="s">
        <v>253</v>
      </c>
      <c r="N845" s="52" t="str">
        <f>IF(AND('331-CT'!$E$7=TH!H845,OR(L845="331",M845="331")),"331",IF(AND(OR(L845="131",M845="131"),H845='131-CT'!$E$7),"131",""))</f>
        <v/>
      </c>
      <c r="O845" s="89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09"/>
    </row>
    <row r="846" spans="1:30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264"/>
        <v>4</v>
      </c>
      <c r="C846" s="184">
        <f t="shared" si="266"/>
        <v>41754</v>
      </c>
      <c r="D846" s="184" t="s">
        <v>892</v>
      </c>
      <c r="E846" s="191">
        <v>41754</v>
      </c>
      <c r="F846" s="192" t="s">
        <v>895</v>
      </c>
      <c r="G846" s="463" t="s">
        <v>326</v>
      </c>
      <c r="H846" s="193"/>
      <c r="I846" s="251"/>
      <c r="J846" s="251"/>
      <c r="K846" s="563">
        <v>13168</v>
      </c>
      <c r="L846" s="39" t="s">
        <v>24</v>
      </c>
      <c r="M846" s="194" t="s">
        <v>40</v>
      </c>
      <c r="N846" s="52" t="str">
        <f>IF(AND('331-CT'!$E$7=TH!H846,OR(L846="331",M846="331")),"331",IF(AND(OR(L846="131",M846="131"),H846='131-CT'!$E$7),"131",""))</f>
        <v/>
      </c>
      <c r="O846" s="89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09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ref="B847:B910" si="267">IF(C847&lt;&gt;"",MONTH(C847),"")</f>
        <v>4</v>
      </c>
      <c r="C847" s="184">
        <f t="shared" si="266"/>
        <v>41757</v>
      </c>
      <c r="D847" s="184" t="s">
        <v>892</v>
      </c>
      <c r="E847" s="191">
        <v>41757</v>
      </c>
      <c r="F847" s="192" t="s">
        <v>894</v>
      </c>
      <c r="G847" s="463" t="s">
        <v>326</v>
      </c>
      <c r="H847" s="45" t="s">
        <v>469</v>
      </c>
      <c r="I847" s="251"/>
      <c r="J847" s="251"/>
      <c r="K847" s="563">
        <v>6071780</v>
      </c>
      <c r="L847" s="39" t="s">
        <v>24</v>
      </c>
      <c r="M847" s="194" t="s">
        <v>253</v>
      </c>
      <c r="N847" s="52" t="str">
        <f>IF(AND('331-CT'!$E$7=TH!H847,OR(L847="331",M847="331")),"331",IF(AND(OR(L847="131",M847="131"),H847='131-CT'!$E$7),"131",""))</f>
        <v/>
      </c>
      <c r="O847" s="89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09"/>
    </row>
    <row r="848" spans="1:30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267"/>
        <v>4</v>
      </c>
      <c r="C848" s="184">
        <f t="shared" si="266"/>
        <v>41731</v>
      </c>
      <c r="D848" s="184" t="s">
        <v>899</v>
      </c>
      <c r="E848" s="191">
        <v>41731</v>
      </c>
      <c r="F848" s="192" t="s">
        <v>900</v>
      </c>
      <c r="G848" s="463" t="s">
        <v>326</v>
      </c>
      <c r="H848" s="193"/>
      <c r="I848" s="251"/>
      <c r="J848" s="251"/>
      <c r="K848" s="563">
        <v>15000</v>
      </c>
      <c r="L848" s="194" t="s">
        <v>83</v>
      </c>
      <c r="M848" s="194" t="s">
        <v>24</v>
      </c>
      <c r="N848" s="52" t="str">
        <f>IF(AND('331-CT'!$E$7=TH!H848,OR(L848="331",M848="331")),"331",IF(AND(OR(L848="131",M848="131"),H848='131-CT'!$E$7),"131",""))</f>
        <v/>
      </c>
      <c r="O848" s="89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642</v>
      </c>
      <c r="W848" s="52" t="str">
        <f>IF(OR(TH!L848=TH!$W$7,M848=TH!$W$7),"x","")</f>
        <v>x</v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09"/>
    </row>
    <row r="849" spans="1:31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267"/>
        <v>4</v>
      </c>
      <c r="C849" s="184">
        <f t="shared" ref="C849:C855" si="268">E849</f>
        <v>41743</v>
      </c>
      <c r="D849" s="184" t="s">
        <v>899</v>
      </c>
      <c r="E849" s="191">
        <v>41743</v>
      </c>
      <c r="F849" s="192" t="s">
        <v>896</v>
      </c>
      <c r="G849" s="463" t="s">
        <v>326</v>
      </c>
      <c r="H849" s="193" t="s">
        <v>897</v>
      </c>
      <c r="I849" s="251"/>
      <c r="J849" s="251"/>
      <c r="K849" s="563">
        <v>42000000</v>
      </c>
      <c r="L849" s="194" t="s">
        <v>47</v>
      </c>
      <c r="M849" s="194" t="s">
        <v>24</v>
      </c>
      <c r="N849" s="52" t="str">
        <f>IF(AND('331-CT'!$E$7=TH!H849,OR(L849="331",M849="331")),"331",IF(AND(OR(L849="131",M849="131"),H849='131-CT'!$E$7),"131",""))</f>
        <v/>
      </c>
      <c r="O849" s="89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>x</v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09"/>
    </row>
    <row r="850" spans="1:31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267"/>
        <v>4</v>
      </c>
      <c r="C850" s="184">
        <f t="shared" si="268"/>
        <v>41751</v>
      </c>
      <c r="D850" s="184" t="s">
        <v>899</v>
      </c>
      <c r="E850" s="191">
        <v>41751</v>
      </c>
      <c r="F850" s="192" t="s">
        <v>896</v>
      </c>
      <c r="G850" s="463" t="s">
        <v>326</v>
      </c>
      <c r="H850" s="193" t="s">
        <v>897</v>
      </c>
      <c r="I850" s="251"/>
      <c r="J850" s="251"/>
      <c r="K850" s="563">
        <v>24000000</v>
      </c>
      <c r="L850" s="194" t="s">
        <v>47</v>
      </c>
      <c r="M850" s="194" t="s">
        <v>24</v>
      </c>
      <c r="N850" s="52" t="str">
        <f>IF(AND('331-CT'!$E$7=TH!H850,OR(L850="331",M850="331")),"331",IF(AND(OR(L850="131",M850="131"),H850='131-CT'!$E$7),"131",""))</f>
        <v/>
      </c>
      <c r="O850" s="89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>x</v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09"/>
    </row>
    <row r="851" spans="1:31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267"/>
        <v>5</v>
      </c>
      <c r="C851" s="184">
        <f t="shared" si="268"/>
        <v>41767</v>
      </c>
      <c r="D851" s="184" t="s">
        <v>892</v>
      </c>
      <c r="E851" s="191">
        <v>41767</v>
      </c>
      <c r="F851" s="192" t="s">
        <v>894</v>
      </c>
      <c r="G851" s="463" t="s">
        <v>326</v>
      </c>
      <c r="H851" s="7" t="s">
        <v>906</v>
      </c>
      <c r="I851" s="251"/>
      <c r="J851" s="251"/>
      <c r="K851" s="563">
        <v>11165000</v>
      </c>
      <c r="L851" s="194" t="s">
        <v>24</v>
      </c>
      <c r="M851" s="194" t="s">
        <v>253</v>
      </c>
      <c r="N851" s="52" t="str">
        <f>IF(AND('331-CT'!$E$7=TH!H851,OR(L851="331",M851="331")),"331",IF(AND(OR(L851="131",M851="131"),H851='131-CT'!$E$7),"131",""))</f>
        <v/>
      </c>
      <c r="O851" s="89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09"/>
    </row>
    <row r="852" spans="1:31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267"/>
        <v>5</v>
      </c>
      <c r="C852" s="184">
        <f t="shared" si="268"/>
        <v>41771</v>
      </c>
      <c r="D852" s="184" t="s">
        <v>892</v>
      </c>
      <c r="E852" s="191">
        <v>41771</v>
      </c>
      <c r="F852" s="192" t="s">
        <v>894</v>
      </c>
      <c r="G852" s="463" t="s">
        <v>326</v>
      </c>
      <c r="H852" s="7" t="s">
        <v>908</v>
      </c>
      <c r="I852" s="253"/>
      <c r="J852" s="253"/>
      <c r="K852" s="563">
        <v>13571800</v>
      </c>
      <c r="L852" s="194" t="s">
        <v>24</v>
      </c>
      <c r="M852" s="194" t="s">
        <v>253</v>
      </c>
      <c r="N852" s="52" t="str">
        <f>IF(AND('331-CT'!$E$7=TH!H852,OR(L852="331",M852="331")),"331",IF(AND(OR(L852="131",M852="131"),H852='131-CT'!$E$7),"131",""))</f>
        <v/>
      </c>
      <c r="O852" s="89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09"/>
    </row>
    <row r="853" spans="1:31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267"/>
        <v>5</v>
      </c>
      <c r="C853" s="184">
        <f t="shared" si="268"/>
        <v>41774</v>
      </c>
      <c r="D853" s="184" t="s">
        <v>892</v>
      </c>
      <c r="E853" s="191">
        <v>41774</v>
      </c>
      <c r="F853" s="192" t="s">
        <v>894</v>
      </c>
      <c r="G853" s="463" t="s">
        <v>326</v>
      </c>
      <c r="H853" s="7" t="s">
        <v>907</v>
      </c>
      <c r="I853" s="251"/>
      <c r="J853" s="251"/>
      <c r="K853" s="38">
        <v>14845160</v>
      </c>
      <c r="L853" s="194" t="s">
        <v>24</v>
      </c>
      <c r="M853" s="194" t="s">
        <v>253</v>
      </c>
      <c r="N853" s="52" t="str">
        <f>IF(AND('331-CT'!$E$7=TH!H853,OR(L853="331",M853="331")),"331",IF(AND(OR(L853="131",M853="131"),H853='131-CT'!$E$7),"131",""))</f>
        <v/>
      </c>
      <c r="O853" s="89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09"/>
    </row>
    <row r="854" spans="1:31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267"/>
        <v>5</v>
      </c>
      <c r="C854" s="184">
        <f t="shared" si="268"/>
        <v>41783</v>
      </c>
      <c r="D854" s="184" t="s">
        <v>892</v>
      </c>
      <c r="E854" s="191">
        <v>41783</v>
      </c>
      <c r="F854" s="192" t="s">
        <v>895</v>
      </c>
      <c r="G854" s="463" t="s">
        <v>326</v>
      </c>
      <c r="H854" s="193"/>
      <c r="I854" s="253"/>
      <c r="J854" s="253"/>
      <c r="K854" s="563">
        <v>8720</v>
      </c>
      <c r="L854" s="194" t="s">
        <v>24</v>
      </c>
      <c r="M854" s="194" t="s">
        <v>40</v>
      </c>
      <c r="N854" s="52" t="str">
        <f>IF(AND('331-CT'!$E$7=TH!H854,OR(L854="331",M854="331")),"331",IF(AND(OR(L854="131",M854="131"),H854='131-CT'!$E$7),"131",""))</f>
        <v/>
      </c>
      <c r="O854" s="89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09"/>
    </row>
    <row r="855" spans="1:31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267"/>
        <v>5</v>
      </c>
      <c r="C855" s="184">
        <f t="shared" si="268"/>
        <v>41785</v>
      </c>
      <c r="D855" s="184" t="s">
        <v>892</v>
      </c>
      <c r="E855" s="191">
        <v>41785</v>
      </c>
      <c r="F855" s="192" t="s">
        <v>894</v>
      </c>
      <c r="G855" s="463" t="s">
        <v>326</v>
      </c>
      <c r="H855" s="7" t="s">
        <v>907</v>
      </c>
      <c r="I855" s="251"/>
      <c r="J855" s="251"/>
      <c r="K855" s="563">
        <v>16593170</v>
      </c>
      <c r="L855" s="194" t="s">
        <v>24</v>
      </c>
      <c r="M855" s="194" t="s">
        <v>253</v>
      </c>
      <c r="N855" s="52" t="str">
        <f>IF(AND('331-CT'!$E$7=TH!H855,OR(L855="331",M855="331")),"331",IF(AND(OR(L855="131",M855="131"),H855='131-CT'!$E$7),"131",""))</f>
        <v/>
      </c>
      <c r="O855" s="89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09"/>
      <c r="AE855" s="555"/>
    </row>
    <row r="856" spans="1:31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267"/>
        <v>6</v>
      </c>
      <c r="C856" s="184">
        <f t="shared" ref="C856:C860" si="269">E856</f>
        <v>41801</v>
      </c>
      <c r="D856" s="184" t="s">
        <v>892</v>
      </c>
      <c r="E856" s="191">
        <v>41801</v>
      </c>
      <c r="F856" s="192" t="s">
        <v>894</v>
      </c>
      <c r="G856" s="463" t="s">
        <v>326</v>
      </c>
      <c r="H856" s="7" t="s">
        <v>906</v>
      </c>
      <c r="I856" s="251"/>
      <c r="J856" s="251"/>
      <c r="K856" s="563">
        <v>22330000</v>
      </c>
      <c r="L856" s="194" t="s">
        <v>24</v>
      </c>
      <c r="M856" s="194" t="s">
        <v>253</v>
      </c>
      <c r="N856" s="52" t="str">
        <f>IF(AND('331-CT'!$E$7=TH!H856,OR(L856="331",M856="331")),"331",IF(AND(OR(L856="131",M856="131"),H856='131-CT'!$E$7),"131",""))</f>
        <v/>
      </c>
      <c r="O856" s="89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09"/>
      <c r="AE856" s="555"/>
    </row>
    <row r="857" spans="1:31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267"/>
        <v>6</v>
      </c>
      <c r="C857" s="184">
        <f t="shared" si="269"/>
        <v>41806</v>
      </c>
      <c r="D857" s="184" t="s">
        <v>892</v>
      </c>
      <c r="E857" s="191">
        <v>41806</v>
      </c>
      <c r="F857" s="192" t="s">
        <v>894</v>
      </c>
      <c r="G857" s="463" t="s">
        <v>326</v>
      </c>
      <c r="H857" s="7" t="s">
        <v>908</v>
      </c>
      <c r="I857" s="251"/>
      <c r="J857" s="251"/>
      <c r="K857" s="563">
        <v>13006400</v>
      </c>
      <c r="L857" s="194" t="s">
        <v>24</v>
      </c>
      <c r="M857" s="194" t="s">
        <v>253</v>
      </c>
      <c r="N857" s="52" t="str">
        <f>IF(AND('331-CT'!$E$7=TH!H857,OR(L857="331",M857="331")),"331",IF(AND(OR(L857="131",M857="131"),H857='131-CT'!$E$7),"131",""))</f>
        <v/>
      </c>
      <c r="O857" s="89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09"/>
      <c r="AE857" s="555"/>
    </row>
    <row r="858" spans="1:31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267"/>
        <v>6</v>
      </c>
      <c r="C858" s="184">
        <f t="shared" si="269"/>
        <v>41810</v>
      </c>
      <c r="D858" s="184" t="s">
        <v>892</v>
      </c>
      <c r="E858" s="191">
        <v>41810</v>
      </c>
      <c r="F858" s="192" t="s">
        <v>901</v>
      </c>
      <c r="G858" s="463" t="s">
        <v>326</v>
      </c>
      <c r="H858" s="193" t="s">
        <v>897</v>
      </c>
      <c r="I858" s="251"/>
      <c r="J858" s="251"/>
      <c r="K858" s="38">
        <v>9000</v>
      </c>
      <c r="L858" s="194" t="s">
        <v>24</v>
      </c>
      <c r="M858" s="194" t="s">
        <v>47</v>
      </c>
      <c r="N858" s="52" t="str">
        <f>IF(AND('331-CT'!$E$7=TH!H858,OR(L858="331",M858="331")),"331",IF(AND(OR(L858="131",M858="131"),H858='131-CT'!$E$7),"131",""))</f>
        <v/>
      </c>
      <c r="O858" s="89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>x</v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09"/>
    </row>
    <row r="859" spans="1:31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267"/>
        <v>6</v>
      </c>
      <c r="C859" s="184">
        <f t="shared" si="269"/>
        <v>41810</v>
      </c>
      <c r="D859" s="184" t="s">
        <v>892</v>
      </c>
      <c r="E859" s="743">
        <v>41810</v>
      </c>
      <c r="F859" s="192" t="s">
        <v>894</v>
      </c>
      <c r="G859" s="463" t="s">
        <v>326</v>
      </c>
      <c r="H859" s="7" t="s">
        <v>907</v>
      </c>
      <c r="I859" s="254"/>
      <c r="J859" s="254"/>
      <c r="K859" s="563">
        <v>18826500</v>
      </c>
      <c r="L859" s="194" t="s">
        <v>24</v>
      </c>
      <c r="M859" s="194" t="s">
        <v>253</v>
      </c>
      <c r="N859" s="52" t="str">
        <f>IF(AND('331-CT'!$E$7=TH!H859,OR(L859="331",M859="331")),"331",IF(AND(OR(L859="131",M859="131"),H859='131-CT'!$E$7),"131",""))</f>
        <v/>
      </c>
      <c r="O859" s="89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09"/>
      <c r="AE859" s="555"/>
    </row>
    <row r="860" spans="1:31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267"/>
        <v>6</v>
      </c>
      <c r="C860" s="184">
        <f t="shared" si="269"/>
        <v>41813</v>
      </c>
      <c r="D860" s="184" t="s">
        <v>892</v>
      </c>
      <c r="E860" s="743">
        <v>41813</v>
      </c>
      <c r="F860" s="192" t="s">
        <v>902</v>
      </c>
      <c r="G860" s="463" t="s">
        <v>326</v>
      </c>
      <c r="H860" s="7"/>
      <c r="I860" s="251"/>
      <c r="J860" s="251"/>
      <c r="K860" s="563">
        <v>10000000</v>
      </c>
      <c r="L860" s="194" t="s">
        <v>24</v>
      </c>
      <c r="M860" s="194" t="s">
        <v>56</v>
      </c>
      <c r="N860" s="52" t="str">
        <f>IF(AND('331-CT'!$E$7=TH!H860,OR(L860="331",M860="331")),"331",IF(AND(OR(L860="131",M860="131"),H860='131-CT'!$E$7),"131",""))</f>
        <v/>
      </c>
      <c r="O860" s="89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09"/>
      <c r="AE860" s="555"/>
    </row>
    <row r="861" spans="1:31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267"/>
        <v>6</v>
      </c>
      <c r="C861" s="184">
        <f t="shared" ref="C861:C876" si="270">E861</f>
        <v>41814</v>
      </c>
      <c r="D861" s="184" t="s">
        <v>892</v>
      </c>
      <c r="E861" s="743">
        <v>41814</v>
      </c>
      <c r="F861" s="192" t="s">
        <v>894</v>
      </c>
      <c r="G861" s="463" t="s">
        <v>326</v>
      </c>
      <c r="H861" s="45" t="s">
        <v>469</v>
      </c>
      <c r="I861" s="251"/>
      <c r="J861" s="251"/>
      <c r="K861" s="38">
        <v>7656000</v>
      </c>
      <c r="L861" s="194" t="s">
        <v>24</v>
      </c>
      <c r="M861" s="194" t="s">
        <v>253</v>
      </c>
      <c r="N861" s="52" t="str">
        <f>IF(AND('331-CT'!$E$7=TH!H861,OR(L861="331",M861="331")),"331",IF(AND(OR(L861="131",M861="131"),H861='131-CT'!$E$7),"131",""))</f>
        <v/>
      </c>
      <c r="O861" s="89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09"/>
    </row>
    <row r="862" spans="1:31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267"/>
        <v>6</v>
      </c>
      <c r="C862" s="184">
        <f t="shared" si="270"/>
        <v>41814</v>
      </c>
      <c r="D862" s="184" t="s">
        <v>892</v>
      </c>
      <c r="E862" s="743">
        <v>41814</v>
      </c>
      <c r="F862" s="192" t="s">
        <v>901</v>
      </c>
      <c r="G862" s="463" t="s">
        <v>326</v>
      </c>
      <c r="H862" s="193" t="s">
        <v>897</v>
      </c>
      <c r="I862" s="251"/>
      <c r="J862" s="251"/>
      <c r="K862" s="563">
        <v>10000000</v>
      </c>
      <c r="L862" s="194" t="s">
        <v>24</v>
      </c>
      <c r="M862" s="194" t="s">
        <v>47</v>
      </c>
      <c r="N862" s="52" t="str">
        <f>IF(AND('331-CT'!$E$7=TH!H862,OR(L862="331",M862="331")),"331",IF(AND(OR(L862="131",M862="131"),H862='131-CT'!$E$7),"131",""))</f>
        <v/>
      </c>
      <c r="O862" s="89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09"/>
    </row>
    <row r="863" spans="1:31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267"/>
        <v>6</v>
      </c>
      <c r="C863" s="184">
        <f t="shared" si="270"/>
        <v>41815</v>
      </c>
      <c r="D863" s="184" t="s">
        <v>892</v>
      </c>
      <c r="E863" s="743">
        <v>41815</v>
      </c>
      <c r="F863" s="192" t="s">
        <v>895</v>
      </c>
      <c r="G863" s="463" t="s">
        <v>326</v>
      </c>
      <c r="H863" s="7"/>
      <c r="I863" s="251"/>
      <c r="J863" s="251"/>
      <c r="K863" s="563">
        <v>10834</v>
      </c>
      <c r="L863" s="194" t="s">
        <v>24</v>
      </c>
      <c r="M863" s="194" t="s">
        <v>40</v>
      </c>
      <c r="N863" s="52" t="str">
        <f>IF(AND('331-CT'!$E$7=TH!H863,OR(L863="331",M863="331")),"331",IF(AND(OR(L863="131",M863="131"),H863='131-CT'!$E$7),"131",""))</f>
        <v/>
      </c>
      <c r="O863" s="89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09"/>
    </row>
    <row r="864" spans="1:31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267"/>
        <v>6</v>
      </c>
      <c r="C864" s="184">
        <f t="shared" si="270"/>
        <v>41820</v>
      </c>
      <c r="D864" s="184" t="s">
        <v>892</v>
      </c>
      <c r="E864" s="743">
        <v>41820</v>
      </c>
      <c r="F864" s="192" t="s">
        <v>894</v>
      </c>
      <c r="G864" s="463" t="s">
        <v>326</v>
      </c>
      <c r="H864" s="7" t="s">
        <v>908</v>
      </c>
      <c r="I864" s="251"/>
      <c r="J864" s="251"/>
      <c r="K864" s="563">
        <v>6664075</v>
      </c>
      <c r="L864" s="194" t="s">
        <v>24</v>
      </c>
      <c r="M864" s="194" t="s">
        <v>253</v>
      </c>
      <c r="N864" s="52" t="str">
        <f>IF(AND('331-CT'!$E$7=TH!H864,OR(L864="331",M864="331")),"331",IF(AND(OR(L864="131",M864="131"),H864='131-CT'!$E$7),"131",""))</f>
        <v/>
      </c>
      <c r="O864" s="89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09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267"/>
        <v>5</v>
      </c>
      <c r="C865" s="184">
        <f t="shared" si="270"/>
        <v>41764</v>
      </c>
      <c r="D865" s="184" t="s">
        <v>899</v>
      </c>
      <c r="E865" s="743">
        <v>41764</v>
      </c>
      <c r="F865" s="192" t="s">
        <v>896</v>
      </c>
      <c r="G865" s="463" t="s">
        <v>326</v>
      </c>
      <c r="H865" s="193" t="s">
        <v>897</v>
      </c>
      <c r="I865" s="251"/>
      <c r="J865" s="251"/>
      <c r="K865" s="563">
        <v>17000000</v>
      </c>
      <c r="L865" s="194" t="s">
        <v>47</v>
      </c>
      <c r="M865" s="194" t="s">
        <v>24</v>
      </c>
      <c r="N865" s="52" t="str">
        <f>IF(AND('331-CT'!$E$7=TH!H865,OR(L865="331",M865="331")),"331",IF(AND(OR(L865="131",M865="131"),H865='131-CT'!$E$7),"131",""))</f>
        <v/>
      </c>
      <c r="O865" s="89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>x</v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09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267"/>
        <v>5</v>
      </c>
      <c r="C866" s="184">
        <f t="shared" si="270"/>
        <v>41773</v>
      </c>
      <c r="D866" s="184" t="s">
        <v>899</v>
      </c>
      <c r="E866" s="743">
        <v>41773</v>
      </c>
      <c r="F866" s="192" t="s">
        <v>896</v>
      </c>
      <c r="G866" s="463" t="s">
        <v>326</v>
      </c>
      <c r="H866" s="193" t="s">
        <v>897</v>
      </c>
      <c r="I866" s="251"/>
      <c r="J866" s="251"/>
      <c r="K866" s="563">
        <v>25000000</v>
      </c>
      <c r="L866" s="194" t="s">
        <v>47</v>
      </c>
      <c r="M866" s="194" t="s">
        <v>24</v>
      </c>
      <c r="N866" s="52" t="str">
        <f>IF(AND('331-CT'!$E$7=TH!H866,OR(L866="331",M866="331")),"331",IF(AND(OR(L866="131",M866="131"),H866='131-CT'!$E$7),"131",""))</f>
        <v/>
      </c>
      <c r="O866" s="89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>x</v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09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267"/>
        <v>5</v>
      </c>
      <c r="C867" s="184">
        <f t="shared" si="270"/>
        <v>41779</v>
      </c>
      <c r="D867" s="184" t="s">
        <v>899</v>
      </c>
      <c r="E867" s="743">
        <v>41779</v>
      </c>
      <c r="F867" s="192" t="s">
        <v>896</v>
      </c>
      <c r="G867" s="463" t="s">
        <v>326</v>
      </c>
      <c r="H867" s="193" t="s">
        <v>897</v>
      </c>
      <c r="I867" s="251"/>
      <c r="J867" s="251"/>
      <c r="K867" s="563">
        <v>14800000</v>
      </c>
      <c r="L867" s="194" t="s">
        <v>47</v>
      </c>
      <c r="M867" s="194" t="s">
        <v>24</v>
      </c>
      <c r="N867" s="52" t="str">
        <f>IF(AND('331-CT'!$E$7=TH!H867,OR(L867="331",M867="331")),"331",IF(AND(OR(L867="131",M867="131"),H867='131-CT'!$E$7),"131",""))</f>
        <v/>
      </c>
      <c r="O867" s="89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>x</v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09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267"/>
        <v>5</v>
      </c>
      <c r="C868" s="184">
        <f t="shared" si="270"/>
        <v>41788</v>
      </c>
      <c r="D868" s="184" t="s">
        <v>899</v>
      </c>
      <c r="E868" s="743">
        <v>41788</v>
      </c>
      <c r="F868" s="192" t="s">
        <v>896</v>
      </c>
      <c r="G868" s="463" t="s">
        <v>326</v>
      </c>
      <c r="H868" s="193" t="s">
        <v>897</v>
      </c>
      <c r="I868" s="251"/>
      <c r="J868" s="251"/>
      <c r="K868" s="563">
        <v>16500000</v>
      </c>
      <c r="L868" s="194" t="s">
        <v>47</v>
      </c>
      <c r="M868" s="194" t="s">
        <v>24</v>
      </c>
      <c r="N868" s="52" t="str">
        <f>IF(AND('331-CT'!$E$7=TH!H868,OR(L868="331",M868="331")),"331",IF(AND(OR(L868="131",M868="131"),H868='131-CT'!$E$7),"131",""))</f>
        <v/>
      </c>
      <c r="O868" s="89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>x</v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09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267"/>
        <v>6</v>
      </c>
      <c r="C869" s="184">
        <f t="shared" si="270"/>
        <v>41810</v>
      </c>
      <c r="D869" s="184" t="s">
        <v>899</v>
      </c>
      <c r="E869" s="743">
        <v>41810</v>
      </c>
      <c r="F869" s="192" t="s">
        <v>896</v>
      </c>
      <c r="G869" s="463" t="s">
        <v>326</v>
      </c>
      <c r="H869" s="193" t="s">
        <v>897</v>
      </c>
      <c r="I869" s="251"/>
      <c r="J869" s="251"/>
      <c r="K869" s="563">
        <v>5500000</v>
      </c>
      <c r="L869" s="194" t="s">
        <v>47</v>
      </c>
      <c r="M869" s="194" t="s">
        <v>24</v>
      </c>
      <c r="N869" s="52" t="str">
        <f>IF(AND('331-CT'!$E$7=TH!H869,OR(L869="331",M869="331")),"331",IF(AND(OR(L869="131",M869="131"),H869='131-CT'!$E$7),"131",""))</f>
        <v/>
      </c>
      <c r="O869" s="89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>x</v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09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267"/>
        <v>6</v>
      </c>
      <c r="C870" s="184">
        <f t="shared" si="270"/>
        <v>41810</v>
      </c>
      <c r="D870" s="184" t="s">
        <v>899</v>
      </c>
      <c r="E870" s="743">
        <v>41810</v>
      </c>
      <c r="F870" s="189" t="s">
        <v>903</v>
      </c>
      <c r="G870" s="463" t="s">
        <v>326</v>
      </c>
      <c r="H870" s="7"/>
      <c r="I870" s="251"/>
      <c r="J870" s="251"/>
      <c r="K870" s="563">
        <v>10000000</v>
      </c>
      <c r="L870" s="194" t="s">
        <v>56</v>
      </c>
      <c r="M870" s="194" t="s">
        <v>24</v>
      </c>
      <c r="N870" s="52" t="str">
        <f>IF(AND('331-CT'!$E$7=TH!H870,OR(L870="331",M870="331")),"331",IF(AND(OR(L870="131",M870="131"),H870='131-CT'!$E$7),"131",""))</f>
        <v/>
      </c>
      <c r="O870" s="89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09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267"/>
        <v>6</v>
      </c>
      <c r="C871" s="184">
        <f t="shared" si="270"/>
        <v>41810</v>
      </c>
      <c r="D871" s="184" t="s">
        <v>899</v>
      </c>
      <c r="E871" s="743">
        <v>41810</v>
      </c>
      <c r="F871" s="189" t="s">
        <v>903</v>
      </c>
      <c r="G871" s="463" t="s">
        <v>326</v>
      </c>
      <c r="H871" s="7"/>
      <c r="I871" s="251"/>
      <c r="J871" s="251"/>
      <c r="K871" s="563">
        <v>20000000</v>
      </c>
      <c r="L871" s="194" t="s">
        <v>56</v>
      </c>
      <c r="M871" s="194" t="s">
        <v>24</v>
      </c>
      <c r="N871" s="52" t="str">
        <f>IF(AND('331-CT'!$E$7=TH!H871,OR(L871="331",M871="331")),"331",IF(AND(OR(L871="131",M871="131"),H871='131-CT'!$E$7),"131",""))</f>
        <v/>
      </c>
      <c r="O871" s="89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09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267"/>
        <v>6</v>
      </c>
      <c r="C872" s="184">
        <f t="shared" si="270"/>
        <v>41810</v>
      </c>
      <c r="D872" s="184" t="s">
        <v>899</v>
      </c>
      <c r="E872" s="743">
        <v>41810</v>
      </c>
      <c r="F872" s="189" t="s">
        <v>900</v>
      </c>
      <c r="G872" s="463" t="s">
        <v>326</v>
      </c>
      <c r="H872" s="7"/>
      <c r="I872" s="251"/>
      <c r="J872" s="251"/>
      <c r="K872" s="563">
        <v>15000</v>
      </c>
      <c r="L872" s="194" t="s">
        <v>83</v>
      </c>
      <c r="M872" s="194" t="s">
        <v>24</v>
      </c>
      <c r="N872" s="52" t="str">
        <f>IF(AND('331-CT'!$E$7=TH!H872,OR(L872="331",M872="331")),"331",IF(AND(OR(L872="131",M872="131"),H872='131-CT'!$E$7),"131",""))</f>
        <v/>
      </c>
      <c r="O872" s="89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W872" s="52" t="str">
        <f>IF(OR(TH!L872=TH!$W$7,M872=TH!$W$7),"x","")</f>
        <v>x</v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09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267"/>
        <v>6</v>
      </c>
      <c r="C873" s="184">
        <f t="shared" si="270"/>
        <v>41810</v>
      </c>
      <c r="D873" s="184" t="s">
        <v>899</v>
      </c>
      <c r="E873" s="743">
        <v>41810</v>
      </c>
      <c r="F873" s="189" t="s">
        <v>900</v>
      </c>
      <c r="G873" s="463" t="s">
        <v>326</v>
      </c>
      <c r="H873" s="7"/>
      <c r="I873" s="251"/>
      <c r="J873" s="251"/>
      <c r="K873" s="563">
        <v>15000</v>
      </c>
      <c r="L873" s="194" t="s">
        <v>83</v>
      </c>
      <c r="M873" s="194" t="s">
        <v>24</v>
      </c>
      <c r="N873" s="52" t="str">
        <f>IF(AND('331-CT'!$E$7=TH!H873,OR(L873="331",M873="331")),"331",IF(AND(OR(L873="131",M873="131"),H873='131-CT'!$E$7),"131",""))</f>
        <v/>
      </c>
      <c r="O873" s="89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W873" s="52" t="str">
        <f>IF(OR(TH!L873=TH!$W$7,M873=TH!$W$7),"x","")</f>
        <v>x</v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09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267"/>
        <v>6</v>
      </c>
      <c r="C874" s="184">
        <f t="shared" si="270"/>
        <v>41814</v>
      </c>
      <c r="D874" s="184" t="s">
        <v>899</v>
      </c>
      <c r="E874" s="743">
        <v>41814</v>
      </c>
      <c r="F874" s="192" t="s">
        <v>896</v>
      </c>
      <c r="G874" s="463" t="s">
        <v>326</v>
      </c>
      <c r="H874" s="193" t="s">
        <v>897</v>
      </c>
      <c r="I874" s="251"/>
      <c r="J874" s="251"/>
      <c r="K874" s="563">
        <v>36300000</v>
      </c>
      <c r="L874" s="194" t="s">
        <v>47</v>
      </c>
      <c r="M874" s="194" t="s">
        <v>24</v>
      </c>
      <c r="N874" s="52" t="str">
        <f>IF(AND('331-CT'!$E$7=TH!H874,OR(L874="331",M874="331")),"331",IF(AND(OR(L874="131",M874="131"),H874='131-CT'!$E$7),"131",""))</f>
        <v/>
      </c>
      <c r="O874" s="89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>x</v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09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267"/>
        <v>6</v>
      </c>
      <c r="C875" s="184">
        <f t="shared" si="270"/>
        <v>41814</v>
      </c>
      <c r="D875" s="184" t="s">
        <v>899</v>
      </c>
      <c r="E875" s="743">
        <v>41814</v>
      </c>
      <c r="F875" s="192" t="s">
        <v>893</v>
      </c>
      <c r="G875" s="463" t="s">
        <v>326</v>
      </c>
      <c r="H875" s="7" t="s">
        <v>1144</v>
      </c>
      <c r="I875" s="251"/>
      <c r="J875" s="251"/>
      <c r="K875" s="563">
        <v>10000000</v>
      </c>
      <c r="L875" s="194" t="s">
        <v>8</v>
      </c>
      <c r="M875" s="194" t="s">
        <v>24</v>
      </c>
      <c r="N875" s="52" t="str">
        <f>IF(AND('331-CT'!$E$7=TH!H875,OR(L875="331",M875="331")),"331",IF(AND(OR(L875="131",M875="131"),H875='131-CT'!$E$7),"131",""))</f>
        <v/>
      </c>
      <c r="O875" s="89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09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267"/>
        <v>6</v>
      </c>
      <c r="C876" s="184">
        <f t="shared" si="270"/>
        <v>41814</v>
      </c>
      <c r="D876" s="184" t="s">
        <v>899</v>
      </c>
      <c r="E876" s="743">
        <v>41814</v>
      </c>
      <c r="F876" s="189" t="s">
        <v>900</v>
      </c>
      <c r="G876" s="463" t="s">
        <v>326</v>
      </c>
      <c r="H876" s="7"/>
      <c r="I876" s="251"/>
      <c r="J876" s="251"/>
      <c r="K876" s="563">
        <v>15000</v>
      </c>
      <c r="L876" s="194" t="s">
        <v>83</v>
      </c>
      <c r="M876" s="194" t="s">
        <v>24</v>
      </c>
      <c r="N876" s="52" t="str">
        <f>IF(AND('331-CT'!$E$7=TH!H876,OR(L876="331",M876="331")),"331",IF(AND(OR(L876="131",M876="131"),H876='131-CT'!$E$7),"131",""))</f>
        <v/>
      </c>
      <c r="O876" s="89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642</v>
      </c>
      <c r="W876" s="52" t="str">
        <f>IF(OR(TH!L876=TH!$W$7,M876=TH!$W$7),"x","")</f>
        <v>x</v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09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267"/>
        <v>6</v>
      </c>
      <c r="C877" s="184">
        <f t="shared" ref="C877:C880" si="271">E877</f>
        <v>41814</v>
      </c>
      <c r="D877" s="184" t="s">
        <v>899</v>
      </c>
      <c r="E877" s="743">
        <v>41814</v>
      </c>
      <c r="F877" s="189" t="s">
        <v>900</v>
      </c>
      <c r="G877" s="463" t="s">
        <v>326</v>
      </c>
      <c r="H877" s="7"/>
      <c r="I877" s="251"/>
      <c r="J877" s="251"/>
      <c r="K877" s="563">
        <v>15000</v>
      </c>
      <c r="L877" s="194" t="s">
        <v>83</v>
      </c>
      <c r="M877" s="194" t="s">
        <v>24</v>
      </c>
      <c r="N877" s="52" t="str">
        <f>IF(AND('331-CT'!$E$7=TH!H877,OR(L877="331",M877="331")),"331",IF(AND(OR(L877="131",M877="131"),H877='131-CT'!$E$7),"131",""))</f>
        <v/>
      </c>
      <c r="O877" s="89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09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267"/>
        <v>6</v>
      </c>
      <c r="C878" s="184">
        <f t="shared" si="271"/>
        <v>41814</v>
      </c>
      <c r="D878" s="184" t="s">
        <v>899</v>
      </c>
      <c r="E878" s="743">
        <v>41814</v>
      </c>
      <c r="F878" s="189" t="s">
        <v>904</v>
      </c>
      <c r="G878" s="463" t="s">
        <v>326</v>
      </c>
      <c r="H878" s="7"/>
      <c r="I878" s="251"/>
      <c r="J878" s="251"/>
      <c r="K878" s="563">
        <v>15000</v>
      </c>
      <c r="L878" s="194" t="s">
        <v>83</v>
      </c>
      <c r="M878" s="194" t="s">
        <v>24</v>
      </c>
      <c r="N878" s="52" t="str">
        <f>IF(AND('331-CT'!$E$7=TH!H878,OR(L878="331",M878="331")),"331",IF(AND(OR(L878="131",M878="131"),H878='131-CT'!$E$7),"131",""))</f>
        <v/>
      </c>
      <c r="O878" s="89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642</v>
      </c>
      <c r="W878" s="52" t="str">
        <f>IF(OR(TH!L878=TH!$W$7,M878=TH!$W$7),"x","")</f>
        <v>x</v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09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267"/>
        <v>7</v>
      </c>
      <c r="C879" s="184">
        <f t="shared" si="271"/>
        <v>41829</v>
      </c>
      <c r="D879" s="184" t="s">
        <v>892</v>
      </c>
      <c r="E879" s="184">
        <v>41829</v>
      </c>
      <c r="F879" s="192" t="s">
        <v>901</v>
      </c>
      <c r="G879" s="463" t="s">
        <v>326</v>
      </c>
      <c r="H879" s="193" t="s">
        <v>897</v>
      </c>
      <c r="I879" s="251"/>
      <c r="J879" s="251"/>
      <c r="K879" s="563">
        <v>3300000</v>
      </c>
      <c r="L879" s="194" t="s">
        <v>24</v>
      </c>
      <c r="M879" s="194" t="s">
        <v>47</v>
      </c>
      <c r="N879" s="52" t="str">
        <f>IF(AND('331-CT'!$E$7=TH!H879,OR(L879="331",M879="331")),"331",IF(AND(OR(L879="131",M879="131"),H879='131-CT'!$E$7),"131",""))</f>
        <v/>
      </c>
      <c r="O879" s="890" t="str">
        <f>IF(AND('341-CT'!$E$9=H879,OR(LEFT(L879,3)=$O$7,LEFT(M879,3)=$O$7)),"x","")</f>
        <v/>
      </c>
      <c r="P879" s="52" t="str">
        <f>IF(AND($B879&gt;='111'!$N$11,$B879&lt;='111'!$O$11,OR($L879=$P$7,$M879=$P$7)),"x","")</f>
        <v>x</v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09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267"/>
        <v>7</v>
      </c>
      <c r="C880" s="184">
        <f t="shared" si="271"/>
        <v>41836</v>
      </c>
      <c r="D880" s="184" t="s">
        <v>892</v>
      </c>
      <c r="E880" s="184">
        <v>41836</v>
      </c>
      <c r="F880" s="192" t="s">
        <v>894</v>
      </c>
      <c r="G880" s="463" t="s">
        <v>326</v>
      </c>
      <c r="H880" s="7" t="s">
        <v>907</v>
      </c>
      <c r="I880" s="251"/>
      <c r="J880" s="251"/>
      <c r="K880" s="563">
        <v>16698220</v>
      </c>
      <c r="L880" s="194" t="s">
        <v>24</v>
      </c>
      <c r="M880" s="194" t="s">
        <v>253</v>
      </c>
      <c r="N880" s="52" t="str">
        <f>IF(AND('331-CT'!$E$7=TH!H880,OR(L880="331",M880="331")),"331",IF(AND(OR(L880="131",M880="131"),H880='131-CT'!$E$7),"131",""))</f>
        <v/>
      </c>
      <c r="O880" s="89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09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267"/>
        <v>7</v>
      </c>
      <c r="C881" s="184">
        <f t="shared" ref="C881:C904" si="272">E881</f>
        <v>41845</v>
      </c>
      <c r="D881" s="184" t="s">
        <v>892</v>
      </c>
      <c r="E881" s="184">
        <v>41845</v>
      </c>
      <c r="F881" s="192" t="s">
        <v>895</v>
      </c>
      <c r="G881" s="463" t="s">
        <v>326</v>
      </c>
      <c r="H881" s="7"/>
      <c r="I881" s="251"/>
      <c r="J881" s="251"/>
      <c r="K881" s="563">
        <v>4033</v>
      </c>
      <c r="L881" s="194" t="s">
        <v>24</v>
      </c>
      <c r="M881" s="194" t="s">
        <v>40</v>
      </c>
      <c r="N881" s="52" t="str">
        <f>IF(AND('331-CT'!$E$7=TH!H881,OR(L881="331",M881="331")),"331",IF(AND(OR(L881="131",M881="131"),H881='131-CT'!$E$7),"131",""))</f>
        <v/>
      </c>
      <c r="O881" s="89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09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267"/>
        <v>7</v>
      </c>
      <c r="C882" s="184">
        <f t="shared" si="272"/>
        <v>41849</v>
      </c>
      <c r="D882" s="184" t="s">
        <v>892</v>
      </c>
      <c r="E882" s="184">
        <v>41849</v>
      </c>
      <c r="F882" s="192" t="s">
        <v>894</v>
      </c>
      <c r="G882" s="463" t="s">
        <v>326</v>
      </c>
      <c r="H882" s="7" t="s">
        <v>906</v>
      </c>
      <c r="I882" s="251"/>
      <c r="J882" s="251"/>
      <c r="K882" s="563">
        <v>11455290</v>
      </c>
      <c r="L882" s="194" t="s">
        <v>24</v>
      </c>
      <c r="M882" s="194" t="s">
        <v>253</v>
      </c>
      <c r="N882" s="52" t="str">
        <f>IF(AND('331-CT'!$E$7=TH!H882,OR(L882="331",M882="331")),"331",IF(AND(OR(L882="131",M882="131"),H882='131-CT'!$E$7),"131",""))</f>
        <v/>
      </c>
      <c r="O882" s="89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09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267"/>
        <v>8</v>
      </c>
      <c r="C883" s="184">
        <f t="shared" si="272"/>
        <v>41856</v>
      </c>
      <c r="D883" s="184" t="s">
        <v>892</v>
      </c>
      <c r="E883" s="184">
        <v>41856</v>
      </c>
      <c r="F883" s="192" t="s">
        <v>894</v>
      </c>
      <c r="G883" s="463" t="s">
        <v>326</v>
      </c>
      <c r="H883" s="7" t="s">
        <v>654</v>
      </c>
      <c r="I883" s="251"/>
      <c r="J883" s="251"/>
      <c r="K883" s="563">
        <v>17000000</v>
      </c>
      <c r="L883" s="194" t="s">
        <v>24</v>
      </c>
      <c r="M883" s="194" t="s">
        <v>253</v>
      </c>
      <c r="N883" s="52" t="str">
        <f>IF(AND('331-CT'!$E$7=TH!H883,OR(L883="331",M883="331")),"331",IF(AND(OR(L883="131",M883="131"),H883='131-CT'!$E$7),"131",""))</f>
        <v/>
      </c>
      <c r="O883" s="89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09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267"/>
        <v>8</v>
      </c>
      <c r="C884" s="184">
        <f t="shared" si="272"/>
        <v>41865</v>
      </c>
      <c r="D884" s="184" t="s">
        <v>892</v>
      </c>
      <c r="E884" s="184">
        <v>41865</v>
      </c>
      <c r="F884" s="192" t="s">
        <v>894</v>
      </c>
      <c r="G884" s="463" t="s">
        <v>326</v>
      </c>
      <c r="H884" s="44" t="s">
        <v>582</v>
      </c>
      <c r="I884" s="251"/>
      <c r="J884" s="251"/>
      <c r="K884" s="563">
        <v>41052055</v>
      </c>
      <c r="L884" s="194" t="s">
        <v>24</v>
      </c>
      <c r="M884" s="194" t="s">
        <v>253</v>
      </c>
      <c r="N884" s="52" t="str">
        <f>IF(AND('331-CT'!$E$7=TH!H884,OR(L884="331",M884="331")),"331",IF(AND(OR(L884="131",M884="131"),H884='131-CT'!$E$7),"131",""))</f>
        <v/>
      </c>
      <c r="O884" s="89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09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267"/>
        <v>8</v>
      </c>
      <c r="C885" s="184">
        <f t="shared" si="272"/>
        <v>41869</v>
      </c>
      <c r="D885" s="184" t="s">
        <v>892</v>
      </c>
      <c r="E885" s="184">
        <v>41869</v>
      </c>
      <c r="F885" s="192" t="s">
        <v>894</v>
      </c>
      <c r="G885" s="463" t="s">
        <v>326</v>
      </c>
      <c r="H885" s="7" t="s">
        <v>906</v>
      </c>
      <c r="I885" s="251"/>
      <c r="J885" s="251"/>
      <c r="K885" s="563">
        <v>11165000</v>
      </c>
      <c r="L885" s="194" t="s">
        <v>24</v>
      </c>
      <c r="M885" s="194" t="s">
        <v>253</v>
      </c>
      <c r="N885" s="52" t="str">
        <f>IF(AND('331-CT'!$E$7=TH!H885,OR(L885="331",M885="331")),"331",IF(AND(OR(L885="131",M885="131"),H885='131-CT'!$E$7),"131",""))</f>
        <v/>
      </c>
      <c r="O885" s="89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09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267"/>
        <v>8</v>
      </c>
      <c r="C886" s="184">
        <f t="shared" si="272"/>
        <v>41871</v>
      </c>
      <c r="D886" s="184" t="s">
        <v>892</v>
      </c>
      <c r="E886" s="184">
        <v>41871</v>
      </c>
      <c r="F886" s="192" t="s">
        <v>901</v>
      </c>
      <c r="G886" s="463" t="s">
        <v>326</v>
      </c>
      <c r="H886" s="193" t="s">
        <v>897</v>
      </c>
      <c r="I886" s="251"/>
      <c r="J886" s="251"/>
      <c r="K886" s="563">
        <v>18000000</v>
      </c>
      <c r="L886" s="194" t="s">
        <v>24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890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09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si="267"/>
        <v>8</v>
      </c>
      <c r="C887" s="184">
        <f t="shared" si="272"/>
        <v>41871</v>
      </c>
      <c r="D887" s="184" t="s">
        <v>892</v>
      </c>
      <c r="E887" s="184">
        <v>41871</v>
      </c>
      <c r="F887" s="192" t="s">
        <v>894</v>
      </c>
      <c r="G887" s="463" t="s">
        <v>326</v>
      </c>
      <c r="H887" s="7" t="s">
        <v>602</v>
      </c>
      <c r="I887" s="251"/>
      <c r="J887" s="251"/>
      <c r="K887" s="563">
        <v>35000000</v>
      </c>
      <c r="L887" s="194" t="s">
        <v>24</v>
      </c>
      <c r="M887" s="194" t="s">
        <v>253</v>
      </c>
      <c r="N887" s="52" t="str">
        <f>IF(AND('331-CT'!$E$7=TH!H887,OR(L887="331",M887="331")),"331",IF(AND(OR(L887="131",M887="131"),H887='131-CT'!$E$7),"131",""))</f>
        <v/>
      </c>
      <c r="O887" s="89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09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267"/>
        <v>8</v>
      </c>
      <c r="C888" s="184">
        <f t="shared" si="272"/>
        <v>41873</v>
      </c>
      <c r="D888" s="184" t="s">
        <v>892</v>
      </c>
      <c r="E888" s="184">
        <v>41873</v>
      </c>
      <c r="F888" s="192" t="s">
        <v>894</v>
      </c>
      <c r="G888" s="463" t="s">
        <v>326</v>
      </c>
      <c r="H888" s="7" t="s">
        <v>907</v>
      </c>
      <c r="I888" s="251"/>
      <c r="J888" s="251"/>
      <c r="K888" s="563">
        <v>15433550</v>
      </c>
      <c r="L888" s="194" t="s">
        <v>24</v>
      </c>
      <c r="M888" s="194" t="s">
        <v>253</v>
      </c>
      <c r="N888" s="52" t="str">
        <f>IF(AND('331-CT'!$E$7=TH!H888,OR(L888="331",M888="331")),"331",IF(AND(OR(L888="131",M888="131"),H888='131-CT'!$E$7),"131",""))</f>
        <v/>
      </c>
      <c r="O888" s="89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09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267"/>
        <v>8</v>
      </c>
      <c r="C889" s="184">
        <f t="shared" si="272"/>
        <v>41873</v>
      </c>
      <c r="D889" s="184" t="s">
        <v>892</v>
      </c>
      <c r="E889" s="184">
        <v>41873</v>
      </c>
      <c r="F889" s="192" t="s">
        <v>895</v>
      </c>
      <c r="G889" s="463" t="s">
        <v>326</v>
      </c>
      <c r="H889" s="7"/>
      <c r="I889" s="251"/>
      <c r="J889" s="251"/>
      <c r="K889" s="563">
        <v>13657</v>
      </c>
      <c r="L889" s="194" t="s">
        <v>24</v>
      </c>
      <c r="M889" s="194" t="s">
        <v>40</v>
      </c>
      <c r="N889" s="52" t="str">
        <f>IF(AND('331-CT'!$E$7=TH!H889,OR(L889="331",M889="331")),"331",IF(AND(OR(L889="131",M889="131"),H889='131-CT'!$E$7),"131",""))</f>
        <v/>
      </c>
      <c r="O889" s="89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09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267"/>
        <v>8</v>
      </c>
      <c r="C890" s="184">
        <f t="shared" si="272"/>
        <v>41878</v>
      </c>
      <c r="D890" s="184" t="s">
        <v>892</v>
      </c>
      <c r="E890" s="184">
        <v>41878</v>
      </c>
      <c r="F890" s="192" t="s">
        <v>902</v>
      </c>
      <c r="G890" s="463" t="s">
        <v>326</v>
      </c>
      <c r="H890" s="7"/>
      <c r="I890" s="251"/>
      <c r="J890" s="251"/>
      <c r="K890" s="563">
        <v>20000000</v>
      </c>
      <c r="L890" s="194" t="s">
        <v>24</v>
      </c>
      <c r="M890" s="194" t="s">
        <v>56</v>
      </c>
      <c r="N890" s="52" t="str">
        <f>IF(AND('331-CT'!$E$7=TH!H890,OR(L890="331",M890="331")),"331",IF(AND(OR(L890="131",M890="131"),H890='131-CT'!$E$7),"131",""))</f>
        <v/>
      </c>
      <c r="O890" s="89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09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267"/>
        <v>8</v>
      </c>
      <c r="C891" s="191">
        <f t="shared" si="272"/>
        <v>41878</v>
      </c>
      <c r="D891" s="184" t="s">
        <v>892</v>
      </c>
      <c r="E891" s="184">
        <v>41878</v>
      </c>
      <c r="F891" s="192" t="s">
        <v>894</v>
      </c>
      <c r="G891" s="463" t="s">
        <v>326</v>
      </c>
      <c r="H891" s="7" t="s">
        <v>646</v>
      </c>
      <c r="I891" s="251"/>
      <c r="J891" s="251"/>
      <c r="K891" s="563">
        <v>14779096</v>
      </c>
      <c r="L891" s="194" t="s">
        <v>24</v>
      </c>
      <c r="M891" s="194" t="s">
        <v>253</v>
      </c>
      <c r="N891" s="52" t="str">
        <f>IF(AND('331-CT'!$E$7=TH!H891,OR(L891="331",M891="331")),"331",IF(AND(OR(L891="131",M891="131"),H891='131-CT'!$E$7),"131",""))</f>
        <v/>
      </c>
      <c r="O891" s="89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09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267"/>
        <v>7</v>
      </c>
      <c r="C892" s="191">
        <f t="shared" si="272"/>
        <v>41829</v>
      </c>
      <c r="D892" s="191" t="s">
        <v>899</v>
      </c>
      <c r="E892" s="184">
        <v>41829</v>
      </c>
      <c r="F892" s="192" t="s">
        <v>893</v>
      </c>
      <c r="G892" s="463" t="s">
        <v>326</v>
      </c>
      <c r="H892" s="7" t="s">
        <v>1139</v>
      </c>
      <c r="I892" s="251"/>
      <c r="J892" s="251"/>
      <c r="K892" s="563">
        <v>10000000</v>
      </c>
      <c r="L892" s="194" t="s">
        <v>8</v>
      </c>
      <c r="M892" s="194" t="s">
        <v>24</v>
      </c>
      <c r="N892" s="52" t="str">
        <f>IF(AND('331-CT'!$E$7=TH!H892,OR(L892="331",M892="331")),"331",IF(AND(OR(L892="131",M892="131"),H892='131-CT'!$E$7),"131",""))</f>
        <v/>
      </c>
      <c r="O892" s="89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09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267"/>
        <v>7</v>
      </c>
      <c r="C893" s="191">
        <f t="shared" si="272"/>
        <v>41829</v>
      </c>
      <c r="D893" s="191" t="s">
        <v>899</v>
      </c>
      <c r="E893" s="184">
        <v>41829</v>
      </c>
      <c r="F893" s="189" t="s">
        <v>904</v>
      </c>
      <c r="G893" s="463" t="s">
        <v>326</v>
      </c>
      <c r="H893" s="7"/>
      <c r="I893" s="251"/>
      <c r="J893" s="251"/>
      <c r="K893" s="563">
        <v>15000</v>
      </c>
      <c r="L893" s="194" t="s">
        <v>83</v>
      </c>
      <c r="M893" s="194" t="s">
        <v>24</v>
      </c>
      <c r="N893" s="52" t="str">
        <f>IF(AND('331-CT'!$E$7=TH!H893,OR(L893="331",M893="331")),"331",IF(AND(OR(L893="131",M893="131"),H893='131-CT'!$E$7),"131",""))</f>
        <v/>
      </c>
      <c r="O893" s="89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09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267"/>
        <v>7</v>
      </c>
      <c r="C894" s="191">
        <f t="shared" si="272"/>
        <v>41829</v>
      </c>
      <c r="D894" s="191" t="s">
        <v>899</v>
      </c>
      <c r="E894" s="184">
        <v>41829</v>
      </c>
      <c r="F894" s="189" t="s">
        <v>900</v>
      </c>
      <c r="G894" s="463" t="s">
        <v>326</v>
      </c>
      <c r="H894" s="7"/>
      <c r="I894" s="251"/>
      <c r="J894" s="251"/>
      <c r="K894" s="563">
        <v>20000</v>
      </c>
      <c r="L894" s="194" t="s">
        <v>83</v>
      </c>
      <c r="M894" s="194" t="s">
        <v>24</v>
      </c>
      <c r="N894" s="52" t="str">
        <f>IF(AND('331-CT'!$E$7=TH!H894,OR(L894="331",M894="331")),"331",IF(AND(OR(L894="131",M894="131"),H894='131-CT'!$E$7),"131",""))</f>
        <v/>
      </c>
      <c r="O894" s="89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>x</v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09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267"/>
        <v>7</v>
      </c>
      <c r="C895" s="191">
        <f t="shared" si="272"/>
        <v>41841</v>
      </c>
      <c r="D895" s="191" t="s">
        <v>899</v>
      </c>
      <c r="E895" s="184">
        <v>41841</v>
      </c>
      <c r="F895" s="192" t="s">
        <v>896</v>
      </c>
      <c r="G895" s="463" t="s">
        <v>326</v>
      </c>
      <c r="H895" s="193" t="s">
        <v>897</v>
      </c>
      <c r="I895" s="251"/>
      <c r="J895" s="251"/>
      <c r="K895" s="563">
        <v>16600000</v>
      </c>
      <c r="L895" s="194" t="s">
        <v>47</v>
      </c>
      <c r="M895" s="194" t="s">
        <v>24</v>
      </c>
      <c r="N895" s="52" t="str">
        <f>IF(AND('331-CT'!$E$7=TH!H895,OR(L895="331",M895="331")),"331",IF(AND(OR(L895="131",M895="131"),H895='131-CT'!$E$7),"131",""))</f>
        <v/>
      </c>
      <c r="O895" s="890" t="str">
        <f>IF(AND('341-CT'!$E$9=H895,OR(LEFT(L895,3)=$O$7,LEFT(M895,3)=$O$7)),"x","")</f>
        <v/>
      </c>
      <c r="P895" s="52" t="str">
        <f>IF(AND($B895&gt;='111'!$N$11,$B895&lt;='111'!$O$11,OR($L895=$P$7,$M895=$P$7)),"x","")</f>
        <v>x</v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09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267"/>
        <v>8</v>
      </c>
      <c r="C896" s="191">
        <f t="shared" si="272"/>
        <v>41859</v>
      </c>
      <c r="D896" s="191" t="s">
        <v>899</v>
      </c>
      <c r="E896" s="184">
        <v>41859</v>
      </c>
      <c r="F896" s="192" t="s">
        <v>893</v>
      </c>
      <c r="G896" s="463" t="s">
        <v>326</v>
      </c>
      <c r="H896" s="193" t="s">
        <v>1102</v>
      </c>
      <c r="I896" s="251"/>
      <c r="J896" s="251"/>
      <c r="K896" s="563">
        <v>13000000</v>
      </c>
      <c r="L896" s="194" t="s">
        <v>8</v>
      </c>
      <c r="M896" s="194" t="s">
        <v>24</v>
      </c>
      <c r="N896" s="52" t="str">
        <f>IF(AND('331-CT'!$E$7=TH!H896,OR(L896="331",M896="331")),"331",IF(AND(OR(L896="131",M896="131"),H896='131-CT'!$E$7),"131",""))</f>
        <v/>
      </c>
      <c r="O896" s="89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09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267"/>
        <v>8</v>
      </c>
      <c r="C897" s="191">
        <f t="shared" si="272"/>
        <v>41859</v>
      </c>
      <c r="D897" s="191" t="s">
        <v>899</v>
      </c>
      <c r="E897" s="184">
        <v>41859</v>
      </c>
      <c r="F897" s="192" t="s">
        <v>893</v>
      </c>
      <c r="G897" s="463" t="s">
        <v>326</v>
      </c>
      <c r="H897" s="7" t="s">
        <v>1144</v>
      </c>
      <c r="I897" s="251"/>
      <c r="J897" s="251"/>
      <c r="K897" s="563">
        <v>15000000</v>
      </c>
      <c r="L897" s="194" t="s">
        <v>8</v>
      </c>
      <c r="M897" s="194" t="s">
        <v>24</v>
      </c>
      <c r="N897" s="52" t="str">
        <f>IF(AND('331-CT'!$E$7=TH!H897,OR(L897="331",M897="331")),"331",IF(AND(OR(L897="131",M897="131"),H897='131-CT'!$E$7),"131",""))</f>
        <v/>
      </c>
      <c r="O897" s="89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09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267"/>
        <v>8</v>
      </c>
      <c r="C898" s="191">
        <f t="shared" si="272"/>
        <v>41859</v>
      </c>
      <c r="D898" s="191" t="s">
        <v>899</v>
      </c>
      <c r="E898" s="184">
        <v>41859</v>
      </c>
      <c r="F898" s="189" t="s">
        <v>900</v>
      </c>
      <c r="G898" s="463" t="s">
        <v>326</v>
      </c>
      <c r="H898" s="7"/>
      <c r="I898" s="251"/>
      <c r="J898" s="251"/>
      <c r="K898" s="563">
        <v>15000</v>
      </c>
      <c r="L898" s="194" t="s">
        <v>83</v>
      </c>
      <c r="M898" s="194" t="s">
        <v>24</v>
      </c>
      <c r="N898" s="52" t="str">
        <f>IF(AND('331-CT'!$E$7=TH!H898,OR(L898="331",M898="331")),"331",IF(AND(OR(L898="131",M898="131"),H898='131-CT'!$E$7),"131",""))</f>
        <v/>
      </c>
      <c r="O898" s="89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>x</v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09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267"/>
        <v>8</v>
      </c>
      <c r="C899" s="191">
        <f t="shared" si="272"/>
        <v>41871</v>
      </c>
      <c r="D899" s="191" t="s">
        <v>899</v>
      </c>
      <c r="E899" s="184">
        <v>41871</v>
      </c>
      <c r="F899" s="192" t="s">
        <v>893</v>
      </c>
      <c r="G899" s="463" t="s">
        <v>326</v>
      </c>
      <c r="H899" s="7" t="s">
        <v>1139</v>
      </c>
      <c r="I899" s="251"/>
      <c r="J899" s="251"/>
      <c r="K899" s="563">
        <v>10000000</v>
      </c>
      <c r="L899" s="194" t="s">
        <v>8</v>
      </c>
      <c r="M899" s="194" t="s">
        <v>24</v>
      </c>
      <c r="N899" s="52" t="str">
        <f>IF(AND('331-CT'!$E$7=TH!H899,OR(L899="331",M899="331")),"331",IF(AND(OR(L899="131",M899="131"),H899='131-CT'!$E$7),"131",""))</f>
        <v/>
      </c>
      <c r="O899" s="89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09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267"/>
        <v>8</v>
      </c>
      <c r="C900" s="191">
        <f t="shared" si="272"/>
        <v>41871</v>
      </c>
      <c r="D900" s="191" t="s">
        <v>899</v>
      </c>
      <c r="E900" s="184">
        <v>41871</v>
      </c>
      <c r="F900" s="192" t="s">
        <v>893</v>
      </c>
      <c r="G900" s="463" t="s">
        <v>326</v>
      </c>
      <c r="H900" s="844" t="s">
        <v>1144</v>
      </c>
      <c r="I900" s="251"/>
      <c r="J900" s="251"/>
      <c r="K900" s="563">
        <v>20000000</v>
      </c>
      <c r="L900" s="194" t="s">
        <v>8</v>
      </c>
      <c r="M900" s="194" t="s">
        <v>24</v>
      </c>
      <c r="N900" s="52" t="str">
        <f>IF(AND('331-CT'!$E$7=TH!H900,OR(L900="331",M900="331")),"331",IF(AND(OR(L900="131",M900="131"),H900='131-CT'!$E$7),"131",""))</f>
        <v/>
      </c>
      <c r="O900" s="89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09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267"/>
        <v>8</v>
      </c>
      <c r="C901" s="191">
        <f t="shared" si="272"/>
        <v>41871</v>
      </c>
      <c r="D901" s="191" t="s">
        <v>899</v>
      </c>
      <c r="E901" s="184">
        <v>41871</v>
      </c>
      <c r="F901" s="192" t="s">
        <v>893</v>
      </c>
      <c r="G901" s="463" t="s">
        <v>326</v>
      </c>
      <c r="H901" s="7" t="s">
        <v>1010</v>
      </c>
      <c r="I901" s="251"/>
      <c r="J901" s="251"/>
      <c r="K901" s="563">
        <v>40000000</v>
      </c>
      <c r="L901" s="194" t="s">
        <v>8</v>
      </c>
      <c r="M901" s="194" t="s">
        <v>24</v>
      </c>
      <c r="N901" s="52" t="str">
        <f>IF(AND('331-CT'!$E$7=TH!H901,OR(L901="331",M901="331")),"331",IF(AND(OR(L901="131",M901="131"),H901='131-CT'!$E$7),"131",""))</f>
        <v>331</v>
      </c>
      <c r="O901" s="89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09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267"/>
        <v>8</v>
      </c>
      <c r="C902" s="191">
        <f t="shared" si="272"/>
        <v>41871</v>
      </c>
      <c r="D902" s="191" t="s">
        <v>899</v>
      </c>
      <c r="E902" s="184">
        <v>41871</v>
      </c>
      <c r="F902" s="189" t="s">
        <v>904</v>
      </c>
      <c r="G902" s="463" t="s">
        <v>326</v>
      </c>
      <c r="H902" s="7"/>
      <c r="I902" s="251"/>
      <c r="J902" s="251"/>
      <c r="K902" s="563">
        <v>15000</v>
      </c>
      <c r="L902" s="194" t="s">
        <v>83</v>
      </c>
      <c r="M902" s="194" t="s">
        <v>24</v>
      </c>
      <c r="N902" s="52" t="str">
        <f>IF(AND('331-CT'!$E$7=TH!H902,OR(L902="331",M902="331")),"331",IF(AND(OR(L902="131",M902="131"),H902='131-CT'!$E$7),"131",""))</f>
        <v/>
      </c>
      <c r="O902" s="89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>x</v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09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267"/>
        <v>8</v>
      </c>
      <c r="C903" s="191">
        <f t="shared" si="272"/>
        <v>41871</v>
      </c>
      <c r="D903" s="191" t="s">
        <v>899</v>
      </c>
      <c r="E903" s="184">
        <v>41871</v>
      </c>
      <c r="F903" s="189" t="s">
        <v>900</v>
      </c>
      <c r="G903" s="463" t="s">
        <v>326</v>
      </c>
      <c r="H903" s="7"/>
      <c r="I903" s="251"/>
      <c r="J903" s="251"/>
      <c r="K903" s="563">
        <v>20000</v>
      </c>
      <c r="L903" s="194" t="s">
        <v>83</v>
      </c>
      <c r="M903" s="194" t="s">
        <v>24</v>
      </c>
      <c r="N903" s="52" t="str">
        <f>IF(AND('331-CT'!$E$7=TH!H903,OR(L903="331",M903="331")),"331",IF(AND(OR(L903="131",M903="131"),H903='131-CT'!$E$7),"131",""))</f>
        <v/>
      </c>
      <c r="O903" s="89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>x</v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09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267"/>
        <v>8</v>
      </c>
      <c r="C904" s="191">
        <f t="shared" si="272"/>
        <v>41871</v>
      </c>
      <c r="D904" s="191" t="s">
        <v>899</v>
      </c>
      <c r="E904" s="184">
        <v>41871</v>
      </c>
      <c r="F904" s="189" t="s">
        <v>900</v>
      </c>
      <c r="G904" s="463" t="s">
        <v>326</v>
      </c>
      <c r="H904" s="7"/>
      <c r="I904" s="251"/>
      <c r="J904" s="251"/>
      <c r="K904" s="563">
        <v>20000</v>
      </c>
      <c r="L904" s="194" t="s">
        <v>83</v>
      </c>
      <c r="M904" s="194" t="s">
        <v>24</v>
      </c>
      <c r="N904" s="52" t="str">
        <f>IF(AND('331-CT'!$E$7=TH!H904,OR(L904="331",M904="331")),"331",IF(AND(OR(L904="131",M904="131"),H904='131-CT'!$E$7),"131",""))</f>
        <v/>
      </c>
      <c r="O904" s="89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>x</v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09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267"/>
        <v>8</v>
      </c>
      <c r="C905" s="191">
        <f t="shared" ref="C905:C958" si="273">E905</f>
        <v>41871</v>
      </c>
      <c r="D905" s="191" t="s">
        <v>899</v>
      </c>
      <c r="E905" s="184">
        <v>41871</v>
      </c>
      <c r="F905" s="189" t="s">
        <v>900</v>
      </c>
      <c r="G905" s="463" t="s">
        <v>326</v>
      </c>
      <c r="H905" s="7"/>
      <c r="I905" s="251"/>
      <c r="J905" s="251"/>
      <c r="K905" s="563">
        <v>15000</v>
      </c>
      <c r="L905" s="194" t="s">
        <v>83</v>
      </c>
      <c r="M905" s="194" t="s">
        <v>24</v>
      </c>
      <c r="N905" s="52" t="str">
        <f>IF(AND('331-CT'!$E$7=TH!H905,OR(L905="331",M905="331")),"331",IF(AND(OR(L905="131",M905="131"),H905='131-CT'!$E$7),"131",""))</f>
        <v/>
      </c>
      <c r="O905" s="89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>x</v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09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267"/>
        <v>8</v>
      </c>
      <c r="C906" s="191">
        <f t="shared" si="273"/>
        <v>41872</v>
      </c>
      <c r="D906" s="191" t="s">
        <v>899</v>
      </c>
      <c r="E906" s="184">
        <v>41872</v>
      </c>
      <c r="F906" s="192" t="s">
        <v>896</v>
      </c>
      <c r="G906" s="463" t="s">
        <v>326</v>
      </c>
      <c r="H906" s="193" t="s">
        <v>897</v>
      </c>
      <c r="I906" s="251"/>
      <c r="J906" s="251"/>
      <c r="K906" s="563">
        <v>35000000</v>
      </c>
      <c r="L906" s="194" t="s">
        <v>47</v>
      </c>
      <c r="M906" s="194" t="s">
        <v>24</v>
      </c>
      <c r="N906" s="52" t="str">
        <f>IF(AND('331-CT'!$E$7=TH!H906,OR(L906="331",M906="331")),"331",IF(AND(OR(L906="131",M906="131"),H906='131-CT'!$E$7),"131",""))</f>
        <v/>
      </c>
      <c r="O906" s="890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09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267"/>
        <v>8</v>
      </c>
      <c r="C907" s="191">
        <f t="shared" si="273"/>
        <v>41878</v>
      </c>
      <c r="D907" s="191" t="s">
        <v>899</v>
      </c>
      <c r="E907" s="184">
        <v>41878</v>
      </c>
      <c r="F907" s="192" t="s">
        <v>893</v>
      </c>
      <c r="G907" s="463" t="s">
        <v>326</v>
      </c>
      <c r="H907" s="844" t="s">
        <v>1073</v>
      </c>
      <c r="I907" s="251"/>
      <c r="J907" s="251"/>
      <c r="K907" s="563">
        <v>20000000</v>
      </c>
      <c r="L907" s="194" t="s">
        <v>8</v>
      </c>
      <c r="M907" s="194" t="s">
        <v>24</v>
      </c>
      <c r="N907" s="52" t="str">
        <f>IF(AND('331-CT'!$E$7=TH!H907,OR(L907="331",M907="331")),"331",IF(AND(OR(L907="131",M907="131"),H907='131-CT'!$E$7),"131",""))</f>
        <v/>
      </c>
      <c r="O907" s="89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09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267"/>
        <v>8</v>
      </c>
      <c r="C908" s="191">
        <f t="shared" si="273"/>
        <v>41878</v>
      </c>
      <c r="D908" s="191" t="s">
        <v>899</v>
      </c>
      <c r="E908" s="184">
        <v>41878</v>
      </c>
      <c r="F908" s="192" t="s">
        <v>893</v>
      </c>
      <c r="G908" s="463" t="s">
        <v>326</v>
      </c>
      <c r="H908" s="844" t="s">
        <v>1077</v>
      </c>
      <c r="I908" s="251"/>
      <c r="J908" s="251"/>
      <c r="K908" s="563">
        <v>15000000</v>
      </c>
      <c r="L908" s="194" t="s">
        <v>8</v>
      </c>
      <c r="M908" s="194" t="s">
        <v>24</v>
      </c>
      <c r="N908" s="52" t="str">
        <f>IF(AND('331-CT'!$E$7=TH!H908,OR(L908="331",M908="331")),"331",IF(AND(OR(L908="131",M908="131"),H908='131-CT'!$E$7),"131",""))</f>
        <v/>
      </c>
      <c r="O908" s="89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09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267"/>
        <v>8</v>
      </c>
      <c r="C909" s="191">
        <f t="shared" si="273"/>
        <v>41878</v>
      </c>
      <c r="D909" s="191" t="s">
        <v>899</v>
      </c>
      <c r="E909" s="184">
        <v>41878</v>
      </c>
      <c r="F909" s="192" t="s">
        <v>893</v>
      </c>
      <c r="G909" s="463" t="s">
        <v>326</v>
      </c>
      <c r="H909" s="844" t="s">
        <v>1073</v>
      </c>
      <c r="I909" s="251"/>
      <c r="J909" s="251"/>
      <c r="K909" s="563">
        <v>15800000</v>
      </c>
      <c r="L909" s="194" t="s">
        <v>8</v>
      </c>
      <c r="M909" s="194" t="s">
        <v>24</v>
      </c>
      <c r="N909" s="52" t="str">
        <f>IF(AND('331-CT'!$E$7=TH!H909,OR(L909="331",M909="331")),"331",IF(AND(OR(L909="131",M909="131"),H909='131-CT'!$E$7),"131",""))</f>
        <v/>
      </c>
      <c r="O909" s="89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09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267"/>
        <v>8</v>
      </c>
      <c r="C910" s="191">
        <f t="shared" si="273"/>
        <v>41878</v>
      </c>
      <c r="D910" s="191" t="s">
        <v>899</v>
      </c>
      <c r="E910" s="184">
        <v>41878</v>
      </c>
      <c r="F910" s="189" t="s">
        <v>900</v>
      </c>
      <c r="G910" s="463" t="s">
        <v>326</v>
      </c>
      <c r="H910" s="7"/>
      <c r="I910" s="251"/>
      <c r="J910" s="251"/>
      <c r="K910" s="563">
        <v>15000</v>
      </c>
      <c r="L910" s="194" t="s">
        <v>83</v>
      </c>
      <c r="M910" s="194" t="s">
        <v>24</v>
      </c>
      <c r="N910" s="52" t="str">
        <f>IF(AND('331-CT'!$E$7=TH!H910,OR(L910="331",M910="331")),"331",IF(AND(OR(L910="131",M910="131"),H910='131-CT'!$E$7),"131",""))</f>
        <v/>
      </c>
      <c r="O910" s="89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>x</v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09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ref="B911:B974" si="274">IF(C911&lt;&gt;"",MONTH(C911),"")</f>
        <v>8</v>
      </c>
      <c r="C911" s="191">
        <f t="shared" si="273"/>
        <v>41878</v>
      </c>
      <c r="D911" s="191" t="s">
        <v>899</v>
      </c>
      <c r="E911" s="184">
        <v>41878</v>
      </c>
      <c r="F911" s="189" t="s">
        <v>900</v>
      </c>
      <c r="G911" s="463" t="s">
        <v>326</v>
      </c>
      <c r="H911" s="7"/>
      <c r="I911" s="251"/>
      <c r="J911" s="251"/>
      <c r="K911" s="563">
        <v>20000</v>
      </c>
      <c r="L911" s="194" t="s">
        <v>83</v>
      </c>
      <c r="M911" s="194" t="s">
        <v>24</v>
      </c>
      <c r="N911" s="52" t="str">
        <f>IF(AND('331-CT'!$E$7=TH!H911,OR(L911="331",M911="331")),"331",IF(AND(OR(L911="131",M911="131"),H911='131-CT'!$E$7),"131",""))</f>
        <v/>
      </c>
      <c r="O911" s="89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>x</v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09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274"/>
        <v>9</v>
      </c>
      <c r="C912" s="191">
        <f t="shared" si="273"/>
        <v>41886</v>
      </c>
      <c r="D912" s="191" t="s">
        <v>892</v>
      </c>
      <c r="E912" s="184">
        <v>41886</v>
      </c>
      <c r="F912" s="192" t="s">
        <v>894</v>
      </c>
      <c r="G912" s="463" t="s">
        <v>326</v>
      </c>
      <c r="H912" s="7" t="s">
        <v>906</v>
      </c>
      <c r="I912" s="251"/>
      <c r="J912" s="251"/>
      <c r="K912" s="563">
        <v>11418000</v>
      </c>
      <c r="L912" s="194" t="s">
        <v>24</v>
      </c>
      <c r="M912" s="194" t="s">
        <v>253</v>
      </c>
      <c r="N912" s="52" t="str">
        <f>IF(AND('331-CT'!$E$7=TH!H912,OR(L912="331",M912="331")),"331",IF(AND(OR(L912="131",M912="131"),H912='131-CT'!$E$7),"131",""))</f>
        <v/>
      </c>
      <c r="O912" s="89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09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274"/>
        <v>9</v>
      </c>
      <c r="C913" s="191">
        <f t="shared" si="273"/>
        <v>41887</v>
      </c>
      <c r="D913" s="191" t="s">
        <v>892</v>
      </c>
      <c r="E913" s="184">
        <v>41887</v>
      </c>
      <c r="F913" s="192" t="s">
        <v>894</v>
      </c>
      <c r="G913" s="463" t="s">
        <v>326</v>
      </c>
      <c r="H913" s="7" t="s">
        <v>782</v>
      </c>
      <c r="I913" s="251"/>
      <c r="J913" s="251"/>
      <c r="K913" s="563">
        <v>5380000</v>
      </c>
      <c r="L913" s="194" t="s">
        <v>24</v>
      </c>
      <c r="M913" s="194" t="s">
        <v>253</v>
      </c>
      <c r="N913" s="52" t="str">
        <f>IF(AND('331-CT'!$E$7=TH!H913,OR(L913="331",M913="331")),"331",IF(AND(OR(L913="131",M913="131"),H913='131-CT'!$E$7),"131",""))</f>
        <v/>
      </c>
      <c r="O913" s="89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09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274"/>
        <v>9</v>
      </c>
      <c r="C914" s="191">
        <f t="shared" si="273"/>
        <v>41887</v>
      </c>
      <c r="D914" s="191" t="s">
        <v>892</v>
      </c>
      <c r="E914" s="184">
        <v>41887</v>
      </c>
      <c r="F914" s="192" t="s">
        <v>894</v>
      </c>
      <c r="G914" s="463" t="s">
        <v>326</v>
      </c>
      <c r="H914" s="7" t="s">
        <v>654</v>
      </c>
      <c r="I914" s="251"/>
      <c r="J914" s="251"/>
      <c r="K914" s="563">
        <v>49422400</v>
      </c>
      <c r="L914" s="194" t="s">
        <v>24</v>
      </c>
      <c r="M914" s="194" t="s">
        <v>253</v>
      </c>
      <c r="N914" s="52" t="str">
        <f>IF(AND('331-CT'!$E$7=TH!H914,OR(L914="331",M914="331")),"331",IF(AND(OR(L914="131",M914="131"),H914='131-CT'!$E$7),"131",""))</f>
        <v/>
      </c>
      <c r="O914" s="89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09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274"/>
        <v>9</v>
      </c>
      <c r="C915" s="191">
        <f t="shared" si="273"/>
        <v>41894</v>
      </c>
      <c r="D915" s="191" t="s">
        <v>892</v>
      </c>
      <c r="E915" s="184">
        <v>41894</v>
      </c>
      <c r="F915" s="192" t="s">
        <v>894</v>
      </c>
      <c r="G915" s="463" t="s">
        <v>326</v>
      </c>
      <c r="H915" s="7" t="s">
        <v>646</v>
      </c>
      <c r="I915" s="251"/>
      <c r="J915" s="251"/>
      <c r="K915" s="563">
        <v>62670304</v>
      </c>
      <c r="L915" s="194" t="s">
        <v>24</v>
      </c>
      <c r="M915" s="194" t="s">
        <v>253</v>
      </c>
      <c r="N915" s="52" t="str">
        <f>IF(AND('331-CT'!$E$7=TH!H915,OR(L915="331",M915="331")),"331",IF(AND(OR(L915="131",M915="131"),H915='131-CT'!$E$7),"131",""))</f>
        <v/>
      </c>
      <c r="O915" s="89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09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274"/>
        <v>9</v>
      </c>
      <c r="C916" s="191">
        <f t="shared" si="273"/>
        <v>41898</v>
      </c>
      <c r="D916" s="191" t="s">
        <v>892</v>
      </c>
      <c r="E916" s="184">
        <v>41898</v>
      </c>
      <c r="F916" s="192" t="s">
        <v>894</v>
      </c>
      <c r="G916" s="463" t="s">
        <v>326</v>
      </c>
      <c r="H916" s="7" t="s">
        <v>602</v>
      </c>
      <c r="I916" s="251"/>
      <c r="J916" s="251"/>
      <c r="K916" s="563">
        <v>50000000</v>
      </c>
      <c r="L916" s="194" t="s">
        <v>24</v>
      </c>
      <c r="M916" s="194" t="s">
        <v>253</v>
      </c>
      <c r="N916" s="52" t="str">
        <f>IF(AND('331-CT'!$E$7=TH!H916,OR(L916="331",M916="331")),"331",IF(AND(OR(L916="131",M916="131"),H916='131-CT'!$E$7),"131",""))</f>
        <v/>
      </c>
      <c r="O916" s="89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09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274"/>
        <v>9</v>
      </c>
      <c r="C917" s="191">
        <f t="shared" si="273"/>
        <v>41898</v>
      </c>
      <c r="D917" s="191" t="s">
        <v>892</v>
      </c>
      <c r="E917" s="184">
        <v>41898</v>
      </c>
      <c r="F917" s="192" t="s">
        <v>894</v>
      </c>
      <c r="G917" s="463" t="s">
        <v>326</v>
      </c>
      <c r="H917" s="45" t="s">
        <v>469</v>
      </c>
      <c r="I917" s="251"/>
      <c r="J917" s="251"/>
      <c r="K917" s="563">
        <v>6501550</v>
      </c>
      <c r="L917" s="194" t="s">
        <v>24</v>
      </c>
      <c r="M917" s="194" t="s">
        <v>253</v>
      </c>
      <c r="N917" s="52" t="str">
        <f>IF(AND('331-CT'!$E$7=TH!H917,OR(L917="331",M917="331")),"331",IF(AND(OR(L917="131",M917="131"),H917='131-CT'!$E$7),"131",""))</f>
        <v/>
      </c>
      <c r="O917" s="89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09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274"/>
        <v>9</v>
      </c>
      <c r="C918" s="191">
        <f t="shared" si="273"/>
        <v>41898</v>
      </c>
      <c r="D918" s="191" t="s">
        <v>892</v>
      </c>
      <c r="E918" s="184">
        <v>41898</v>
      </c>
      <c r="F918" s="192" t="s">
        <v>894</v>
      </c>
      <c r="G918" s="463" t="s">
        <v>326</v>
      </c>
      <c r="H918" s="7" t="s">
        <v>907</v>
      </c>
      <c r="I918" s="251"/>
      <c r="J918" s="251"/>
      <c r="K918" s="563">
        <v>20330090</v>
      </c>
      <c r="L918" s="194" t="s">
        <v>24</v>
      </c>
      <c r="M918" s="194" t="s">
        <v>253</v>
      </c>
      <c r="N918" s="52" t="str">
        <f>IF(AND('331-CT'!$E$7=TH!H918,OR(L918="331",M918="331")),"331",IF(AND(OR(L918="131",M918="131"),H918='131-CT'!$E$7),"131",""))</f>
        <v/>
      </c>
      <c r="O918" s="89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09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274"/>
        <v>9</v>
      </c>
      <c r="C919" s="191">
        <f t="shared" si="273"/>
        <v>41899</v>
      </c>
      <c r="D919" s="191" t="s">
        <v>892</v>
      </c>
      <c r="E919" s="184">
        <v>41899</v>
      </c>
      <c r="F919" s="192" t="s">
        <v>894</v>
      </c>
      <c r="G919" s="463" t="s">
        <v>326</v>
      </c>
      <c r="H919" s="44" t="s">
        <v>582</v>
      </c>
      <c r="I919" s="251"/>
      <c r="J919" s="251"/>
      <c r="K919" s="563">
        <v>10910900</v>
      </c>
      <c r="L919" s="194" t="s">
        <v>24</v>
      </c>
      <c r="M919" s="194" t="s">
        <v>253</v>
      </c>
      <c r="N919" s="52" t="str">
        <f>IF(AND('331-CT'!$E$7=TH!H919,OR(L919="331",M919="331")),"331",IF(AND(OR(L919="131",M919="131"),H919='131-CT'!$E$7),"131",""))</f>
        <v/>
      </c>
      <c r="O919" s="89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09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274"/>
        <v>9</v>
      </c>
      <c r="C920" s="191">
        <f t="shared" si="273"/>
        <v>41904</v>
      </c>
      <c r="D920" s="191" t="s">
        <v>892</v>
      </c>
      <c r="E920" s="184">
        <v>41904</v>
      </c>
      <c r="F920" s="192" t="s">
        <v>894</v>
      </c>
      <c r="G920" s="463" t="s">
        <v>326</v>
      </c>
      <c r="H920" s="7" t="s">
        <v>906</v>
      </c>
      <c r="I920" s="251"/>
      <c r="J920" s="251"/>
      <c r="K920" s="563">
        <v>22574970</v>
      </c>
      <c r="L920" s="194" t="s">
        <v>24</v>
      </c>
      <c r="M920" s="194" t="s">
        <v>253</v>
      </c>
      <c r="N920" s="52" t="str">
        <f>IF(AND('331-CT'!$E$7=TH!H920,OR(L920="331",M920="331")),"331",IF(AND(OR(L920="131",M920="131"),H920='131-CT'!$E$7),"131",""))</f>
        <v/>
      </c>
      <c r="O920" s="89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09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274"/>
        <v>9</v>
      </c>
      <c r="C921" s="191">
        <f t="shared" si="273"/>
        <v>41907</v>
      </c>
      <c r="D921" s="191" t="s">
        <v>892</v>
      </c>
      <c r="E921" s="184">
        <v>41907</v>
      </c>
      <c r="F921" s="192" t="s">
        <v>895</v>
      </c>
      <c r="G921" s="463" t="s">
        <v>326</v>
      </c>
      <c r="H921" s="7"/>
      <c r="I921" s="251"/>
      <c r="J921" s="251"/>
      <c r="K921" s="563">
        <v>14646</v>
      </c>
      <c r="L921" s="194" t="s">
        <v>24</v>
      </c>
      <c r="M921" s="194" t="s">
        <v>40</v>
      </c>
      <c r="N921" s="52" t="str">
        <f>IF(AND('331-CT'!$E$7=TH!H921,OR(L921="331",M921="331")),"331",IF(AND(OR(L921="131",M921="131"),H921='131-CT'!$E$7),"131",""))</f>
        <v/>
      </c>
      <c r="O921" s="89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09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274"/>
        <v>9</v>
      </c>
      <c r="C922" s="191">
        <f t="shared" si="273"/>
        <v>41908</v>
      </c>
      <c r="D922" s="191" t="s">
        <v>892</v>
      </c>
      <c r="E922" s="184">
        <v>41908</v>
      </c>
      <c r="F922" s="192" t="s">
        <v>894</v>
      </c>
      <c r="G922" s="463" t="s">
        <v>326</v>
      </c>
      <c r="H922" s="7" t="s">
        <v>908</v>
      </c>
      <c r="I922" s="251"/>
      <c r="J922" s="251"/>
      <c r="K922" s="563">
        <v>7559200</v>
      </c>
      <c r="L922" s="194" t="s">
        <v>24</v>
      </c>
      <c r="M922" s="194" t="s">
        <v>253</v>
      </c>
      <c r="N922" s="52" t="str">
        <f>IF(AND('331-CT'!$E$7=TH!H922,OR(L922="331",M922="331")),"331",IF(AND(OR(L922="131",M922="131"),H922='131-CT'!$E$7),"131",""))</f>
        <v/>
      </c>
      <c r="O922" s="89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09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274"/>
        <v>9</v>
      </c>
      <c r="C923" s="191">
        <f t="shared" si="273"/>
        <v>41912</v>
      </c>
      <c r="D923" s="191" t="s">
        <v>892</v>
      </c>
      <c r="E923" s="184">
        <v>41912</v>
      </c>
      <c r="F923" s="192" t="s">
        <v>894</v>
      </c>
      <c r="G923" s="463" t="s">
        <v>326</v>
      </c>
      <c r="H923" s="7" t="s">
        <v>602</v>
      </c>
      <c r="I923" s="251"/>
      <c r="J923" s="251"/>
      <c r="K923" s="563">
        <v>39537025</v>
      </c>
      <c r="L923" s="194" t="s">
        <v>24</v>
      </c>
      <c r="M923" s="194" t="s">
        <v>253</v>
      </c>
      <c r="N923" s="52" t="str">
        <f>IF(AND('331-CT'!$E$7=TH!H923,OR(L923="331",M923="331")),"331",IF(AND(OR(L923="131",M923="131"),H923='131-CT'!$E$7),"131",""))</f>
        <v/>
      </c>
      <c r="O923" s="89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09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274"/>
        <v>10</v>
      </c>
      <c r="C924" s="191">
        <f t="shared" si="273"/>
        <v>41913</v>
      </c>
      <c r="D924" s="191" t="s">
        <v>892</v>
      </c>
      <c r="E924" s="184">
        <v>41913</v>
      </c>
      <c r="F924" s="192" t="s">
        <v>894</v>
      </c>
      <c r="G924" s="463" t="s">
        <v>326</v>
      </c>
      <c r="H924" s="7" t="s">
        <v>908</v>
      </c>
      <c r="I924" s="251"/>
      <c r="J924" s="251"/>
      <c r="K924" s="563">
        <v>12938200</v>
      </c>
      <c r="L924" s="194" t="s">
        <v>24</v>
      </c>
      <c r="M924" s="194" t="s">
        <v>253</v>
      </c>
      <c r="N924" s="52" t="str">
        <f>IF(AND('331-CT'!$E$7=TH!H924,OR(L924="331",M924="331")),"331",IF(AND(OR(L924="131",M924="131"),H924='131-CT'!$E$7),"131",""))</f>
        <v/>
      </c>
      <c r="O924" s="89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09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274"/>
        <v>10</v>
      </c>
      <c r="C925" s="191">
        <f t="shared" si="273"/>
        <v>41914</v>
      </c>
      <c r="D925" s="191" t="s">
        <v>892</v>
      </c>
      <c r="E925" s="184">
        <v>41914</v>
      </c>
      <c r="F925" s="192" t="s">
        <v>905</v>
      </c>
      <c r="G925" s="463" t="s">
        <v>326</v>
      </c>
      <c r="H925" s="7"/>
      <c r="I925" s="251"/>
      <c r="J925" s="251"/>
      <c r="K925" s="38">
        <v>15000000</v>
      </c>
      <c r="L925" s="194" t="s">
        <v>24</v>
      </c>
      <c r="M925" s="194" t="s">
        <v>56</v>
      </c>
      <c r="N925" s="52" t="str">
        <f>IF(AND('331-CT'!$E$7=TH!H925,OR(L925="331",M925="331")),"331",IF(AND(OR(L925="131",M925="131"),H925='131-CT'!$E$7),"131",""))</f>
        <v/>
      </c>
      <c r="O925" s="89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09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274"/>
        <v>9</v>
      </c>
      <c r="C926" s="191">
        <f t="shared" si="273"/>
        <v>41891</v>
      </c>
      <c r="D926" s="191" t="s">
        <v>899</v>
      </c>
      <c r="E926" s="184">
        <v>41891</v>
      </c>
      <c r="F926" s="192" t="s">
        <v>896</v>
      </c>
      <c r="G926" s="463" t="s">
        <v>326</v>
      </c>
      <c r="H926" s="193" t="s">
        <v>897</v>
      </c>
      <c r="I926" s="251"/>
      <c r="J926" s="251"/>
      <c r="K926" s="563">
        <v>26300000</v>
      </c>
      <c r="L926" s="194" t="s">
        <v>47</v>
      </c>
      <c r="M926" s="194" t="s">
        <v>24</v>
      </c>
      <c r="N926" s="52" t="str">
        <f>IF(AND('331-CT'!$E$7=TH!H926,OR(L926="331",M926="331")),"331",IF(AND(OR(L926="131",M926="131"),H926='131-CT'!$E$7),"131",""))</f>
        <v/>
      </c>
      <c r="O926" s="890" t="str">
        <f>IF(AND('341-CT'!$E$9=H926,OR(LEFT(L926,3)=$O$7,LEFT(M926,3)=$O$7)),"x","")</f>
        <v/>
      </c>
      <c r="P926" s="52" t="str">
        <f>IF(AND($B926&gt;='111'!$N$11,$B926&lt;='111'!$O$11,OR($L926=$P$7,$M926=$P$7)),"x","")</f>
        <v>x</v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09"/>
    </row>
    <row r="927" spans="1:28" s="211" customFormat="1" ht="15.75" customHeight="1">
      <c r="A927" s="204" t="str">
        <f>IF(B927&lt;&gt;"",IF(AND(B927&gt;=_TM1,B927&lt;=_TM2,OR(TH!L927="1111",TH!M927="1111")),TH!D927,""),"")</f>
        <v/>
      </c>
      <c r="B927" s="36">
        <f t="shared" si="274"/>
        <v>9</v>
      </c>
      <c r="C927" s="191">
        <f t="shared" si="273"/>
        <v>41891</v>
      </c>
      <c r="D927" s="191" t="s">
        <v>899</v>
      </c>
      <c r="E927" s="184">
        <v>41891</v>
      </c>
      <c r="F927" s="192" t="s">
        <v>893</v>
      </c>
      <c r="G927" s="463" t="s">
        <v>326</v>
      </c>
      <c r="H927" s="844" t="s">
        <v>1073</v>
      </c>
      <c r="I927" s="251"/>
      <c r="J927" s="251"/>
      <c r="K927" s="563">
        <v>20000000</v>
      </c>
      <c r="L927" s="194" t="s">
        <v>8</v>
      </c>
      <c r="M927" s="194" t="s">
        <v>24</v>
      </c>
      <c r="N927" s="52" t="str">
        <f>IF(AND('331-CT'!$E$7=TH!H927,OR(L927="331",M927="331")),"331",IF(AND(OR(L927="131",M927="131"),H927='131-CT'!$E$7),"131",""))</f>
        <v/>
      </c>
      <c r="O927" s="89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0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274"/>
        <v>9</v>
      </c>
      <c r="C928" s="191">
        <f t="shared" si="273"/>
        <v>41891</v>
      </c>
      <c r="D928" s="191" t="s">
        <v>899</v>
      </c>
      <c r="E928" s="184">
        <v>41891</v>
      </c>
      <c r="F928" s="192" t="s">
        <v>893</v>
      </c>
      <c r="G928" s="463" t="s">
        <v>326</v>
      </c>
      <c r="H928" s="844" t="s">
        <v>1077</v>
      </c>
      <c r="I928" s="251"/>
      <c r="J928" s="251"/>
      <c r="K928" s="563">
        <v>20000000</v>
      </c>
      <c r="L928" s="194" t="s">
        <v>8</v>
      </c>
      <c r="M928" s="194" t="s">
        <v>24</v>
      </c>
      <c r="N928" s="52" t="str">
        <f>IF(AND('331-CT'!$E$7=TH!H928,OR(L928="331",M928="331")),"331",IF(AND(OR(L928="131",M928="131"),H928='131-CT'!$E$7),"131",""))</f>
        <v/>
      </c>
      <c r="O928" s="89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09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274"/>
        <v>9</v>
      </c>
      <c r="C929" s="191">
        <f t="shared" si="273"/>
        <v>41891</v>
      </c>
      <c r="D929" s="191" t="s">
        <v>899</v>
      </c>
      <c r="E929" s="184">
        <v>41891</v>
      </c>
      <c r="F929" s="189" t="s">
        <v>900</v>
      </c>
      <c r="G929" s="463" t="s">
        <v>326</v>
      </c>
      <c r="H929" s="7"/>
      <c r="I929" s="251"/>
      <c r="J929" s="251"/>
      <c r="K929" s="563">
        <v>15000</v>
      </c>
      <c r="L929" s="194" t="s">
        <v>83</v>
      </c>
      <c r="M929" s="194" t="s">
        <v>24</v>
      </c>
      <c r="N929" s="52" t="str">
        <f>IF(AND('331-CT'!$E$7=TH!H929,OR(L929="331",M929="331")),"331",IF(AND(OR(L929="131",M929="131"),H929='131-CT'!$E$7),"131",""))</f>
        <v/>
      </c>
      <c r="O929" s="89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>x</v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09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274"/>
        <v>9</v>
      </c>
      <c r="C930" s="191">
        <f t="shared" si="273"/>
        <v>41891</v>
      </c>
      <c r="D930" s="191" t="s">
        <v>899</v>
      </c>
      <c r="E930" s="184">
        <v>41891</v>
      </c>
      <c r="F930" s="189" t="s">
        <v>900</v>
      </c>
      <c r="G930" s="463" t="s">
        <v>326</v>
      </c>
      <c r="H930" s="7"/>
      <c r="I930" s="251"/>
      <c r="J930" s="251"/>
      <c r="K930" s="563">
        <v>15000</v>
      </c>
      <c r="L930" s="194" t="s">
        <v>83</v>
      </c>
      <c r="M930" s="194" t="s">
        <v>24</v>
      </c>
      <c r="N930" s="52" t="str">
        <f>IF(AND('331-CT'!$E$7=TH!H930,OR(L930="331",M930="331")),"331",IF(AND(OR(L930="131",M930="131"),H930='131-CT'!$E$7),"131",""))</f>
        <v/>
      </c>
      <c r="O930" s="89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>x</v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09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274"/>
        <v>9</v>
      </c>
      <c r="C931" s="191">
        <f t="shared" si="273"/>
        <v>41895</v>
      </c>
      <c r="D931" s="191" t="s">
        <v>899</v>
      </c>
      <c r="E931" s="184">
        <v>41895</v>
      </c>
      <c r="F931" s="192" t="s">
        <v>896</v>
      </c>
      <c r="G931" s="463" t="s">
        <v>326</v>
      </c>
      <c r="H931" s="193" t="s">
        <v>897</v>
      </c>
      <c r="I931" s="251"/>
      <c r="J931" s="251"/>
      <c r="K931" s="563">
        <v>62600000</v>
      </c>
      <c r="L931" s="194" t="s">
        <v>47</v>
      </c>
      <c r="M931" s="194" t="s">
        <v>24</v>
      </c>
      <c r="N931" s="52" t="str">
        <f>IF(AND('331-CT'!$E$7=TH!H931,OR(L931="331",M931="331")),"331",IF(AND(OR(L931="131",M931="131"),H931='131-CT'!$E$7),"131",""))</f>
        <v/>
      </c>
      <c r="O931" s="890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09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274"/>
        <v>9</v>
      </c>
      <c r="C932" s="191">
        <f t="shared" si="273"/>
        <v>41898</v>
      </c>
      <c r="D932" s="191" t="s">
        <v>899</v>
      </c>
      <c r="E932" s="184">
        <v>41898</v>
      </c>
      <c r="F932" s="192" t="s">
        <v>893</v>
      </c>
      <c r="G932" s="463" t="s">
        <v>326</v>
      </c>
      <c r="H932" s="844" t="s">
        <v>1073</v>
      </c>
      <c r="I932" s="251"/>
      <c r="J932" s="251"/>
      <c r="K932" s="563">
        <v>19985000</v>
      </c>
      <c r="L932" s="194" t="s">
        <v>8</v>
      </c>
      <c r="M932" s="194" t="s">
        <v>24</v>
      </c>
      <c r="N932" s="52" t="str">
        <f>IF(AND('331-CT'!$E$7=TH!H932,OR(L932="331",M932="331")),"331",IF(AND(OR(L932="131",M932="131"),H932='131-CT'!$E$7),"131",""))</f>
        <v/>
      </c>
      <c r="O932" s="89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09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274"/>
        <v>9</v>
      </c>
      <c r="C933" s="191">
        <f t="shared" si="273"/>
        <v>41898</v>
      </c>
      <c r="D933" s="191" t="s">
        <v>899</v>
      </c>
      <c r="E933" s="184">
        <v>41898</v>
      </c>
      <c r="F933" s="192" t="s">
        <v>893</v>
      </c>
      <c r="G933" s="463" t="s">
        <v>326</v>
      </c>
      <c r="H933" s="844" t="s">
        <v>1010</v>
      </c>
      <c r="I933" s="251"/>
      <c r="J933" s="251"/>
      <c r="K933" s="563">
        <v>39985000</v>
      </c>
      <c r="L933" s="194" t="s">
        <v>8</v>
      </c>
      <c r="M933" s="194" t="s">
        <v>24</v>
      </c>
      <c r="N933" s="52" t="str">
        <f>IF(AND('331-CT'!$E$7=TH!H933,OR(L933="331",M933="331")),"331",IF(AND(OR(L933="131",M933="131"),H933='131-CT'!$E$7),"131",""))</f>
        <v>331</v>
      </c>
      <c r="O933" s="89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09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274"/>
        <v>9</v>
      </c>
      <c r="C934" s="191">
        <f t="shared" si="273"/>
        <v>41898</v>
      </c>
      <c r="D934" s="191" t="s">
        <v>899</v>
      </c>
      <c r="E934" s="184">
        <v>41898</v>
      </c>
      <c r="F934" s="192" t="s">
        <v>896</v>
      </c>
      <c r="G934" s="463" t="s">
        <v>326</v>
      </c>
      <c r="H934" s="193" t="s">
        <v>897</v>
      </c>
      <c r="I934" s="251"/>
      <c r="J934" s="251"/>
      <c r="K934" s="563">
        <v>16800000</v>
      </c>
      <c r="L934" s="194" t="s">
        <v>47</v>
      </c>
      <c r="M934" s="194" t="s">
        <v>24</v>
      </c>
      <c r="N934" s="52" t="str">
        <f>IF(AND('331-CT'!$E$7=TH!H934,OR(L934="331",M934="331")),"331",IF(AND(OR(L934="131",M934="131"),H934='131-CT'!$E$7),"131",""))</f>
        <v/>
      </c>
      <c r="O934" s="890" t="str">
        <f>IF(AND('341-CT'!$E$9=H934,OR(LEFT(L934,3)=$O$7,LEFT(M934,3)=$O$7)),"x","")</f>
        <v/>
      </c>
      <c r="P934" s="52" t="str">
        <f>IF(AND($B934&gt;='111'!$N$11,$B934&lt;='111'!$O$11,OR($L934=$P$7,$M934=$P$7)),"x","")</f>
        <v>x</v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09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274"/>
        <v>9</v>
      </c>
      <c r="C935" s="191">
        <f t="shared" si="273"/>
        <v>41898</v>
      </c>
      <c r="D935" s="191" t="s">
        <v>899</v>
      </c>
      <c r="E935" s="184">
        <v>41898</v>
      </c>
      <c r="F935" s="189" t="s">
        <v>900</v>
      </c>
      <c r="G935" s="463" t="s">
        <v>326</v>
      </c>
      <c r="H935" s="7"/>
      <c r="I935" s="251"/>
      <c r="J935" s="251"/>
      <c r="K935" s="563">
        <v>15000</v>
      </c>
      <c r="L935" s="194" t="s">
        <v>83</v>
      </c>
      <c r="M935" s="194" t="s">
        <v>24</v>
      </c>
      <c r="N935" s="52" t="str">
        <f>IF(AND('331-CT'!$E$7=TH!H935,OR(L935="331",M935="331")),"331",IF(AND(OR(L935="131",M935="131"),H935='131-CT'!$E$7),"131",""))</f>
        <v/>
      </c>
      <c r="O935" s="89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>x</v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09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274"/>
        <v>9</v>
      </c>
      <c r="C936" s="191">
        <f t="shared" si="273"/>
        <v>41898</v>
      </c>
      <c r="D936" s="191" t="s">
        <v>899</v>
      </c>
      <c r="E936" s="184">
        <v>41898</v>
      </c>
      <c r="F936" s="189" t="s">
        <v>900</v>
      </c>
      <c r="G936" s="463" t="s">
        <v>326</v>
      </c>
      <c r="H936" s="7"/>
      <c r="I936" s="251"/>
      <c r="J936" s="251"/>
      <c r="K936" s="563">
        <v>15000</v>
      </c>
      <c r="L936" s="194" t="s">
        <v>83</v>
      </c>
      <c r="M936" s="194" t="s">
        <v>24</v>
      </c>
      <c r="N936" s="52" t="str">
        <f>IF(AND('331-CT'!$E$7=TH!H936,OR(L936="331",M936="331")),"331",IF(AND(OR(L936="131",M936="131"),H936='131-CT'!$E$7),"131",""))</f>
        <v/>
      </c>
      <c r="O936" s="89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>x</v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09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274"/>
        <v>9</v>
      </c>
      <c r="C937" s="191">
        <f t="shared" si="273"/>
        <v>41906</v>
      </c>
      <c r="D937" s="191" t="s">
        <v>899</v>
      </c>
      <c r="E937" s="184">
        <v>41906</v>
      </c>
      <c r="F937" s="192" t="s">
        <v>896</v>
      </c>
      <c r="G937" s="463" t="s">
        <v>326</v>
      </c>
      <c r="H937" s="193" t="s">
        <v>897</v>
      </c>
      <c r="I937" s="251"/>
      <c r="J937" s="251"/>
      <c r="K937" s="563">
        <v>11500000</v>
      </c>
      <c r="L937" s="194" t="s">
        <v>47</v>
      </c>
      <c r="M937" s="194" t="s">
        <v>24</v>
      </c>
      <c r="N937" s="52" t="str">
        <f>IF(AND('331-CT'!$E$7=TH!H937,OR(L937="331",M937="331")),"331",IF(AND(OR(L937="131",M937="131"),H937='131-CT'!$E$7),"131",""))</f>
        <v/>
      </c>
      <c r="O937" s="890" t="str">
        <f>IF(AND('341-CT'!$E$9=H937,OR(LEFT(L937,3)=$O$7,LEFT(M937,3)=$O$7)),"x","")</f>
        <v/>
      </c>
      <c r="P937" s="52" t="str">
        <f>IF(AND($B937&gt;='111'!$N$11,$B937&lt;='111'!$O$11,OR($L937=$P$7,$M937=$P$7)),"x","")</f>
        <v>x</v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09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274"/>
        <v>9</v>
      </c>
      <c r="C938" s="191">
        <f t="shared" si="273"/>
        <v>41906</v>
      </c>
      <c r="D938" s="191" t="s">
        <v>899</v>
      </c>
      <c r="E938" s="184">
        <v>41906</v>
      </c>
      <c r="F938" s="192" t="s">
        <v>893</v>
      </c>
      <c r="G938" s="463" t="s">
        <v>326</v>
      </c>
      <c r="H938" s="7" t="s">
        <v>1139</v>
      </c>
      <c r="I938" s="251"/>
      <c r="J938" s="251"/>
      <c r="K938" s="563">
        <v>11000000</v>
      </c>
      <c r="L938" s="194" t="s">
        <v>8</v>
      </c>
      <c r="M938" s="194" t="s">
        <v>24</v>
      </c>
      <c r="N938" s="52" t="str">
        <f>IF(AND('331-CT'!$E$7=TH!H938,OR(L938="331",M938="331")),"331",IF(AND(OR(L938="131",M938="131"),H938='131-CT'!$E$7),"131",""))</f>
        <v/>
      </c>
      <c r="O938" s="89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09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274"/>
        <v>9</v>
      </c>
      <c r="C939" s="191">
        <f t="shared" si="273"/>
        <v>41906</v>
      </c>
      <c r="D939" s="191" t="s">
        <v>899</v>
      </c>
      <c r="E939" s="184">
        <v>41906</v>
      </c>
      <c r="F939" s="192" t="s">
        <v>893</v>
      </c>
      <c r="G939" s="463" t="s">
        <v>326</v>
      </c>
      <c r="H939" s="7" t="s">
        <v>1077</v>
      </c>
      <c r="I939" s="251"/>
      <c r="J939" s="251"/>
      <c r="K939" s="563">
        <v>11000000</v>
      </c>
      <c r="L939" s="194" t="s">
        <v>8</v>
      </c>
      <c r="M939" s="194" t="s">
        <v>24</v>
      </c>
      <c r="N939" s="52" t="str">
        <f>IF(AND('331-CT'!$E$7=TH!H939,OR(L939="331",M939="331")),"331",IF(AND(OR(L939="131",M939="131"),H939='131-CT'!$E$7),"131",""))</f>
        <v/>
      </c>
      <c r="O939" s="89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09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274"/>
        <v>9</v>
      </c>
      <c r="C940" s="191">
        <f t="shared" si="273"/>
        <v>41906</v>
      </c>
      <c r="D940" s="191" t="s">
        <v>899</v>
      </c>
      <c r="E940" s="184">
        <v>41906</v>
      </c>
      <c r="F940" s="189" t="s">
        <v>900</v>
      </c>
      <c r="G940" s="463" t="s">
        <v>326</v>
      </c>
      <c r="H940" s="7"/>
      <c r="I940" s="251"/>
      <c r="J940" s="251"/>
      <c r="K940" s="563">
        <v>20000</v>
      </c>
      <c r="L940" s="194" t="s">
        <v>83</v>
      </c>
      <c r="M940" s="194" t="s">
        <v>24</v>
      </c>
      <c r="N940" s="52" t="str">
        <f>IF(AND('331-CT'!$E$7=TH!H940,OR(L940="331",M940="331")),"331",IF(AND(OR(L940="131",M940="131"),H940='131-CT'!$E$7),"131",""))</f>
        <v/>
      </c>
      <c r="O940" s="89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>x</v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09"/>
    </row>
    <row r="941" spans="1:28" s="211" customFormat="1" ht="15.75" customHeight="1">
      <c r="A941" s="204" t="str">
        <f>IF(B941&lt;&gt;"",IF(AND(B941&gt;=_TM1,B941&lt;=_TM2,OR(TH!L941="1111",TH!M941="1111")),TH!D941,""),"")</f>
        <v>GBN</v>
      </c>
      <c r="B941" s="36">
        <f t="shared" si="274"/>
        <v>10</v>
      </c>
      <c r="C941" s="191">
        <f t="shared" si="273"/>
        <v>41914</v>
      </c>
      <c r="D941" s="191" t="s">
        <v>899</v>
      </c>
      <c r="E941" s="184">
        <v>41914</v>
      </c>
      <c r="F941" s="192" t="s">
        <v>896</v>
      </c>
      <c r="G941" s="463" t="s">
        <v>326</v>
      </c>
      <c r="H941" s="193" t="s">
        <v>897</v>
      </c>
      <c r="I941" s="251"/>
      <c r="J941" s="251"/>
      <c r="K941" s="563">
        <v>45000000</v>
      </c>
      <c r="L941" s="194" t="s">
        <v>47</v>
      </c>
      <c r="M941" s="194" t="s">
        <v>24</v>
      </c>
      <c r="N941" s="52" t="str">
        <f>IF(AND('331-CT'!$E$7=TH!H941,OR(L941="331",M941="331")),"331",IF(AND(OR(L941="131",M941="131"),H941='131-CT'!$E$7),"131",""))</f>
        <v/>
      </c>
      <c r="O941" s="89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09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274"/>
        <v>10</v>
      </c>
      <c r="C942" s="191">
        <f t="shared" si="273"/>
        <v>41914</v>
      </c>
      <c r="D942" s="191" t="s">
        <v>899</v>
      </c>
      <c r="E942" s="184">
        <v>41914</v>
      </c>
      <c r="F942" s="189" t="s">
        <v>893</v>
      </c>
      <c r="G942" s="463" t="s">
        <v>326</v>
      </c>
      <c r="H942" s="210"/>
      <c r="I942" s="251"/>
      <c r="J942" s="251"/>
      <c r="K942" s="563">
        <v>15000000</v>
      </c>
      <c r="L942" s="194" t="s">
        <v>56</v>
      </c>
      <c r="M942" s="194" t="s">
        <v>24</v>
      </c>
      <c r="N942" s="52" t="str">
        <f>IF(AND('331-CT'!$E$7=TH!H942,OR(L942="331",M942="331")),"331",IF(AND(OR(L942="131",M942="131"),H942='131-CT'!$E$7),"131",""))</f>
        <v/>
      </c>
      <c r="O942" s="89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09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274"/>
        <v>10</v>
      </c>
      <c r="C943" s="191">
        <f t="shared" si="273"/>
        <v>41914</v>
      </c>
      <c r="D943" s="191" t="s">
        <v>899</v>
      </c>
      <c r="E943" s="184">
        <v>41914</v>
      </c>
      <c r="F943" s="189" t="s">
        <v>900</v>
      </c>
      <c r="G943" s="463" t="s">
        <v>326</v>
      </c>
      <c r="H943" s="210"/>
      <c r="I943" s="251"/>
      <c r="J943" s="251"/>
      <c r="K943" s="563">
        <v>15000</v>
      </c>
      <c r="L943" s="194" t="s">
        <v>83</v>
      </c>
      <c r="M943" s="194" t="s">
        <v>24</v>
      </c>
      <c r="N943" s="52" t="str">
        <f>IF(AND('331-CT'!$E$7=TH!H943,OR(L943="331",M943="331")),"331",IF(AND(OR(L943="131",M943="131"),H943='131-CT'!$E$7),"131",""))</f>
        <v/>
      </c>
      <c r="O943" s="89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>x</v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09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274"/>
        <v>10</v>
      </c>
      <c r="C944" s="191">
        <f t="shared" si="273"/>
        <v>41919</v>
      </c>
      <c r="D944" s="191" t="s">
        <v>892</v>
      </c>
      <c r="E944" s="184">
        <v>41919</v>
      </c>
      <c r="F944" s="192" t="s">
        <v>894</v>
      </c>
      <c r="G944" s="463" t="s">
        <v>326</v>
      </c>
      <c r="H944" s="7" t="s">
        <v>602</v>
      </c>
      <c r="I944" s="251"/>
      <c r="J944" s="251"/>
      <c r="K944" s="563">
        <v>26131581</v>
      </c>
      <c r="L944" s="194" t="s">
        <v>24</v>
      </c>
      <c r="M944" s="194" t="s">
        <v>253</v>
      </c>
      <c r="N944" s="52" t="str">
        <f>IF(AND('331-CT'!$E$7=TH!H944,OR(L944="331",M944="331")),"331",IF(AND(OR(L944="131",M944="131"),H944='131-CT'!$E$7),"131",""))</f>
        <v/>
      </c>
      <c r="O944" s="89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09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274"/>
        <v>10</v>
      </c>
      <c r="C945" s="191">
        <f t="shared" si="273"/>
        <v>41919</v>
      </c>
      <c r="D945" s="191" t="s">
        <v>892</v>
      </c>
      <c r="E945" s="184">
        <v>41919</v>
      </c>
      <c r="F945" s="192" t="s">
        <v>894</v>
      </c>
      <c r="G945" s="463" t="s">
        <v>326</v>
      </c>
      <c r="H945" s="7" t="s">
        <v>684</v>
      </c>
      <c r="I945" s="251"/>
      <c r="J945" s="251"/>
      <c r="K945" s="563">
        <v>26397008</v>
      </c>
      <c r="L945" s="194" t="s">
        <v>24</v>
      </c>
      <c r="M945" s="194" t="s">
        <v>253</v>
      </c>
      <c r="N945" s="52" t="str">
        <f>IF(AND('331-CT'!$E$7=TH!H945,OR(L945="331",M945="331")),"331",IF(AND(OR(L945="131",M945="131"),H945='131-CT'!$E$7),"131",""))</f>
        <v/>
      </c>
      <c r="O945" s="89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09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274"/>
        <v>10</v>
      </c>
      <c r="C946" s="191">
        <f t="shared" si="273"/>
        <v>41929</v>
      </c>
      <c r="D946" s="191" t="s">
        <v>892</v>
      </c>
      <c r="E946" s="184">
        <v>41929</v>
      </c>
      <c r="F946" s="192" t="s">
        <v>894</v>
      </c>
      <c r="G946" s="463" t="s">
        <v>326</v>
      </c>
      <c r="H946" s="7" t="s">
        <v>907</v>
      </c>
      <c r="I946" s="251"/>
      <c r="J946" s="251"/>
      <c r="K946" s="563">
        <v>10146840</v>
      </c>
      <c r="L946" s="194" t="s">
        <v>24</v>
      </c>
      <c r="M946" s="194" t="s">
        <v>253</v>
      </c>
      <c r="N946" s="52" t="str">
        <f>IF(AND('331-CT'!$E$7=TH!H946,OR(L946="331",M946="331")),"331",IF(AND(OR(L946="131",M946="131"),H946='131-CT'!$E$7),"131",""))</f>
        <v/>
      </c>
      <c r="O946" s="89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09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274"/>
        <v>10</v>
      </c>
      <c r="C947" s="191">
        <f t="shared" si="273"/>
        <v>41932</v>
      </c>
      <c r="D947" s="191" t="s">
        <v>892</v>
      </c>
      <c r="E947" s="184">
        <v>41932</v>
      </c>
      <c r="F947" s="192" t="s">
        <v>894</v>
      </c>
      <c r="G947" s="463" t="s">
        <v>326</v>
      </c>
      <c r="H947" s="7" t="s">
        <v>602</v>
      </c>
      <c r="I947" s="251"/>
      <c r="J947" s="251"/>
      <c r="K947" s="563">
        <v>60498900</v>
      </c>
      <c r="L947" s="194" t="s">
        <v>24</v>
      </c>
      <c r="M947" s="194" t="s">
        <v>253</v>
      </c>
      <c r="N947" s="52" t="str">
        <f>IF(AND('331-CT'!$E$7=TH!H947,OR(L947="331",M947="331")),"331",IF(AND(OR(L947="131",M947="131"),H947='131-CT'!$E$7),"131",""))</f>
        <v/>
      </c>
      <c r="O947" s="89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09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274"/>
        <v>10</v>
      </c>
      <c r="C948" s="191">
        <f t="shared" si="273"/>
        <v>41937</v>
      </c>
      <c r="D948" s="191" t="s">
        <v>892</v>
      </c>
      <c r="E948" s="184">
        <v>41937</v>
      </c>
      <c r="F948" s="192" t="s">
        <v>895</v>
      </c>
      <c r="G948" s="463" t="s">
        <v>326</v>
      </c>
      <c r="H948" s="7"/>
      <c r="I948" s="251"/>
      <c r="J948" s="251"/>
      <c r="K948" s="563">
        <v>8969</v>
      </c>
      <c r="L948" s="194" t="s">
        <v>24</v>
      </c>
      <c r="M948" s="194" t="s">
        <v>40</v>
      </c>
      <c r="N948" s="52" t="str">
        <f>IF(AND('331-CT'!$E$7=TH!H948,OR(L948="331",M948="331")),"331",IF(AND(OR(L948="131",M948="131"),H948='131-CT'!$E$7),"131",""))</f>
        <v/>
      </c>
      <c r="O948" s="89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09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274"/>
        <v>10</v>
      </c>
      <c r="C949" s="191">
        <f t="shared" si="273"/>
        <v>41940</v>
      </c>
      <c r="D949" s="191" t="s">
        <v>892</v>
      </c>
      <c r="E949" s="184">
        <v>41940</v>
      </c>
      <c r="F949" s="192" t="s">
        <v>894</v>
      </c>
      <c r="G949" s="463" t="s">
        <v>326</v>
      </c>
      <c r="H949" s="45" t="s">
        <v>469</v>
      </c>
      <c r="I949" s="251"/>
      <c r="J949" s="251"/>
      <c r="K949" s="563">
        <v>6080690</v>
      </c>
      <c r="L949" s="194" t="s">
        <v>24</v>
      </c>
      <c r="M949" s="194" t="s">
        <v>253</v>
      </c>
      <c r="N949" s="52" t="str">
        <f>IF(AND('331-CT'!$E$7=TH!H949,OR(L949="331",M949="331")),"331",IF(AND(OR(L949="131",M949="131"),H949='131-CT'!$E$7),"131",""))</f>
        <v/>
      </c>
      <c r="O949" s="89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09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274"/>
        <v>10</v>
      </c>
      <c r="C950" s="191">
        <f t="shared" si="273"/>
        <v>41916</v>
      </c>
      <c r="D950" s="191" t="s">
        <v>899</v>
      </c>
      <c r="E950" s="184">
        <v>41916</v>
      </c>
      <c r="F950" s="192" t="s">
        <v>893</v>
      </c>
      <c r="G950" s="463" t="s">
        <v>326</v>
      </c>
      <c r="H950" s="844" t="s">
        <v>1050</v>
      </c>
      <c r="I950" s="251"/>
      <c r="J950" s="251"/>
      <c r="K950" s="563">
        <v>15000000</v>
      </c>
      <c r="L950" s="194" t="s">
        <v>8</v>
      </c>
      <c r="M950" s="194" t="s">
        <v>24</v>
      </c>
      <c r="N950" s="52" t="str">
        <f>IF(AND('331-CT'!$E$7=TH!H950,OR(L950="331",M950="331")),"331",IF(AND(OR(L950="131",M950="131"),H950='131-CT'!$E$7),"131",""))</f>
        <v/>
      </c>
      <c r="O950" s="89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09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274"/>
        <v>10</v>
      </c>
      <c r="C951" s="191">
        <f t="shared" si="273"/>
        <v>41916</v>
      </c>
      <c r="D951" s="191" t="s">
        <v>899</v>
      </c>
      <c r="E951" s="184">
        <v>41916</v>
      </c>
      <c r="F951" s="189" t="s">
        <v>900</v>
      </c>
      <c r="G951" s="463" t="s">
        <v>326</v>
      </c>
      <c r="H951" s="7"/>
      <c r="I951" s="251"/>
      <c r="J951" s="251"/>
      <c r="K951" s="563">
        <v>15000</v>
      </c>
      <c r="L951" s="194" t="s">
        <v>83</v>
      </c>
      <c r="M951" s="194" t="s">
        <v>24</v>
      </c>
      <c r="N951" s="52" t="str">
        <f>IF(AND('331-CT'!$E$7=TH!H951,OR(L951="331",M951="331")),"331",IF(AND(OR(L951="131",M951="131"),H951='131-CT'!$E$7),"131",""))</f>
        <v/>
      </c>
      <c r="O951" s="89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>x</v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09"/>
    </row>
    <row r="952" spans="1:28" s="211" customFormat="1" ht="15.75" customHeight="1">
      <c r="A952" s="204" t="str">
        <f>IF(B952&lt;&gt;"",IF(AND(B952&gt;=_TM1,B952&lt;=_TM2,OR(TH!L952="1111",TH!M952="1111")),TH!D952,""),"")</f>
        <v>GBN</v>
      </c>
      <c r="B952" s="36">
        <f t="shared" si="274"/>
        <v>10</v>
      </c>
      <c r="C952" s="191">
        <f t="shared" si="273"/>
        <v>41920</v>
      </c>
      <c r="D952" s="191" t="s">
        <v>899</v>
      </c>
      <c r="E952" s="184">
        <v>41920</v>
      </c>
      <c r="F952" s="192" t="s">
        <v>896</v>
      </c>
      <c r="G952" s="463" t="s">
        <v>326</v>
      </c>
      <c r="H952" s="193" t="s">
        <v>897</v>
      </c>
      <c r="I952" s="251"/>
      <c r="J952" s="251"/>
      <c r="K952" s="563">
        <v>52500000</v>
      </c>
      <c r="L952" s="194" t="s">
        <v>47</v>
      </c>
      <c r="M952" s="194" t="s">
        <v>24</v>
      </c>
      <c r="N952" s="52" t="str">
        <f>IF(AND('331-CT'!$E$7=TH!H952,OR(L952="331",M952="331")),"331",IF(AND(OR(L952="131",M952="131"),H952='131-CT'!$E$7),"131",""))</f>
        <v/>
      </c>
      <c r="O952" s="89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09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274"/>
        <v>10</v>
      </c>
      <c r="C953" s="191">
        <f t="shared" si="273"/>
        <v>41933</v>
      </c>
      <c r="D953" s="191" t="s">
        <v>899</v>
      </c>
      <c r="E953" s="184">
        <v>41933</v>
      </c>
      <c r="F953" s="192" t="s">
        <v>893</v>
      </c>
      <c r="G953" s="463" t="s">
        <v>326</v>
      </c>
      <c r="H953" s="7" t="s">
        <v>1077</v>
      </c>
      <c r="I953" s="251"/>
      <c r="J953" s="251"/>
      <c r="K953" s="563">
        <v>10000000</v>
      </c>
      <c r="L953" s="194" t="s">
        <v>8</v>
      </c>
      <c r="M953" s="194" t="s">
        <v>24</v>
      </c>
      <c r="N953" s="52" t="str">
        <f>IF(AND('331-CT'!$E$7=TH!H953,OR(L953="331",M953="331")),"331",IF(AND(OR(L953="131",M953="131"),H953='131-CT'!$E$7),"131",""))</f>
        <v/>
      </c>
      <c r="O953" s="89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09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274"/>
        <v>10</v>
      </c>
      <c r="C954" s="191">
        <f t="shared" si="273"/>
        <v>41933</v>
      </c>
      <c r="D954" s="191" t="s">
        <v>899</v>
      </c>
      <c r="E954" s="184">
        <v>41933</v>
      </c>
      <c r="F954" s="192" t="s">
        <v>893</v>
      </c>
      <c r="G954" s="463" t="s">
        <v>326</v>
      </c>
      <c r="H954" s="7" t="s">
        <v>1073</v>
      </c>
      <c r="I954" s="251"/>
      <c r="J954" s="251"/>
      <c r="K954" s="563">
        <v>20000000</v>
      </c>
      <c r="L954" s="194" t="s">
        <v>8</v>
      </c>
      <c r="M954" s="194" t="s">
        <v>24</v>
      </c>
      <c r="N954" s="52" t="str">
        <f>IF(AND('331-CT'!$E$7=TH!H954,OR(L954="331",M954="331")),"331",IF(AND(OR(L954="131",M954="131"),H954='131-CT'!$E$7),"131",""))</f>
        <v/>
      </c>
      <c r="O954" s="89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09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274"/>
        <v>10</v>
      </c>
      <c r="C955" s="191">
        <f t="shared" si="273"/>
        <v>41933</v>
      </c>
      <c r="D955" s="191" t="s">
        <v>899</v>
      </c>
      <c r="E955" s="184">
        <v>41933</v>
      </c>
      <c r="F955" s="189" t="s">
        <v>900</v>
      </c>
      <c r="G955" s="463" t="s">
        <v>326</v>
      </c>
      <c r="H955" s="7"/>
      <c r="I955" s="251"/>
      <c r="J955" s="251"/>
      <c r="K955" s="563">
        <v>15000</v>
      </c>
      <c r="L955" s="194" t="s">
        <v>83</v>
      </c>
      <c r="M955" s="194" t="s">
        <v>24</v>
      </c>
      <c r="N955" s="52" t="str">
        <f>IF(AND('331-CT'!$E$7=TH!H955,OR(L955="331",M955="331")),"331",IF(AND(OR(L955="131",M955="131"),H955='131-CT'!$E$7),"131",""))</f>
        <v/>
      </c>
      <c r="O955" s="89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>x</v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09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274"/>
        <v>10</v>
      </c>
      <c r="C956" s="191">
        <f t="shared" si="273"/>
        <v>41933</v>
      </c>
      <c r="D956" s="191" t="s">
        <v>899</v>
      </c>
      <c r="E956" s="184">
        <v>41933</v>
      </c>
      <c r="F956" s="192" t="s">
        <v>893</v>
      </c>
      <c r="G956" s="463" t="s">
        <v>326</v>
      </c>
      <c r="H956" s="7" t="s">
        <v>1010</v>
      </c>
      <c r="I956" s="251"/>
      <c r="J956" s="251"/>
      <c r="K956" s="563">
        <v>20000000</v>
      </c>
      <c r="L956" s="194" t="s">
        <v>8</v>
      </c>
      <c r="M956" s="194" t="s">
        <v>24</v>
      </c>
      <c r="N956" s="52" t="str">
        <f>IF(AND('331-CT'!$E$7=TH!H956,OR(L956="331",M956="331")),"331",IF(AND(OR(L956="131",M956="131"),H956='131-CT'!$E$7),"131",""))</f>
        <v>331</v>
      </c>
      <c r="O956" s="89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09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274"/>
        <v>10</v>
      </c>
      <c r="C957" s="191">
        <f t="shared" si="273"/>
        <v>41933</v>
      </c>
      <c r="D957" s="191" t="s">
        <v>899</v>
      </c>
      <c r="E957" s="184">
        <v>41933</v>
      </c>
      <c r="F957" s="189" t="s">
        <v>900</v>
      </c>
      <c r="G957" s="463" t="s">
        <v>326</v>
      </c>
      <c r="H957" s="7"/>
      <c r="I957" s="251"/>
      <c r="J957" s="251"/>
      <c r="K957" s="563">
        <v>15000</v>
      </c>
      <c r="L957" s="194" t="s">
        <v>83</v>
      </c>
      <c r="M957" s="194" t="s">
        <v>24</v>
      </c>
      <c r="N957" s="52" t="str">
        <f>IF(AND('331-CT'!$E$7=TH!H957,OR(L957="331",M957="331")),"331",IF(AND(OR(L957="131",M957="131"),H957='131-CT'!$E$7),"131",""))</f>
        <v/>
      </c>
      <c r="O957" s="89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>x</v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09"/>
    </row>
    <row r="958" spans="1:28" s="211" customFormat="1" ht="15.75" customHeight="1">
      <c r="A958" s="204" t="str">
        <f>IF(B958&lt;&gt;"",IF(AND(B958&gt;=_TM1,B958&lt;=_TM2,OR(TH!L958="1111",TH!M958="1111")),TH!D958,""),"")</f>
        <v>GBN</v>
      </c>
      <c r="B958" s="36">
        <f t="shared" si="274"/>
        <v>10</v>
      </c>
      <c r="C958" s="191">
        <f t="shared" si="273"/>
        <v>41933</v>
      </c>
      <c r="D958" s="191" t="s">
        <v>899</v>
      </c>
      <c r="E958" s="184">
        <v>41933</v>
      </c>
      <c r="F958" s="192" t="s">
        <v>896</v>
      </c>
      <c r="G958" s="463" t="s">
        <v>326</v>
      </c>
      <c r="H958" s="193" t="s">
        <v>897</v>
      </c>
      <c r="I958" s="251"/>
      <c r="J958" s="251"/>
      <c r="K958" s="563">
        <v>20700000</v>
      </c>
      <c r="L958" s="194" t="s">
        <v>47</v>
      </c>
      <c r="M958" s="194" t="s">
        <v>24</v>
      </c>
      <c r="N958" s="52" t="str">
        <f>IF(AND('331-CT'!$E$7=TH!H958,OR(L958="331",M958="331")),"331",IF(AND(OR(L958="131",M958="131"),H958='131-CT'!$E$7),"131",""))</f>
        <v/>
      </c>
      <c r="O958" s="89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09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274"/>
        <v>11</v>
      </c>
      <c r="C959" s="191">
        <f t="shared" ref="C959" si="275">E959</f>
        <v>41946</v>
      </c>
      <c r="D959" s="191" t="s">
        <v>892</v>
      </c>
      <c r="E959" s="184">
        <v>41946</v>
      </c>
      <c r="F959" s="192" t="s">
        <v>894</v>
      </c>
      <c r="G959" s="463" t="s">
        <v>326</v>
      </c>
      <c r="H959" s="7" t="s">
        <v>908</v>
      </c>
      <c r="I959" s="251"/>
      <c r="J959" s="251"/>
      <c r="K959" s="563">
        <v>13109800</v>
      </c>
      <c r="L959" s="39" t="s">
        <v>24</v>
      </c>
      <c r="M959" s="194" t="s">
        <v>253</v>
      </c>
      <c r="N959" s="52" t="str">
        <f>IF(AND('331-CT'!$E$7=TH!H959,OR(L959="331",M959="331")),"331",IF(AND(OR(L959="131",M959="131"),H959='131-CT'!$E$7),"131",""))</f>
        <v/>
      </c>
      <c r="O959" s="89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09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si="274"/>
        <v>11</v>
      </c>
      <c r="C960" s="191">
        <f t="shared" ref="C960:C972" si="276">E960</f>
        <v>41946</v>
      </c>
      <c r="D960" s="191" t="s">
        <v>892</v>
      </c>
      <c r="E960" s="184">
        <v>41946</v>
      </c>
      <c r="F960" s="192" t="s">
        <v>894</v>
      </c>
      <c r="G960" s="463" t="s">
        <v>326</v>
      </c>
      <c r="H960" s="44" t="s">
        <v>582</v>
      </c>
      <c r="I960" s="251"/>
      <c r="J960" s="251"/>
      <c r="K960" s="563">
        <v>27371135</v>
      </c>
      <c r="L960" s="39" t="s">
        <v>24</v>
      </c>
      <c r="M960" s="194" t="s">
        <v>253</v>
      </c>
      <c r="N960" s="52" t="str">
        <f>IF(AND('331-CT'!$E$7=TH!H960,OR(L960="331",M960="331")),"331",IF(AND(OR(L960="131",M960="131"),H960='131-CT'!$E$7),"131",""))</f>
        <v/>
      </c>
      <c r="O960" s="89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09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274"/>
        <v>11</v>
      </c>
      <c r="C961" s="191">
        <f t="shared" si="276"/>
        <v>41947</v>
      </c>
      <c r="D961" s="191" t="s">
        <v>892</v>
      </c>
      <c r="E961" s="184">
        <v>41947</v>
      </c>
      <c r="F961" s="192" t="s">
        <v>894</v>
      </c>
      <c r="G961" s="463" t="s">
        <v>326</v>
      </c>
      <c r="H961" s="7" t="s">
        <v>654</v>
      </c>
      <c r="I961" s="251"/>
      <c r="J961" s="251"/>
      <c r="K961" s="563">
        <v>33211200</v>
      </c>
      <c r="L961" s="39" t="s">
        <v>24</v>
      </c>
      <c r="M961" s="194" t="s">
        <v>253</v>
      </c>
      <c r="N961" s="52" t="str">
        <f>IF(AND('331-CT'!$E$7=TH!H961,OR(L961="331",M961="331")),"331",IF(AND(OR(L961="131",M961="131"),H961='131-CT'!$E$7),"131",""))</f>
        <v/>
      </c>
      <c r="O961" s="89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09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274"/>
        <v>11</v>
      </c>
      <c r="C962" s="191">
        <f t="shared" si="276"/>
        <v>41948</v>
      </c>
      <c r="D962" s="191" t="s">
        <v>892</v>
      </c>
      <c r="E962" s="184">
        <v>41948</v>
      </c>
      <c r="F962" s="192" t="s">
        <v>894</v>
      </c>
      <c r="G962" s="463" t="s">
        <v>326</v>
      </c>
      <c r="H962" s="7" t="s">
        <v>684</v>
      </c>
      <c r="I962" s="251"/>
      <c r="J962" s="251"/>
      <c r="K962" s="563">
        <v>14537776</v>
      </c>
      <c r="L962" s="39" t="s">
        <v>24</v>
      </c>
      <c r="M962" s="194" t="s">
        <v>253</v>
      </c>
      <c r="N962" s="52" t="str">
        <f>IF(AND('331-CT'!$E$7=TH!H962,OR(L962="331",M962="331")),"331",IF(AND(OR(L962="131",M962="131"),H962='131-CT'!$E$7),"131",""))</f>
        <v/>
      </c>
      <c r="O962" s="89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09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274"/>
        <v>11</v>
      </c>
      <c r="C963" s="191">
        <f t="shared" si="276"/>
        <v>41950</v>
      </c>
      <c r="D963" s="191" t="s">
        <v>892</v>
      </c>
      <c r="E963" s="184">
        <v>41950</v>
      </c>
      <c r="F963" s="192" t="s">
        <v>894</v>
      </c>
      <c r="G963" s="463" t="s">
        <v>326</v>
      </c>
      <c r="H963" s="7" t="s">
        <v>641</v>
      </c>
      <c r="I963" s="251"/>
      <c r="J963" s="251"/>
      <c r="K963" s="563">
        <v>28910530</v>
      </c>
      <c r="L963" s="39" t="s">
        <v>24</v>
      </c>
      <c r="M963" s="194" t="s">
        <v>253</v>
      </c>
      <c r="N963" s="52" t="str">
        <f>IF(AND('331-CT'!$E$7=TH!H963,OR(L963="331",M963="331")),"331",IF(AND(OR(L963="131",M963="131"),H963='131-CT'!$E$7),"131",""))</f>
        <v/>
      </c>
      <c r="O963" s="89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09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274"/>
        <v>11</v>
      </c>
      <c r="C964" s="191">
        <f t="shared" si="276"/>
        <v>41950</v>
      </c>
      <c r="D964" s="191" t="s">
        <v>892</v>
      </c>
      <c r="E964" s="184">
        <v>41950</v>
      </c>
      <c r="F964" s="192" t="s">
        <v>894</v>
      </c>
      <c r="G964" s="463" t="s">
        <v>326</v>
      </c>
      <c r="H964" s="7" t="s">
        <v>906</v>
      </c>
      <c r="I964" s="251"/>
      <c r="J964" s="251"/>
      <c r="K964" s="563">
        <v>11322850</v>
      </c>
      <c r="L964" s="39" t="s">
        <v>24</v>
      </c>
      <c r="M964" s="194" t="s">
        <v>253</v>
      </c>
      <c r="N964" s="52" t="str">
        <f>IF(AND('331-CT'!$E$7=TH!H964,OR(L964="331",M964="331")),"331",IF(AND(OR(L964="131",M964="131"),H964='131-CT'!$E$7),"131",""))</f>
        <v/>
      </c>
      <c r="O964" s="89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09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274"/>
        <v>11</v>
      </c>
      <c r="C965" s="191">
        <f t="shared" si="276"/>
        <v>41954</v>
      </c>
      <c r="D965" s="191" t="s">
        <v>892</v>
      </c>
      <c r="E965" s="184">
        <v>41954</v>
      </c>
      <c r="F965" s="192" t="s">
        <v>894</v>
      </c>
      <c r="G965" s="463" t="s">
        <v>326</v>
      </c>
      <c r="H965" s="7" t="s">
        <v>602</v>
      </c>
      <c r="I965" s="251"/>
      <c r="J965" s="251"/>
      <c r="K965" s="563">
        <v>30000000</v>
      </c>
      <c r="L965" s="39" t="s">
        <v>24</v>
      </c>
      <c r="M965" s="194" t="s">
        <v>253</v>
      </c>
      <c r="N965" s="52" t="str">
        <f>IF(AND('331-CT'!$E$7=TH!H965,OR(L965="331",M965="331")),"331",IF(AND(OR(L965="131",M965="131"),H965='131-CT'!$E$7),"131",""))</f>
        <v/>
      </c>
      <c r="O965" s="89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09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274"/>
        <v>11</v>
      </c>
      <c r="C966" s="191">
        <f t="shared" si="276"/>
        <v>41956</v>
      </c>
      <c r="D966" s="191" t="s">
        <v>892</v>
      </c>
      <c r="E966" s="184">
        <v>41956</v>
      </c>
      <c r="F966" s="192" t="s">
        <v>894</v>
      </c>
      <c r="G966" s="463" t="s">
        <v>326</v>
      </c>
      <c r="H966" s="7" t="s">
        <v>908</v>
      </c>
      <c r="I966" s="251"/>
      <c r="J966" s="251"/>
      <c r="K966" s="563">
        <v>26336200</v>
      </c>
      <c r="L966" s="39" t="s">
        <v>24</v>
      </c>
      <c r="M966" s="194" t="s">
        <v>253</v>
      </c>
      <c r="N966" s="52" t="str">
        <f>IF(AND('331-CT'!$E$7=TH!H966,OR(L966="331",M966="331")),"331",IF(AND(OR(L966="131",M966="131"),H966='131-CT'!$E$7),"131",""))</f>
        <v/>
      </c>
      <c r="O966" s="89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09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274"/>
        <v>11</v>
      </c>
      <c r="C967" s="191">
        <f t="shared" si="276"/>
        <v>41961</v>
      </c>
      <c r="D967" s="191" t="s">
        <v>892</v>
      </c>
      <c r="E967" s="184">
        <v>41961</v>
      </c>
      <c r="F967" s="192" t="s">
        <v>894</v>
      </c>
      <c r="G967" s="463" t="s">
        <v>326</v>
      </c>
      <c r="H967" s="7" t="s">
        <v>907</v>
      </c>
      <c r="I967" s="251"/>
      <c r="J967" s="251"/>
      <c r="K967" s="563">
        <v>7553810</v>
      </c>
      <c r="L967" s="39" t="s">
        <v>24</v>
      </c>
      <c r="M967" s="194" t="s">
        <v>253</v>
      </c>
      <c r="N967" s="52" t="str">
        <f>IF(AND('331-CT'!$E$7=TH!H967,OR(L967="331",M967="331")),"331",IF(AND(OR(L967="131",M967="131"),H967='131-CT'!$E$7),"131",""))</f>
        <v/>
      </c>
      <c r="O967" s="89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09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274"/>
        <v>11</v>
      </c>
      <c r="C968" s="191">
        <f t="shared" si="276"/>
        <v>41962</v>
      </c>
      <c r="D968" s="191" t="s">
        <v>892</v>
      </c>
      <c r="E968" s="184">
        <v>41962</v>
      </c>
      <c r="F968" s="192" t="s">
        <v>894</v>
      </c>
      <c r="G968" s="463" t="s">
        <v>326</v>
      </c>
      <c r="H968" s="7" t="s">
        <v>688</v>
      </c>
      <c r="I968" s="251"/>
      <c r="J968" s="251"/>
      <c r="K968" s="563">
        <v>17489000</v>
      </c>
      <c r="L968" s="39" t="s">
        <v>24</v>
      </c>
      <c r="M968" s="194" t="s">
        <v>253</v>
      </c>
      <c r="N968" s="52" t="str">
        <f>IF(AND('331-CT'!$E$7=TH!H968,OR(L968="331",M968="331")),"331",IF(AND(OR(L968="131",M968="131"),H968='131-CT'!$E$7),"131",""))</f>
        <v/>
      </c>
      <c r="O968" s="89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09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274"/>
        <v>11</v>
      </c>
      <c r="C969" s="191">
        <f t="shared" si="276"/>
        <v>41963</v>
      </c>
      <c r="D969" s="191" t="s">
        <v>892</v>
      </c>
      <c r="E969" s="184">
        <v>41963</v>
      </c>
      <c r="F969" s="192" t="s">
        <v>894</v>
      </c>
      <c r="G969" s="463" t="s">
        <v>326</v>
      </c>
      <c r="H969" s="44" t="s">
        <v>582</v>
      </c>
      <c r="I969" s="251"/>
      <c r="J969" s="251"/>
      <c r="K969" s="563">
        <v>32983731</v>
      </c>
      <c r="L969" s="39" t="s">
        <v>24</v>
      </c>
      <c r="M969" s="194" t="s">
        <v>253</v>
      </c>
      <c r="N969" s="52" t="str">
        <f>IF(AND('331-CT'!$E$7=TH!H969,OR(L969="331",M969="331")),"331",IF(AND(OR(L969="131",M969="131"),H969='131-CT'!$E$7),"131",""))</f>
        <v/>
      </c>
      <c r="O969" s="89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09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274"/>
        <v>11</v>
      </c>
      <c r="C970" s="191">
        <f t="shared" si="276"/>
        <v>41963</v>
      </c>
      <c r="D970" s="191" t="s">
        <v>892</v>
      </c>
      <c r="E970" s="184">
        <v>41963</v>
      </c>
      <c r="F970" s="192" t="s">
        <v>894</v>
      </c>
      <c r="G970" s="463" t="s">
        <v>326</v>
      </c>
      <c r="H970" s="7" t="s">
        <v>782</v>
      </c>
      <c r="I970" s="251"/>
      <c r="J970" s="251"/>
      <c r="K970" s="563">
        <v>9475159</v>
      </c>
      <c r="L970" s="39" t="s">
        <v>24</v>
      </c>
      <c r="M970" s="194" t="s">
        <v>253</v>
      </c>
      <c r="N970" s="52" t="str">
        <f>IF(AND('331-CT'!$E$7=TH!H970,OR(L970="331",M970="331")),"331",IF(AND(OR(L970="131",M970="131"),H970='131-CT'!$E$7),"131",""))</f>
        <v/>
      </c>
      <c r="O970" s="89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09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274"/>
        <v>11</v>
      </c>
      <c r="C971" s="191">
        <f t="shared" si="276"/>
        <v>41967</v>
      </c>
      <c r="D971" s="191" t="s">
        <v>892</v>
      </c>
      <c r="E971" s="184">
        <v>41967</v>
      </c>
      <c r="F971" s="192" t="s">
        <v>894</v>
      </c>
      <c r="G971" s="463" t="s">
        <v>326</v>
      </c>
      <c r="H971" s="7" t="s">
        <v>684</v>
      </c>
      <c r="I971" s="251"/>
      <c r="J971" s="251"/>
      <c r="K971" s="563">
        <v>61091096</v>
      </c>
      <c r="L971" s="39" t="s">
        <v>24</v>
      </c>
      <c r="M971" s="194" t="s">
        <v>253</v>
      </c>
      <c r="N971" s="52" t="str">
        <f>IF(AND('331-CT'!$E$7=TH!H971,OR(L971="331",M971="331")),"331",IF(AND(OR(L971="131",M971="131"),H971='131-CT'!$E$7),"131",""))</f>
        <v/>
      </c>
      <c r="O971" s="89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09"/>
    </row>
    <row r="972" spans="1:28" s="211" customFormat="1" ht="15.75" customHeight="1">
      <c r="A972" s="204" t="str">
        <f>IF(B972&lt;&gt;"",IF(AND(B972&gt;=_TM1,B972&lt;=_TM2,OR(TH!L972="1111",TH!M972="1111")),TH!D972,""),"")</f>
        <v>GBN</v>
      </c>
      <c r="B972" s="36">
        <f t="shared" si="274"/>
        <v>11</v>
      </c>
      <c r="C972" s="191">
        <f t="shared" si="276"/>
        <v>41946</v>
      </c>
      <c r="D972" s="191" t="s">
        <v>899</v>
      </c>
      <c r="E972" s="184">
        <v>41946</v>
      </c>
      <c r="F972" s="192" t="s">
        <v>896</v>
      </c>
      <c r="G972" s="463" t="s">
        <v>326</v>
      </c>
      <c r="H972" s="193" t="s">
        <v>897</v>
      </c>
      <c r="I972" s="251"/>
      <c r="J972" s="251"/>
      <c r="K972" s="563">
        <v>4000000</v>
      </c>
      <c r="L972" s="39" t="s">
        <v>47</v>
      </c>
      <c r="M972" s="194" t="s">
        <v>24</v>
      </c>
      <c r="N972" s="52" t="str">
        <f>IF(AND('331-CT'!$E$7=TH!H972,OR(L972="331",M972="331")),"331",IF(AND(OR(L972="131",M972="131"),H972='131-CT'!$E$7),"131",""))</f>
        <v/>
      </c>
      <c r="O972" s="89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09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274"/>
        <v>11</v>
      </c>
      <c r="C973" s="191">
        <f t="shared" ref="C973:C987" si="277">E973</f>
        <v>41946</v>
      </c>
      <c r="D973" s="191" t="s">
        <v>899</v>
      </c>
      <c r="E973" s="184">
        <v>41946</v>
      </c>
      <c r="F973" s="192" t="s">
        <v>893</v>
      </c>
      <c r="G973" s="463" t="s">
        <v>326</v>
      </c>
      <c r="H973" s="844" t="s">
        <v>1073</v>
      </c>
      <c r="I973" s="251"/>
      <c r="J973" s="251"/>
      <c r="K973" s="563">
        <v>15000000</v>
      </c>
      <c r="L973" s="39" t="s">
        <v>8</v>
      </c>
      <c r="M973" s="194" t="s">
        <v>24</v>
      </c>
      <c r="N973" s="52" t="str">
        <f>IF(AND('331-CT'!$E$7=TH!H973,OR(L973="331",M973="331")),"331",IF(AND(OR(L973="131",M973="131"),H973='131-CT'!$E$7),"131",""))</f>
        <v/>
      </c>
      <c r="O973" s="89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09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274"/>
        <v>11</v>
      </c>
      <c r="C974" s="191">
        <f t="shared" si="277"/>
        <v>41946</v>
      </c>
      <c r="D974" s="191" t="s">
        <v>899</v>
      </c>
      <c r="E974" s="184">
        <v>41946</v>
      </c>
      <c r="F974" s="189" t="s">
        <v>900</v>
      </c>
      <c r="G974" s="463" t="s">
        <v>326</v>
      </c>
      <c r="H974" s="7"/>
      <c r="I974" s="251"/>
      <c r="J974" s="251"/>
      <c r="K974" s="563">
        <v>15000</v>
      </c>
      <c r="L974" s="39" t="s">
        <v>83</v>
      </c>
      <c r="M974" s="194" t="s">
        <v>24</v>
      </c>
      <c r="N974" s="52" t="str">
        <f>IF(AND('331-CT'!$E$7=TH!H974,OR(L974="331",M974="331")),"331",IF(AND(OR(L974="131",M974="131"),H974='131-CT'!$E$7),"131",""))</f>
        <v/>
      </c>
      <c r="O974" s="89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>x</v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09"/>
    </row>
    <row r="975" spans="1:28" s="211" customFormat="1" ht="15.75" customHeight="1">
      <c r="A975" s="204" t="str">
        <f>IF(B975&lt;&gt;"",IF(AND(B975&gt;=_TM1,B975&lt;=_TM2,OR(TH!L975="1111",TH!M975="1111")),TH!D975,""),"")</f>
        <v>GBN</v>
      </c>
      <c r="B975" s="36">
        <f t="shared" ref="B975:B1006" si="278">IF(C975&lt;&gt;"",MONTH(C975),"")</f>
        <v>11</v>
      </c>
      <c r="C975" s="191">
        <f t="shared" si="277"/>
        <v>41949</v>
      </c>
      <c r="D975" s="191" t="s">
        <v>899</v>
      </c>
      <c r="E975" s="184">
        <v>41949</v>
      </c>
      <c r="F975" s="192" t="s">
        <v>896</v>
      </c>
      <c r="G975" s="463" t="s">
        <v>326</v>
      </c>
      <c r="H975" s="193" t="s">
        <v>897</v>
      </c>
      <c r="I975" s="251"/>
      <c r="J975" s="251"/>
      <c r="K975" s="563">
        <v>75200000</v>
      </c>
      <c r="L975" s="39" t="s">
        <v>47</v>
      </c>
      <c r="M975" s="194" t="s">
        <v>24</v>
      </c>
      <c r="N975" s="52" t="str">
        <f>IF(AND('331-CT'!$E$7=TH!H975,OR(L975="331",M975="331")),"331",IF(AND(OR(L975="131",M975="131"),H975='131-CT'!$E$7),"131",""))</f>
        <v/>
      </c>
      <c r="O975" s="89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09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278"/>
        <v>11</v>
      </c>
      <c r="C976" s="191">
        <f t="shared" si="277"/>
        <v>41949</v>
      </c>
      <c r="D976" s="191" t="s">
        <v>899</v>
      </c>
      <c r="E976" s="184">
        <v>41949</v>
      </c>
      <c r="F976" s="189" t="s">
        <v>900</v>
      </c>
      <c r="G976" s="463" t="s">
        <v>326</v>
      </c>
      <c r="H976" s="7"/>
      <c r="I976" s="251"/>
      <c r="J976" s="251"/>
      <c r="K976" s="563">
        <v>45000</v>
      </c>
      <c r="L976" s="39" t="s">
        <v>83</v>
      </c>
      <c r="M976" s="194" t="s">
        <v>24</v>
      </c>
      <c r="N976" s="52" t="str">
        <f>IF(AND('331-CT'!$E$7=TH!H976,OR(L976="331",M976="331")),"331",IF(AND(OR(L976="131",M976="131"),H976='131-CT'!$E$7),"131",""))</f>
        <v/>
      </c>
      <c r="O976" s="89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>x</v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09"/>
    </row>
    <row r="977" spans="1:28" s="211" customFormat="1" ht="15.75" customHeight="1">
      <c r="A977" s="204" t="str">
        <f>IF(B977&lt;&gt;"",IF(AND(B977&gt;=_TM1,B977&lt;=_TM2,OR(TH!L977="1111",TH!M977="1111")),TH!D977,""),"")</f>
        <v>GBN</v>
      </c>
      <c r="B977" s="36">
        <f t="shared" si="278"/>
        <v>11</v>
      </c>
      <c r="C977" s="191">
        <f t="shared" si="277"/>
        <v>41951</v>
      </c>
      <c r="D977" s="191" t="s">
        <v>899</v>
      </c>
      <c r="E977" s="184">
        <v>41951</v>
      </c>
      <c r="F977" s="192" t="s">
        <v>896</v>
      </c>
      <c r="G977" s="463" t="s">
        <v>326</v>
      </c>
      <c r="H977" s="193" t="s">
        <v>897</v>
      </c>
      <c r="I977" s="251"/>
      <c r="J977" s="251"/>
      <c r="K977" s="563">
        <v>40300000</v>
      </c>
      <c r="L977" s="39" t="s">
        <v>47</v>
      </c>
      <c r="M977" s="194" t="s">
        <v>24</v>
      </c>
      <c r="N977" s="52" t="str">
        <f>IF(AND('331-CT'!$E$7=TH!H977,OR(L977="331",M977="331")),"331",IF(AND(OR(L977="131",M977="131"),H977='131-CT'!$E$7),"131",""))</f>
        <v/>
      </c>
      <c r="O977" s="89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09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278"/>
        <v>11</v>
      </c>
      <c r="C978" s="191">
        <f t="shared" si="277"/>
        <v>41956</v>
      </c>
      <c r="D978" s="191" t="s">
        <v>899</v>
      </c>
      <c r="E978" s="184">
        <v>41956</v>
      </c>
      <c r="F978" s="192" t="s">
        <v>893</v>
      </c>
      <c r="G978" s="463" t="s">
        <v>326</v>
      </c>
      <c r="H978" s="844" t="s">
        <v>1073</v>
      </c>
      <c r="I978" s="251"/>
      <c r="J978" s="251"/>
      <c r="K978" s="563">
        <v>22000000</v>
      </c>
      <c r="L978" s="39" t="s">
        <v>8</v>
      </c>
      <c r="M978" s="194" t="s">
        <v>24</v>
      </c>
      <c r="N978" s="52" t="str">
        <f>IF(AND('331-CT'!$E$7=TH!H978,OR(L978="331",M978="331")),"331",IF(AND(OR(L978="131",M978="131"),H978='131-CT'!$E$7),"131",""))</f>
        <v/>
      </c>
      <c r="O978" s="89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09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278"/>
        <v>11</v>
      </c>
      <c r="C979" s="191">
        <f t="shared" si="277"/>
        <v>41956</v>
      </c>
      <c r="D979" s="191" t="s">
        <v>899</v>
      </c>
      <c r="E979" s="184">
        <v>41956</v>
      </c>
      <c r="F979" s="192" t="s">
        <v>893</v>
      </c>
      <c r="G979" s="463" t="s">
        <v>326</v>
      </c>
      <c r="H979" s="844" t="s">
        <v>1050</v>
      </c>
      <c r="I979" s="251"/>
      <c r="J979" s="251"/>
      <c r="K979" s="563">
        <v>15000000</v>
      </c>
      <c r="L979" s="39" t="s">
        <v>8</v>
      </c>
      <c r="M979" s="194" t="s">
        <v>24</v>
      </c>
      <c r="N979" s="52" t="str">
        <f>IF(AND('331-CT'!$E$7=TH!H979,OR(L979="331",M979="331")),"331",IF(AND(OR(L979="131",M979="131"),H979='131-CT'!$E$7),"131",""))</f>
        <v/>
      </c>
      <c r="O979" s="89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09"/>
    </row>
    <row r="980" spans="1:28" s="211" customFormat="1" ht="15.75" customHeight="1">
      <c r="A980" s="204" t="str">
        <f>IF(B980&lt;&gt;"",IF(AND(B980&gt;=_TM1,B980&lt;=_TM2,OR(TH!L980="1111",TH!M980="1111")),TH!D980,""),"")</f>
        <v>GBN</v>
      </c>
      <c r="B980" s="36">
        <f t="shared" si="278"/>
        <v>11</v>
      </c>
      <c r="C980" s="191">
        <f t="shared" si="277"/>
        <v>41956</v>
      </c>
      <c r="D980" s="191" t="s">
        <v>899</v>
      </c>
      <c r="E980" s="184">
        <v>41956</v>
      </c>
      <c r="F980" s="192" t="s">
        <v>896</v>
      </c>
      <c r="G980" s="463" t="s">
        <v>326</v>
      </c>
      <c r="H980" s="193" t="s">
        <v>897</v>
      </c>
      <c r="I980" s="251"/>
      <c r="J980" s="251"/>
      <c r="K980" s="563">
        <v>19300000</v>
      </c>
      <c r="L980" s="39" t="s">
        <v>47</v>
      </c>
      <c r="M980" s="194" t="s">
        <v>24</v>
      </c>
      <c r="N980" s="52" t="str">
        <f>IF(AND('331-CT'!$E$7=TH!H980,OR(L980="331",M980="331")),"331",IF(AND(OR(L980="131",M980="131"),H980='131-CT'!$E$7),"131",""))</f>
        <v/>
      </c>
      <c r="O980" s="89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09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278"/>
        <v>11</v>
      </c>
      <c r="C981" s="191">
        <f t="shared" si="277"/>
        <v>41956</v>
      </c>
      <c r="D981" s="191" t="s">
        <v>899</v>
      </c>
      <c r="E981" s="184">
        <v>41956</v>
      </c>
      <c r="F981" s="189" t="s">
        <v>900</v>
      </c>
      <c r="G981" s="463" t="s">
        <v>326</v>
      </c>
      <c r="H981" s="7"/>
      <c r="I981" s="251"/>
      <c r="J981" s="251"/>
      <c r="K981" s="563">
        <v>15000</v>
      </c>
      <c r="L981" s="39" t="s">
        <v>83</v>
      </c>
      <c r="M981" s="194" t="s">
        <v>24</v>
      </c>
      <c r="N981" s="52" t="str">
        <f>IF(AND('331-CT'!$E$7=TH!H981,OR(L981="331",M981="331")),"331",IF(AND(OR(L981="131",M981="131"),H981='131-CT'!$E$7),"131",""))</f>
        <v/>
      </c>
      <c r="O981" s="89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>x</v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09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278"/>
        <v>11</v>
      </c>
      <c r="C982" s="191">
        <f t="shared" si="277"/>
        <v>41956</v>
      </c>
      <c r="D982" s="191" t="s">
        <v>899</v>
      </c>
      <c r="E982" s="184">
        <v>41956</v>
      </c>
      <c r="F982" s="189" t="s">
        <v>900</v>
      </c>
      <c r="G982" s="463" t="s">
        <v>326</v>
      </c>
      <c r="H982" s="7"/>
      <c r="I982" s="251"/>
      <c r="J982" s="251"/>
      <c r="K982" s="563">
        <v>15000</v>
      </c>
      <c r="L982" s="39" t="s">
        <v>83</v>
      </c>
      <c r="M982" s="194" t="s">
        <v>24</v>
      </c>
      <c r="N982" s="52" t="str">
        <f>IF(AND('331-CT'!$E$7=TH!H982,OR(L982="331",M982="331")),"331",IF(AND(OR(L982="131",M982="131"),H982='131-CT'!$E$7),"131",""))</f>
        <v/>
      </c>
      <c r="O982" s="89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09"/>
    </row>
    <row r="983" spans="1:28" s="211" customFormat="1" ht="15.75" customHeight="1">
      <c r="A983" s="204" t="str">
        <f>IF(B983&lt;&gt;"",IF(AND(B983&gt;=_TM1,B983&lt;=_TM2,OR(TH!L983="1111",TH!M983="1111")),TH!D983,""),"")</f>
        <v>GBN</v>
      </c>
      <c r="B983" s="36">
        <f t="shared" si="278"/>
        <v>11</v>
      </c>
      <c r="C983" s="191">
        <f t="shared" si="277"/>
        <v>41965</v>
      </c>
      <c r="D983" s="191" t="s">
        <v>899</v>
      </c>
      <c r="E983" s="184">
        <v>41965</v>
      </c>
      <c r="F983" s="192" t="s">
        <v>896</v>
      </c>
      <c r="G983" s="463" t="s">
        <v>326</v>
      </c>
      <c r="H983" s="193" t="s">
        <v>897</v>
      </c>
      <c r="I983" s="251"/>
      <c r="J983" s="251"/>
      <c r="K983" s="563">
        <v>22500000</v>
      </c>
      <c r="L983" s="39" t="s">
        <v>47</v>
      </c>
      <c r="M983" s="194" t="s">
        <v>24</v>
      </c>
      <c r="N983" s="52" t="str">
        <f>IF(AND('331-CT'!$E$7=TH!H983,OR(L983="331",M983="331")),"331",IF(AND(OR(L983="131",M983="131"),H983='131-CT'!$E$7),"131",""))</f>
        <v/>
      </c>
      <c r="O983" s="89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09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278"/>
        <v>11</v>
      </c>
      <c r="C984" s="191">
        <f t="shared" si="277"/>
        <v>41965</v>
      </c>
      <c r="D984" s="191" t="s">
        <v>899</v>
      </c>
      <c r="E984" s="184">
        <v>41965</v>
      </c>
      <c r="F984" s="192" t="s">
        <v>893</v>
      </c>
      <c r="G984" s="463" t="s">
        <v>326</v>
      </c>
      <c r="H984" s="7" t="s">
        <v>1010</v>
      </c>
      <c r="I984" s="251"/>
      <c r="J984" s="251"/>
      <c r="K984" s="563">
        <v>30000000</v>
      </c>
      <c r="L984" s="39" t="s">
        <v>8</v>
      </c>
      <c r="M984" s="194" t="s">
        <v>24</v>
      </c>
      <c r="N984" s="52" t="str">
        <f>IF(AND('331-CT'!$E$7=TH!H984,OR(L984="331",M984="331")),"331",IF(AND(OR(L984="131",M984="131"),H984='131-CT'!$E$7),"131",""))</f>
        <v>331</v>
      </c>
      <c r="O984" s="89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09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278"/>
        <v>11</v>
      </c>
      <c r="C985" s="191">
        <f t="shared" si="277"/>
        <v>41965</v>
      </c>
      <c r="D985" s="191" t="s">
        <v>899</v>
      </c>
      <c r="E985" s="184">
        <v>41965</v>
      </c>
      <c r="F985" s="192" t="s">
        <v>893</v>
      </c>
      <c r="G985" s="463" t="s">
        <v>326</v>
      </c>
      <c r="H985" s="844" t="s">
        <v>1077</v>
      </c>
      <c r="I985" s="251"/>
      <c r="J985" s="251"/>
      <c r="K985" s="563">
        <v>15000000</v>
      </c>
      <c r="L985" s="39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/>
      </c>
      <c r="O985" s="89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09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278"/>
        <v>11</v>
      </c>
      <c r="C986" s="191">
        <f t="shared" si="277"/>
        <v>41965</v>
      </c>
      <c r="D986" s="191" t="s">
        <v>899</v>
      </c>
      <c r="E986" s="184">
        <v>41965</v>
      </c>
      <c r="F986" s="189" t="s">
        <v>900</v>
      </c>
      <c r="G986" s="463" t="s">
        <v>326</v>
      </c>
      <c r="H986" s="7"/>
      <c r="I986" s="251"/>
      <c r="J986" s="251"/>
      <c r="K986" s="563">
        <v>15000</v>
      </c>
      <c r="L986" s="39" t="s">
        <v>83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89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>x</v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09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278"/>
        <v>11</v>
      </c>
      <c r="C987" s="191">
        <f t="shared" si="277"/>
        <v>41965</v>
      </c>
      <c r="D987" s="191" t="s">
        <v>899</v>
      </c>
      <c r="E987" s="184">
        <v>41965</v>
      </c>
      <c r="F987" s="189" t="s">
        <v>900</v>
      </c>
      <c r="G987" s="463" t="s">
        <v>326</v>
      </c>
      <c r="H987" s="7"/>
      <c r="I987" s="251"/>
      <c r="J987" s="251"/>
      <c r="K987" s="563">
        <v>15000</v>
      </c>
      <c r="L987" s="39" t="s">
        <v>83</v>
      </c>
      <c r="M987" s="194" t="s">
        <v>24</v>
      </c>
      <c r="N987" s="52" t="str">
        <f>IF(AND('331-CT'!$E$7=TH!H987,OR(L987="331",M987="331")),"331",IF(AND(OR(L987="131",M987="131"),H987='131-CT'!$E$7),"131",""))</f>
        <v/>
      </c>
      <c r="O987" s="89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09"/>
    </row>
    <row r="988" spans="1:28" s="211" customFormat="1" ht="15.75" customHeight="1">
      <c r="A988" s="204" t="str">
        <f>IF(B988&lt;&gt;"",IF(AND(B988&gt;=_TM1,B988&lt;=_TM2,OR(TH!L988="1111",TH!M988="1111")),TH!D988,""),"")</f>
        <v>GBN</v>
      </c>
      <c r="B988" s="36">
        <f t="shared" si="278"/>
        <v>11</v>
      </c>
      <c r="C988" s="191">
        <f t="shared" ref="C988:C991" si="279">E988</f>
        <v>41968</v>
      </c>
      <c r="D988" s="191" t="s">
        <v>899</v>
      </c>
      <c r="E988" s="184">
        <v>41968</v>
      </c>
      <c r="F988" s="192" t="s">
        <v>896</v>
      </c>
      <c r="G988" s="463" t="s">
        <v>326</v>
      </c>
      <c r="H988" s="193" t="s">
        <v>897</v>
      </c>
      <c r="I988" s="251"/>
      <c r="J988" s="251"/>
      <c r="K988" s="563">
        <v>41000000</v>
      </c>
      <c r="L988" s="39" t="s">
        <v>47</v>
      </c>
      <c r="M988" s="194" t="s">
        <v>24</v>
      </c>
      <c r="N988" s="52" t="str">
        <f>IF(AND('331-CT'!$E$7=TH!H988,OR(L988="331",M988="331")),"331",IF(AND(OR(L988="131",M988="131"),H988='131-CT'!$E$7),"131",""))</f>
        <v/>
      </c>
      <c r="O988" s="89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09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278"/>
        <v>11</v>
      </c>
      <c r="C989" s="191">
        <f t="shared" si="279"/>
        <v>41968</v>
      </c>
      <c r="D989" s="191" t="s">
        <v>899</v>
      </c>
      <c r="E989" s="184">
        <v>41968</v>
      </c>
      <c r="F989" s="192" t="s">
        <v>893</v>
      </c>
      <c r="G989" s="463" t="s">
        <v>326</v>
      </c>
      <c r="H989" s="844" t="s">
        <v>1073</v>
      </c>
      <c r="I989" s="251"/>
      <c r="J989" s="251"/>
      <c r="K989" s="563">
        <v>20000000</v>
      </c>
      <c r="L989" s="39" t="s">
        <v>8</v>
      </c>
      <c r="M989" s="194" t="s">
        <v>24</v>
      </c>
      <c r="N989" s="52" t="str">
        <f>IF(AND('331-CT'!$E$7=TH!H989,OR(L989="331",M989="331")),"331",IF(AND(OR(L989="131",M989="131"),H989='131-CT'!$E$7),"131",""))</f>
        <v/>
      </c>
      <c r="O989" s="89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09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278"/>
        <v>11</v>
      </c>
      <c r="C990" s="191">
        <f t="shared" si="279"/>
        <v>41968</v>
      </c>
      <c r="D990" s="191" t="s">
        <v>899</v>
      </c>
      <c r="E990" s="184">
        <v>41968</v>
      </c>
      <c r="F990" s="189" t="s">
        <v>900</v>
      </c>
      <c r="G990" s="463" t="s">
        <v>326</v>
      </c>
      <c r="H990" s="7"/>
      <c r="I990" s="251"/>
      <c r="J990" s="251"/>
      <c r="K990" s="563">
        <v>15000</v>
      </c>
      <c r="L990" s="39" t="s">
        <v>83</v>
      </c>
      <c r="M990" s="194" t="s">
        <v>24</v>
      </c>
      <c r="N990" s="52" t="str">
        <f>IF(AND('331-CT'!$E$7=TH!H990,OR(L990="331",M990="331")),"331",IF(AND(OR(L990="131",M990="131"),H990='131-CT'!$E$7),"131",""))</f>
        <v/>
      </c>
      <c r="O990" s="89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>x</v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09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278"/>
        <v>11</v>
      </c>
      <c r="C991" s="191">
        <f t="shared" si="279"/>
        <v>41968</v>
      </c>
      <c r="D991" s="191" t="s">
        <v>892</v>
      </c>
      <c r="E991" s="184">
        <v>41968</v>
      </c>
      <c r="F991" s="192" t="s">
        <v>895</v>
      </c>
      <c r="G991" s="463" t="s">
        <v>326</v>
      </c>
      <c r="H991" s="7"/>
      <c r="I991" s="251"/>
      <c r="J991" s="251"/>
      <c r="K991" s="563">
        <v>14735</v>
      </c>
      <c r="L991" s="39" t="s">
        <v>24</v>
      </c>
      <c r="M991" s="39" t="s">
        <v>40</v>
      </c>
      <c r="N991" s="52" t="str">
        <f>IF(AND('331-CT'!$E$7=TH!H991,OR(L991="331",M991="331")),"331",IF(AND(OR(L991="131",M991="131"),H991='131-CT'!$E$7),"131",""))</f>
        <v/>
      </c>
      <c r="O991" s="89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809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278"/>
        <v>11</v>
      </c>
      <c r="C992" s="191">
        <f t="shared" ref="C992:C999" si="280">E992</f>
        <v>41971</v>
      </c>
      <c r="D992" s="191" t="s">
        <v>892</v>
      </c>
      <c r="E992" s="184">
        <v>41971</v>
      </c>
      <c r="F992" s="192" t="s">
        <v>894</v>
      </c>
      <c r="G992" s="463" t="s">
        <v>326</v>
      </c>
      <c r="H992" s="7" t="s">
        <v>906</v>
      </c>
      <c r="I992" s="251"/>
      <c r="J992" s="251"/>
      <c r="K992" s="563">
        <v>14909400</v>
      </c>
      <c r="L992" s="39" t="s">
        <v>24</v>
      </c>
      <c r="M992" s="39" t="s">
        <v>253</v>
      </c>
      <c r="N992" s="52" t="str">
        <f>IF(AND('331-CT'!$E$7=TH!H992,OR(L992="331",M992="331")),"331",IF(AND(OR(L992="131",M992="131"),H992='131-CT'!$E$7),"131",""))</f>
        <v/>
      </c>
      <c r="O992" s="89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809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278"/>
        <v>12</v>
      </c>
      <c r="C993" s="191">
        <f t="shared" si="280"/>
        <v>41978</v>
      </c>
      <c r="D993" s="191" t="s">
        <v>892</v>
      </c>
      <c r="E993" s="184">
        <v>41978</v>
      </c>
      <c r="F993" s="192" t="s">
        <v>894</v>
      </c>
      <c r="G993" s="463" t="s">
        <v>326</v>
      </c>
      <c r="H993" s="44" t="s">
        <v>582</v>
      </c>
      <c r="I993" s="251"/>
      <c r="J993" s="251"/>
      <c r="K993" s="563">
        <v>52579120</v>
      </c>
      <c r="L993" s="39" t="s">
        <v>24</v>
      </c>
      <c r="M993" s="39" t="s">
        <v>253</v>
      </c>
      <c r="N993" s="52" t="str">
        <f>IF(AND('331-CT'!$E$7=TH!H993,OR(L993="331",M993="331")),"331",IF(AND(OR(L993="131",M993="131"),H993='131-CT'!$E$7),"131",""))</f>
        <v/>
      </c>
      <c r="O993" s="89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809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278"/>
        <v>12</v>
      </c>
      <c r="C994" s="191">
        <f t="shared" si="280"/>
        <v>41983</v>
      </c>
      <c r="D994" s="191" t="s">
        <v>892</v>
      </c>
      <c r="E994" s="184">
        <v>41983</v>
      </c>
      <c r="F994" s="192" t="s">
        <v>894</v>
      </c>
      <c r="G994" s="463" t="s">
        <v>326</v>
      </c>
      <c r="H994" s="7" t="s">
        <v>908</v>
      </c>
      <c r="I994" s="251"/>
      <c r="J994" s="251"/>
      <c r="K994" s="563">
        <v>7809835</v>
      </c>
      <c r="L994" s="39" t="s">
        <v>24</v>
      </c>
      <c r="M994" s="39" t="s">
        <v>253</v>
      </c>
      <c r="N994" s="52" t="str">
        <f>IF(AND('331-CT'!$E$7=TH!H994,OR(L994="331",M994="331")),"331",IF(AND(OR(L994="131",M994="131"),H994='131-CT'!$E$7),"131",""))</f>
        <v/>
      </c>
      <c r="O994" s="89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809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278"/>
        <v>12</v>
      </c>
      <c r="C995" s="191">
        <f t="shared" si="280"/>
        <v>41985</v>
      </c>
      <c r="D995" s="191" t="s">
        <v>892</v>
      </c>
      <c r="E995" s="184">
        <v>41985</v>
      </c>
      <c r="F995" s="192" t="s">
        <v>894</v>
      </c>
      <c r="G995" s="463" t="s">
        <v>326</v>
      </c>
      <c r="H995" s="7" t="s">
        <v>602</v>
      </c>
      <c r="I995" s="251"/>
      <c r="J995" s="251"/>
      <c r="K995" s="563">
        <v>30000000</v>
      </c>
      <c r="L995" s="39" t="s">
        <v>24</v>
      </c>
      <c r="M995" s="39" t="s">
        <v>253</v>
      </c>
      <c r="N995" s="52" t="str">
        <f>IF(AND('331-CT'!$E$7=TH!H995,OR(L995="331",M995="331")),"331",IF(AND(OR(L995="131",M995="131"),H995='131-CT'!$E$7),"131",""))</f>
        <v/>
      </c>
      <c r="O995" s="89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809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278"/>
        <v>12</v>
      </c>
      <c r="C996" s="191">
        <f t="shared" si="280"/>
        <v>41985</v>
      </c>
      <c r="D996" s="191" t="s">
        <v>892</v>
      </c>
      <c r="E996" s="184">
        <v>41985</v>
      </c>
      <c r="F996" s="192" t="s">
        <v>894</v>
      </c>
      <c r="G996" s="463" t="s">
        <v>326</v>
      </c>
      <c r="H996" s="44" t="s">
        <v>582</v>
      </c>
      <c r="I996" s="251"/>
      <c r="J996" s="251"/>
      <c r="K996" s="563">
        <v>25896200</v>
      </c>
      <c r="L996" s="39" t="s">
        <v>24</v>
      </c>
      <c r="M996" s="39" t="s">
        <v>253</v>
      </c>
      <c r="N996" s="52" t="str">
        <f>IF(AND('331-CT'!$E$7=TH!H996,OR(L996="331",M996="331")),"331",IF(AND(OR(L996="131",M996="131"),H996='131-CT'!$E$7),"131",""))</f>
        <v/>
      </c>
      <c r="O996" s="89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809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278"/>
        <v>12</v>
      </c>
      <c r="C997" s="191">
        <f t="shared" si="280"/>
        <v>41992</v>
      </c>
      <c r="D997" s="191" t="s">
        <v>892</v>
      </c>
      <c r="E997" s="184">
        <v>41992</v>
      </c>
      <c r="F997" s="192" t="s">
        <v>894</v>
      </c>
      <c r="G997" s="463" t="s">
        <v>326</v>
      </c>
      <c r="H997" s="7" t="s">
        <v>684</v>
      </c>
      <c r="I997" s="251"/>
      <c r="J997" s="251"/>
      <c r="K997" s="563">
        <v>3311352</v>
      </c>
      <c r="L997" s="39" t="s">
        <v>24</v>
      </c>
      <c r="M997" s="39" t="s">
        <v>253</v>
      </c>
      <c r="N997" s="52" t="str">
        <f>IF(AND('331-CT'!$E$7=TH!H997,OR(L997="331",M997="331")),"331",IF(AND(OR(L997="131",M997="131"),H997='131-CT'!$E$7),"131",""))</f>
        <v/>
      </c>
      <c r="O997" s="89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809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278"/>
        <v>12</v>
      </c>
      <c r="C998" s="191">
        <f t="shared" si="280"/>
        <v>41996</v>
      </c>
      <c r="D998" s="191" t="s">
        <v>892</v>
      </c>
      <c r="E998" s="184">
        <v>41996</v>
      </c>
      <c r="F998" s="192" t="s">
        <v>894</v>
      </c>
      <c r="G998" s="463" t="s">
        <v>326</v>
      </c>
      <c r="H998" s="7" t="s">
        <v>908</v>
      </c>
      <c r="I998" s="251"/>
      <c r="J998" s="251"/>
      <c r="K998" s="563">
        <v>13347400</v>
      </c>
      <c r="L998" s="39" t="s">
        <v>24</v>
      </c>
      <c r="M998" s="39" t="s">
        <v>253</v>
      </c>
      <c r="N998" s="52" t="str">
        <f>IF(AND('331-CT'!$E$7=TH!H998,OR(L998="331",M998="331")),"331",IF(AND(OR(L998="131",M998="131"),H998='131-CT'!$E$7),"131",""))</f>
        <v/>
      </c>
      <c r="O998" s="89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809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278"/>
        <v>12</v>
      </c>
      <c r="C999" s="191">
        <f t="shared" si="280"/>
        <v>41998</v>
      </c>
      <c r="D999" s="191" t="s">
        <v>892</v>
      </c>
      <c r="E999" s="184">
        <v>41998</v>
      </c>
      <c r="F999" s="192" t="s">
        <v>895</v>
      </c>
      <c r="G999" s="463" t="s">
        <v>326</v>
      </c>
      <c r="H999" s="7"/>
      <c r="I999" s="251"/>
      <c r="J999" s="251"/>
      <c r="K999" s="563">
        <v>5624</v>
      </c>
      <c r="L999" s="39" t="s">
        <v>24</v>
      </c>
      <c r="M999" s="39" t="s">
        <v>40</v>
      </c>
      <c r="N999" s="52" t="str">
        <f>IF(AND('331-CT'!$E$7=TH!H999,OR(L999="331",M999="331")),"331",IF(AND(OR(L999="131",M999="131"),H999='131-CT'!$E$7),"131",""))</f>
        <v/>
      </c>
      <c r="O999" s="89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809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278"/>
        <v>12</v>
      </c>
      <c r="C1000" s="191">
        <f t="shared" ref="C1000:C1005" si="281">E1000</f>
        <v>42002</v>
      </c>
      <c r="D1000" s="191" t="s">
        <v>892</v>
      </c>
      <c r="E1000" s="184">
        <v>42002</v>
      </c>
      <c r="F1000" s="192" t="s">
        <v>894</v>
      </c>
      <c r="G1000" s="463" t="s">
        <v>326</v>
      </c>
      <c r="H1000" s="45" t="s">
        <v>469</v>
      </c>
      <c r="I1000" s="251"/>
      <c r="J1000" s="251"/>
      <c r="K1000" s="563">
        <v>3932500</v>
      </c>
      <c r="L1000" s="39" t="s">
        <v>24</v>
      </c>
      <c r="M1000" s="39" t="s">
        <v>253</v>
      </c>
      <c r="N1000" s="52" t="str">
        <f>IF(AND('331-CT'!$E$7=TH!H1000,OR(L1000="331",M1000="331")),"331",IF(AND(OR(L1000="131",M1000="131"),H1000='131-CT'!$E$7),"131",""))</f>
        <v/>
      </c>
      <c r="O1000" s="89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809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278"/>
        <v>12</v>
      </c>
      <c r="C1001" s="191">
        <f t="shared" si="281"/>
        <v>42004</v>
      </c>
      <c r="D1001" s="191" t="s">
        <v>892</v>
      </c>
      <c r="E1001" s="184">
        <v>42004</v>
      </c>
      <c r="F1001" s="192" t="s">
        <v>894</v>
      </c>
      <c r="G1001" s="463" t="s">
        <v>326</v>
      </c>
      <c r="H1001" s="7" t="s">
        <v>906</v>
      </c>
      <c r="I1001" s="251"/>
      <c r="J1001" s="251"/>
      <c r="K1001" s="563">
        <v>15585570</v>
      </c>
      <c r="L1001" s="39" t="s">
        <v>24</v>
      </c>
      <c r="M1001" s="39" t="s">
        <v>253</v>
      </c>
      <c r="N1001" s="52" t="str">
        <f>IF(AND('331-CT'!$E$7=TH!H1001,OR(L1001="331",M1001="331")),"331",IF(AND(OR(L1001="131",M1001="131"),H1001='131-CT'!$E$7),"131",""))</f>
        <v/>
      </c>
      <c r="O1001" s="89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809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278"/>
        <v>11</v>
      </c>
      <c r="C1002" s="191">
        <f t="shared" si="281"/>
        <v>41972</v>
      </c>
      <c r="D1002" s="191" t="s">
        <v>899</v>
      </c>
      <c r="E1002" s="184">
        <v>41972</v>
      </c>
      <c r="F1002" s="192" t="s">
        <v>893</v>
      </c>
      <c r="G1002" s="463" t="s">
        <v>326</v>
      </c>
      <c r="H1002" s="844" t="s">
        <v>1050</v>
      </c>
      <c r="I1002" s="251"/>
      <c r="J1002" s="251"/>
      <c r="K1002" s="563">
        <v>15000000</v>
      </c>
      <c r="L1002" s="39" t="s">
        <v>8</v>
      </c>
      <c r="M1002" s="39" t="s">
        <v>24</v>
      </c>
      <c r="N1002" s="52" t="str">
        <f>IF(AND('331-CT'!$E$7=TH!H1002,OR(L1002="331",M1002="331")),"331",IF(AND(OR(L1002="131",M1002="131"),H1002='131-CT'!$E$7),"131",""))</f>
        <v/>
      </c>
      <c r="O1002" s="89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809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278"/>
        <v>11</v>
      </c>
      <c r="C1003" s="191">
        <f t="shared" si="281"/>
        <v>41972</v>
      </c>
      <c r="D1003" s="191" t="s">
        <v>899</v>
      </c>
      <c r="E1003" s="184">
        <v>41972</v>
      </c>
      <c r="F1003" s="189" t="s">
        <v>900</v>
      </c>
      <c r="G1003" s="463" t="s">
        <v>326</v>
      </c>
      <c r="H1003" s="7"/>
      <c r="I1003" s="251"/>
      <c r="J1003" s="251"/>
      <c r="K1003" s="563">
        <v>15000</v>
      </c>
      <c r="L1003" s="39" t="s">
        <v>83</v>
      </c>
      <c r="M1003" s="39" t="s">
        <v>24</v>
      </c>
      <c r="N1003" s="52" t="str">
        <f>IF(AND('331-CT'!$E$7=TH!H1003,OR(L1003="331",M1003="331")),"331",IF(AND(OR(L1003="131",M1003="131"),H1003='131-CT'!$E$7),"131",""))</f>
        <v/>
      </c>
      <c r="O1003" s="89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809"/>
    </row>
    <row r="1004" spans="1:28" s="211" customFormat="1" ht="15.75" customHeight="1">
      <c r="A1004" s="204" t="str">
        <f>IF(B1004&lt;&gt;"",IF(AND(B1004&gt;=_TM1,B1004&lt;=_TM2,OR(TH!L1004="1111",TH!M1004="1111")),TH!D1004,""),"")</f>
        <v>GBN</v>
      </c>
      <c r="B1004" s="36">
        <f t="shared" si="278"/>
        <v>12</v>
      </c>
      <c r="C1004" s="191">
        <f t="shared" si="281"/>
        <v>41981</v>
      </c>
      <c r="D1004" s="191" t="s">
        <v>899</v>
      </c>
      <c r="E1004" s="184">
        <v>41981</v>
      </c>
      <c r="F1004" s="192" t="s">
        <v>896</v>
      </c>
      <c r="G1004" s="463" t="s">
        <v>326</v>
      </c>
      <c r="H1004" s="193" t="s">
        <v>897</v>
      </c>
      <c r="I1004" s="251"/>
      <c r="J1004" s="251"/>
      <c r="K1004" s="563">
        <v>52500000</v>
      </c>
      <c r="L1004" s="39" t="s">
        <v>47</v>
      </c>
      <c r="M1004" s="39" t="s">
        <v>24</v>
      </c>
      <c r="N1004" s="52" t="str">
        <f>IF(AND('331-CT'!$E$7=TH!H1004,OR(L1004="331",M1004="331")),"331",IF(AND(OR(L1004="131",M1004="131"),H1004='131-CT'!$E$7),"131",""))</f>
        <v/>
      </c>
      <c r="O1004" s="89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809"/>
    </row>
    <row r="1005" spans="1:28" s="211" customFormat="1" ht="15.75" customHeight="1">
      <c r="A1005" s="204" t="str">
        <f>IF(B1005&lt;&gt;"",IF(AND(B1005&gt;=_TM1,B1005&lt;=_TM2,OR(TH!L1005="1111",TH!M1005="1111")),TH!D1005,""),"")</f>
        <v>GBN</v>
      </c>
      <c r="B1005" s="36">
        <f t="shared" si="278"/>
        <v>12</v>
      </c>
      <c r="C1005" s="191">
        <f t="shared" si="281"/>
        <v>41985</v>
      </c>
      <c r="D1005" s="191" t="s">
        <v>899</v>
      </c>
      <c r="E1005" s="184">
        <v>41985</v>
      </c>
      <c r="F1005" s="192" t="s">
        <v>896</v>
      </c>
      <c r="G1005" s="463" t="s">
        <v>326</v>
      </c>
      <c r="H1005" s="193" t="s">
        <v>897</v>
      </c>
      <c r="I1005" s="251"/>
      <c r="J1005" s="251"/>
      <c r="K1005" s="563">
        <v>63700000</v>
      </c>
      <c r="L1005" s="39" t="s">
        <v>47</v>
      </c>
      <c r="M1005" s="39" t="s">
        <v>24</v>
      </c>
      <c r="N1005" s="52" t="str">
        <f>IF(AND('331-CT'!$E$7=TH!H1005,OR(L1005="331",M1005="331")),"331",IF(AND(OR(L1005="131",M1005="131"),H1005='131-CT'!$E$7),"131",""))</f>
        <v/>
      </c>
      <c r="O1005" s="89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809"/>
    </row>
    <row r="1006" spans="1:28" s="211" customFormat="1" ht="15.75" customHeight="1">
      <c r="A1006" s="204" t="str">
        <f>IF(B1006&lt;&gt;"",IF(AND(B1006&gt;=_TM1,B1006&lt;=_TM2,OR(TH!L1006="1111",TH!M1006="1111")),TH!D1006,""),"")</f>
        <v>GBN</v>
      </c>
      <c r="B1006" s="36">
        <f t="shared" si="278"/>
        <v>12</v>
      </c>
      <c r="C1006" s="191">
        <f t="shared" ref="C1006" si="282">E1006</f>
        <v>41996</v>
      </c>
      <c r="D1006" s="191" t="s">
        <v>899</v>
      </c>
      <c r="E1006" s="184">
        <v>41996</v>
      </c>
      <c r="F1006" s="192" t="s">
        <v>896</v>
      </c>
      <c r="G1006" s="463" t="s">
        <v>326</v>
      </c>
      <c r="H1006" s="193" t="s">
        <v>897</v>
      </c>
      <c r="I1006" s="251"/>
      <c r="J1006" s="251"/>
      <c r="K1006" s="563">
        <v>16700000</v>
      </c>
      <c r="L1006" s="39" t="s">
        <v>47</v>
      </c>
      <c r="M1006" s="39" t="s">
        <v>24</v>
      </c>
      <c r="N1006" s="52" t="str">
        <f>IF(AND('331-CT'!$E$7=TH!H1006,OR(L1006="331",M1006="331")),"331",IF(AND(OR(L1006="131",M1006="131"),H1006='131-CT'!$E$7),"131",""))</f>
        <v/>
      </c>
      <c r="O1006" s="89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809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ref="B1007:B1079" si="283">IF(C1007&lt;&gt;"",MONTH(C1007),"")</f>
        <v>1</v>
      </c>
      <c r="C1007" s="191">
        <f t="shared" ref="C1007:C1079" si="284">E1007</f>
        <v>41647</v>
      </c>
      <c r="D1007" s="191"/>
      <c r="E1007" s="184">
        <v>41647</v>
      </c>
      <c r="F1007" s="189" t="s">
        <v>989</v>
      </c>
      <c r="G1007" s="463" t="s">
        <v>1000</v>
      </c>
      <c r="H1007" s="7" t="s">
        <v>988</v>
      </c>
      <c r="I1007" s="251"/>
      <c r="J1007" s="251"/>
      <c r="K1007" s="563">
        <f>234054+311298</f>
        <v>545352</v>
      </c>
      <c r="L1007" s="39" t="s">
        <v>83</v>
      </c>
      <c r="M1007" s="39" t="s">
        <v>47</v>
      </c>
      <c r="N1007" s="52" t="str">
        <f>IF(AND('331-CT'!$E$7=TH!H1007,OR(L1007="331",M1007="331")),"331",IF(AND(OR(L1007="131",M1007="131"),H1007='131-CT'!$E$7),"131",""))</f>
        <v/>
      </c>
      <c r="O1007" s="89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>x</v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>x</v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809">
        <v>1</v>
      </c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283"/>
        <v>1</v>
      </c>
      <c r="C1008" s="191">
        <f t="shared" si="284"/>
        <v>41647</v>
      </c>
      <c r="D1008" s="191"/>
      <c r="E1008" s="184">
        <v>41647</v>
      </c>
      <c r="F1008" s="189" t="s">
        <v>990</v>
      </c>
      <c r="G1008" s="463" t="s">
        <v>1000</v>
      </c>
      <c r="H1008" s="7" t="s">
        <v>988</v>
      </c>
      <c r="I1008" s="251"/>
      <c r="J1008" s="251"/>
      <c r="K1008" s="563">
        <f>23406+31129</f>
        <v>54535</v>
      </c>
      <c r="L1008" s="39" t="s">
        <v>9</v>
      </c>
      <c r="M1008" s="39" t="s">
        <v>47</v>
      </c>
      <c r="N1008" s="52" t="str">
        <f>IF(AND('331-CT'!$E$7=TH!H1008,OR(L1008="331",M1008="331")),"331",IF(AND(OR(L1008="131",M1008="131"),H1008='131-CT'!$E$7),"131",""))</f>
        <v/>
      </c>
      <c r="O1008" s="89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>x</v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809">
        <v>1</v>
      </c>
    </row>
    <row r="1009" spans="1:29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283"/>
        <v>1</v>
      </c>
      <c r="C1009" s="191">
        <f t="shared" si="284"/>
        <v>41655</v>
      </c>
      <c r="D1009" s="191" t="s">
        <v>1208</v>
      </c>
      <c r="E1009" s="184">
        <v>41655</v>
      </c>
      <c r="F1009" s="192" t="s">
        <v>995</v>
      </c>
      <c r="G1009" s="463" t="s">
        <v>1001</v>
      </c>
      <c r="H1009" s="7" t="s">
        <v>994</v>
      </c>
      <c r="I1009" s="251">
        <v>1154</v>
      </c>
      <c r="J1009" s="251">
        <v>15220</v>
      </c>
      <c r="K1009" s="563">
        <f>ROUND(I1009*J1009,0)</f>
        <v>17563880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89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809">
        <v>1</v>
      </c>
      <c r="AC1009" s="211" t="str">
        <f t="shared" ref="AC1009:AC1014" si="285">IF(H1009=VLOOKUP(H1009,DSKH,1,0),"","x")</f>
        <v/>
      </c>
    </row>
    <row r="1010" spans="1:29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283"/>
        <v>1</v>
      </c>
      <c r="C1010" s="191">
        <f t="shared" si="284"/>
        <v>41655</v>
      </c>
      <c r="D1010" s="191" t="s">
        <v>1208</v>
      </c>
      <c r="E1010" s="184">
        <v>41655</v>
      </c>
      <c r="F1010" s="189" t="s">
        <v>996</v>
      </c>
      <c r="G1010" s="463" t="s">
        <v>1001</v>
      </c>
      <c r="H1010" s="7" t="s">
        <v>994</v>
      </c>
      <c r="I1010" s="251"/>
      <c r="J1010" s="251"/>
      <c r="K1010" s="563">
        <v>1756388</v>
      </c>
      <c r="L1010" s="39" t="s">
        <v>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89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809">
        <v>1</v>
      </c>
      <c r="AC1010" s="211" t="str">
        <f t="shared" si="285"/>
        <v/>
      </c>
    </row>
    <row r="1011" spans="1:29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ref="B1011" si="286">IF(C1011&lt;&gt;"",MONTH(C1011),"")</f>
        <v>1</v>
      </c>
      <c r="C1011" s="191">
        <f t="shared" ref="C1011" si="287">E1011</f>
        <v>41655</v>
      </c>
      <c r="D1011" s="191"/>
      <c r="E1011" s="184">
        <v>41655</v>
      </c>
      <c r="F1011" s="192" t="s">
        <v>893</v>
      </c>
      <c r="G1011" s="463" t="s">
        <v>1001</v>
      </c>
      <c r="H1011" s="7" t="s">
        <v>994</v>
      </c>
      <c r="I1011" s="251"/>
      <c r="J1011" s="251"/>
      <c r="K1011" s="563">
        <v>19320268</v>
      </c>
      <c r="L1011" s="39" t="s">
        <v>8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9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>x</v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809"/>
      <c r="AC1011" s="211" t="str">
        <f t="shared" si="285"/>
        <v/>
      </c>
    </row>
    <row r="1012" spans="1:29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283"/>
        <v>1</v>
      </c>
      <c r="C1012" s="191">
        <f t="shared" si="284"/>
        <v>41659</v>
      </c>
      <c r="D1012" s="191" t="s">
        <v>1209</v>
      </c>
      <c r="E1012" s="184">
        <v>41659</v>
      </c>
      <c r="F1012" s="192" t="s">
        <v>997</v>
      </c>
      <c r="G1012" s="463" t="s">
        <v>1002</v>
      </c>
      <c r="H1012" s="7" t="s">
        <v>994</v>
      </c>
      <c r="I1012" s="251">
        <v>1012</v>
      </c>
      <c r="J1012" s="251">
        <v>13400</v>
      </c>
      <c r="K1012" s="563">
        <f>ROUND(I1012*J1012,0)</f>
        <v>13560800</v>
      </c>
      <c r="L1012" s="39" t="s">
        <v>159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89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809">
        <v>1</v>
      </c>
      <c r="AC1012" s="211" t="str">
        <f t="shared" si="285"/>
        <v/>
      </c>
    </row>
    <row r="1013" spans="1:29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ref="B1013" si="288">IF(C1013&lt;&gt;"",MONTH(C1013),"")</f>
        <v>1</v>
      </c>
      <c r="C1013" s="191">
        <f t="shared" ref="C1013" si="289">E1013</f>
        <v>41659</v>
      </c>
      <c r="D1013" s="191" t="s">
        <v>1209</v>
      </c>
      <c r="E1013" s="184">
        <v>41659</v>
      </c>
      <c r="F1013" s="189" t="s">
        <v>996</v>
      </c>
      <c r="G1013" s="463" t="s">
        <v>1002</v>
      </c>
      <c r="H1013" s="7" t="s">
        <v>994</v>
      </c>
      <c r="I1013" s="251"/>
      <c r="J1013" s="251"/>
      <c r="K1013" s="563">
        <v>1356080</v>
      </c>
      <c r="L1013" s="39" t="s">
        <v>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89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809">
        <v>1</v>
      </c>
      <c r="AC1013" s="211" t="str">
        <f t="shared" si="285"/>
        <v/>
      </c>
    </row>
    <row r="1014" spans="1:29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283"/>
        <v>1</v>
      </c>
      <c r="C1014" s="191">
        <f t="shared" si="284"/>
        <v>41659</v>
      </c>
      <c r="D1014" s="191"/>
      <c r="E1014" s="184">
        <v>41659</v>
      </c>
      <c r="F1014" s="192" t="s">
        <v>893</v>
      </c>
      <c r="G1014" s="463" t="s">
        <v>1002</v>
      </c>
      <c r="H1014" s="7" t="s">
        <v>994</v>
      </c>
      <c r="I1014" s="251"/>
      <c r="J1014" s="251"/>
      <c r="K1014" s="563">
        <v>14916880</v>
      </c>
      <c r="L1014" s="39" t="s">
        <v>8</v>
      </c>
      <c r="M1014" s="39" t="s">
        <v>47</v>
      </c>
      <c r="N1014" s="52" t="str">
        <f>IF(AND('331-CT'!$E$7=TH!H1014,OR(L1014="331",M1014="331")),"331",IF(AND(OR(L1014="131",M1014="131"),H1014='131-CT'!$E$7),"131",""))</f>
        <v/>
      </c>
      <c r="O1014" s="89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>x</v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809"/>
      <c r="AC1014" s="211" t="str">
        <f t="shared" si="285"/>
        <v/>
      </c>
    </row>
    <row r="1015" spans="1:29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283"/>
        <v>1</v>
      </c>
      <c r="C1015" s="191">
        <f t="shared" si="284"/>
        <v>41660</v>
      </c>
      <c r="D1015" s="191"/>
      <c r="E1015" s="184">
        <v>41660</v>
      </c>
      <c r="F1015" s="192" t="s">
        <v>372</v>
      </c>
      <c r="G1015" s="463" t="s">
        <v>1003</v>
      </c>
      <c r="H1015" s="7" t="s">
        <v>998</v>
      </c>
      <c r="I1015" s="251"/>
      <c r="J1015" s="251"/>
      <c r="K1015" s="563">
        <v>950000</v>
      </c>
      <c r="L1015" s="39" t="s">
        <v>167</v>
      </c>
      <c r="M1015" s="39" t="s">
        <v>47</v>
      </c>
      <c r="N1015" s="52" t="str">
        <f>IF(AND('331-CT'!$E$7=TH!H1015,OR(L1015="331",M1015="331")),"331",IF(AND(OR(L1015="131",M1015="131"),H1015='131-CT'!$E$7),"131",""))</f>
        <v/>
      </c>
      <c r="O1015" s="89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>x</v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809">
        <v>1</v>
      </c>
    </row>
    <row r="1016" spans="1:29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283"/>
        <v>1</v>
      </c>
      <c r="C1016" s="191">
        <f t="shared" si="284"/>
        <v>41660</v>
      </c>
      <c r="D1016" s="191"/>
      <c r="E1016" s="184">
        <v>41660</v>
      </c>
      <c r="F1016" s="192" t="s">
        <v>999</v>
      </c>
      <c r="G1016" s="463" t="s">
        <v>1003</v>
      </c>
      <c r="H1016" s="7" t="s">
        <v>998</v>
      </c>
      <c r="I1016" s="251"/>
      <c r="J1016" s="251"/>
      <c r="K1016" s="563">
        <v>95000</v>
      </c>
      <c r="L1016" s="39" t="s">
        <v>9</v>
      </c>
      <c r="M1016" s="39" t="s">
        <v>47</v>
      </c>
      <c r="N1016" s="52" t="str">
        <f>IF(AND('331-CT'!$E$7=TH!H1016,OR(L1016="331",M1016="331")),"331",IF(AND(OR(L1016="131",M1016="131"),H1016='131-CT'!$E$7),"131",""))</f>
        <v/>
      </c>
      <c r="O1016" s="89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809">
        <v>1</v>
      </c>
    </row>
    <row r="1017" spans="1:29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283"/>
        <v>1</v>
      </c>
      <c r="C1017" s="191">
        <f t="shared" si="284"/>
        <v>41661</v>
      </c>
      <c r="D1017" s="191" t="s">
        <v>1210</v>
      </c>
      <c r="E1017" s="184">
        <v>41661</v>
      </c>
      <c r="F1017" s="192" t="s">
        <v>1004</v>
      </c>
      <c r="G1017" s="463" t="s">
        <v>1005</v>
      </c>
      <c r="H1017" s="7" t="s">
        <v>994</v>
      </c>
      <c r="I1017" s="251">
        <v>870</v>
      </c>
      <c r="J1017" s="251">
        <v>20620</v>
      </c>
      <c r="K1017" s="563">
        <f>ROUND(I1017*J1017,0)</f>
        <v>17939400</v>
      </c>
      <c r="L1017" s="39" t="s">
        <v>159</v>
      </c>
      <c r="M1017" s="39" t="s">
        <v>8</v>
      </c>
      <c r="N1017" s="52" t="str">
        <f>IF(AND('331-CT'!$E$7=TH!H1017,OR(L1017="331",M1017="331")),"331",IF(AND(OR(L1017="131",M1017="131"),H1017='131-CT'!$E$7),"131",""))</f>
        <v/>
      </c>
      <c r="O1017" s="89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809">
        <v>1</v>
      </c>
      <c r="AC1017" s="211" t="str">
        <f>IF(H1017=VLOOKUP(H1017,DSKH,1,0),"","x")</f>
        <v/>
      </c>
    </row>
    <row r="1018" spans="1:29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283"/>
        <v>1</v>
      </c>
      <c r="C1018" s="191">
        <f t="shared" si="284"/>
        <v>41661</v>
      </c>
      <c r="D1018" s="191" t="s">
        <v>1210</v>
      </c>
      <c r="E1018" s="184">
        <v>41661</v>
      </c>
      <c r="F1018" s="189" t="s">
        <v>996</v>
      </c>
      <c r="G1018" s="463" t="s">
        <v>1005</v>
      </c>
      <c r="H1018" s="7" t="s">
        <v>994</v>
      </c>
      <c r="I1018" s="251"/>
      <c r="J1018" s="251"/>
      <c r="K1018" s="563">
        <v>1793940</v>
      </c>
      <c r="L1018" s="39" t="s">
        <v>9</v>
      </c>
      <c r="M1018" s="39" t="s">
        <v>8</v>
      </c>
      <c r="N1018" s="52" t="str">
        <f>IF(AND('331-CT'!$E$7=TH!H1018,OR(L1018="331",M1018="331")),"331",IF(AND(OR(L1018="131",M1018="131"),H1018='131-CT'!$E$7),"131",""))</f>
        <v/>
      </c>
      <c r="O1018" s="89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809">
        <v>1</v>
      </c>
      <c r="AC1018" s="211" t="str">
        <f>IF(H1018=VLOOKUP(H1018,DSKH,1,0),"","x")</f>
        <v/>
      </c>
    </row>
    <row r="1019" spans="1:29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ref="B1019" si="290">IF(C1019&lt;&gt;"",MONTH(C1019),"")</f>
        <v>1</v>
      </c>
      <c r="C1019" s="191">
        <f t="shared" ref="C1019" si="291">E1019</f>
        <v>41661</v>
      </c>
      <c r="D1019" s="191"/>
      <c r="E1019" s="184">
        <v>41661</v>
      </c>
      <c r="F1019" s="192" t="s">
        <v>893</v>
      </c>
      <c r="G1019" s="463" t="s">
        <v>1005</v>
      </c>
      <c r="H1019" s="7" t="s">
        <v>994</v>
      </c>
      <c r="I1019" s="251"/>
      <c r="J1019" s="251"/>
      <c r="K1019" s="563">
        <v>19733340</v>
      </c>
      <c r="L1019" s="39" t="s">
        <v>8</v>
      </c>
      <c r="M1019" s="39" t="s">
        <v>47</v>
      </c>
      <c r="N1019" s="52" t="str">
        <f>IF(AND('331-CT'!$E$7=TH!H1019,OR(L1019="331",M1019="331")),"331",IF(AND(OR(L1019="131",M1019="131"),H1019='131-CT'!$E$7),"131",""))</f>
        <v/>
      </c>
      <c r="O1019" s="89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809"/>
      <c r="AC1019" s="211" t="str">
        <f>IF(H1019=VLOOKUP(H1019,DSKH,1,0),"","x")</f>
        <v/>
      </c>
    </row>
    <row r="1020" spans="1:29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283"/>
        <v>1</v>
      </c>
      <c r="C1020" s="37">
        <f t="shared" si="284"/>
        <v>41663</v>
      </c>
      <c r="D1020" s="37"/>
      <c r="E1020" s="37">
        <v>41663</v>
      </c>
      <c r="F1020" s="189" t="s">
        <v>991</v>
      </c>
      <c r="G1020" s="463" t="s">
        <v>1196</v>
      </c>
      <c r="H1020" s="7" t="s">
        <v>993</v>
      </c>
      <c r="I1020" s="251"/>
      <c r="J1020" s="251"/>
      <c r="K1020" s="563">
        <v>915306</v>
      </c>
      <c r="L1020" s="39" t="s">
        <v>83</v>
      </c>
      <c r="M1020" s="39" t="s">
        <v>47</v>
      </c>
      <c r="N1020" s="52" t="str">
        <f>IF(AND('331-CT'!$E$7=TH!H1020,OR(L1020="331",M1020="331")),"331",IF(AND(OR(L1020="131",M1020="131"),H1020='131-CT'!$E$7),"131",""))</f>
        <v/>
      </c>
      <c r="O1020" s="89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>x</v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>x</v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809">
        <v>2</v>
      </c>
    </row>
    <row r="1021" spans="1:29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283"/>
        <v>1</v>
      </c>
      <c r="C1021" s="37">
        <f t="shared" si="284"/>
        <v>41663</v>
      </c>
      <c r="D1021" s="37"/>
      <c r="E1021" s="37">
        <v>41663</v>
      </c>
      <c r="F1021" s="189" t="s">
        <v>992</v>
      </c>
      <c r="G1021" s="463" t="s">
        <v>1196</v>
      </c>
      <c r="H1021" s="7" t="s">
        <v>993</v>
      </c>
      <c r="I1021" s="251"/>
      <c r="J1021" s="251"/>
      <c r="K1021" s="563">
        <v>91531</v>
      </c>
      <c r="L1021" s="837" t="s">
        <v>9</v>
      </c>
      <c r="M1021" s="39" t="s">
        <v>47</v>
      </c>
      <c r="N1021" s="52" t="str">
        <f>IF(AND('331-CT'!$E$7=TH!H1021,OR(L1021="331",M1021="331")),"331",IF(AND(OR(L1021="131",M1021="131"),H1021='131-CT'!$E$7),"131",""))</f>
        <v/>
      </c>
      <c r="O1021" s="89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>x</v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809">
        <v>2</v>
      </c>
    </row>
    <row r="1022" spans="1:29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283"/>
        <v>2</v>
      </c>
      <c r="C1022" s="191">
        <f t="shared" si="284"/>
        <v>41688</v>
      </c>
      <c r="D1022" s="191"/>
      <c r="E1022" s="184">
        <v>41688</v>
      </c>
      <c r="F1022" s="189" t="s">
        <v>989</v>
      </c>
      <c r="G1022" s="463" t="s">
        <v>1006</v>
      </c>
      <c r="H1022" s="7" t="s">
        <v>988</v>
      </c>
      <c r="I1022" s="251"/>
      <c r="J1022" s="251"/>
      <c r="K1022" s="563">
        <f>238466+289462+315615</f>
        <v>843543</v>
      </c>
      <c r="L1022" s="39" t="s">
        <v>83</v>
      </c>
      <c r="M1022" s="39" t="s">
        <v>47</v>
      </c>
      <c r="N1022" s="52" t="str">
        <f>IF(AND('331-CT'!$E$7=TH!H1022,OR(L1022="331",M1022="331")),"331",IF(AND(OR(L1022="131",M1022="131"),H1022='131-CT'!$E$7),"131",""))</f>
        <v/>
      </c>
      <c r="O1022" s="89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>x</v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>x</v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809">
        <v>1</v>
      </c>
    </row>
    <row r="1023" spans="1:29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283"/>
        <v>2</v>
      </c>
      <c r="C1023" s="191">
        <f t="shared" si="284"/>
        <v>41688</v>
      </c>
      <c r="D1023" s="191"/>
      <c r="E1023" s="184">
        <v>41688</v>
      </c>
      <c r="F1023" s="189" t="s">
        <v>990</v>
      </c>
      <c r="G1023" s="463" t="s">
        <v>1006</v>
      </c>
      <c r="H1023" s="7" t="s">
        <v>988</v>
      </c>
      <c r="I1023" s="251"/>
      <c r="J1023" s="251"/>
      <c r="K1023" s="563">
        <f>23846+28946+31560</f>
        <v>84352</v>
      </c>
      <c r="L1023" s="39" t="s">
        <v>9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9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>x</v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809">
        <v>1</v>
      </c>
    </row>
    <row r="1024" spans="1:29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si="283"/>
        <v>2</v>
      </c>
      <c r="C1024" s="191">
        <f t="shared" si="284"/>
        <v>41690</v>
      </c>
      <c r="D1024" s="191"/>
      <c r="E1024" s="184">
        <v>41690</v>
      </c>
      <c r="F1024" s="192" t="s">
        <v>372</v>
      </c>
      <c r="G1024" s="463" t="s">
        <v>518</v>
      </c>
      <c r="H1024" s="7" t="s">
        <v>998</v>
      </c>
      <c r="I1024" s="251"/>
      <c r="J1024" s="251"/>
      <c r="K1024" s="563">
        <v>11530000</v>
      </c>
      <c r="L1024" s="39" t="s">
        <v>167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89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>x</v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809">
        <v>1</v>
      </c>
    </row>
    <row r="1025" spans="1:31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283"/>
        <v>2</v>
      </c>
      <c r="C1025" s="191">
        <f t="shared" si="284"/>
        <v>41690</v>
      </c>
      <c r="D1025" s="191"/>
      <c r="E1025" s="184">
        <v>41690</v>
      </c>
      <c r="F1025" s="192" t="s">
        <v>999</v>
      </c>
      <c r="G1025" s="463" t="s">
        <v>518</v>
      </c>
      <c r="H1025" s="7" t="s">
        <v>998</v>
      </c>
      <c r="I1025" s="251"/>
      <c r="J1025" s="251"/>
      <c r="K1025" s="563">
        <v>1153000</v>
      </c>
      <c r="L1025" s="39" t="s">
        <v>9</v>
      </c>
      <c r="M1025" s="39" t="s">
        <v>47</v>
      </c>
      <c r="N1025" s="52" t="str">
        <f>IF(AND('331-CT'!$E$7=TH!H1025,OR(L1025="331",M1025="331")),"331",IF(AND(OR(L1025="131",M1025="131"),H1025='131-CT'!$E$7),"131",""))</f>
        <v/>
      </c>
      <c r="O1025" s="89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>x</v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809">
        <v>1</v>
      </c>
    </row>
    <row r="1026" spans="1:31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ref="B1026:B1027" si="292">IF(C1026&lt;&gt;"",MONTH(C1026),"")</f>
        <v>2</v>
      </c>
      <c r="C1026" s="37">
        <f t="shared" ref="C1026:C1027" si="293">E1026</f>
        <v>41694</v>
      </c>
      <c r="D1026" s="37"/>
      <c r="E1026" s="191">
        <v>41694</v>
      </c>
      <c r="F1026" s="189" t="s">
        <v>991</v>
      </c>
      <c r="G1026" s="462" t="s">
        <v>1197</v>
      </c>
      <c r="H1026" s="7" t="s">
        <v>993</v>
      </c>
      <c r="I1026" s="251"/>
      <c r="J1026" s="251"/>
      <c r="K1026" s="563">
        <v>643948</v>
      </c>
      <c r="L1026" s="39" t="s">
        <v>83</v>
      </c>
      <c r="M1026" s="39" t="s">
        <v>47</v>
      </c>
      <c r="N1026" s="52" t="str">
        <f>IF(AND('331-CT'!$E$7=TH!H1026,OR(L1026="331",M1026="331")),"331",IF(AND(OR(L1026="131",M1026="131"),H1026='131-CT'!$E$7),"131",""))</f>
        <v/>
      </c>
      <c r="O1026" s="89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>x</v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>x</v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809">
        <v>2</v>
      </c>
    </row>
    <row r="1027" spans="1:31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292"/>
        <v>2</v>
      </c>
      <c r="C1027" s="37">
        <f t="shared" si="293"/>
        <v>41694</v>
      </c>
      <c r="D1027" s="37"/>
      <c r="E1027" s="191">
        <v>41694</v>
      </c>
      <c r="F1027" s="189" t="s">
        <v>992</v>
      </c>
      <c r="G1027" s="462" t="s">
        <v>1197</v>
      </c>
      <c r="H1027" s="7" t="s">
        <v>993</v>
      </c>
      <c r="I1027" s="251"/>
      <c r="J1027" s="251"/>
      <c r="K1027" s="563">
        <v>64395</v>
      </c>
      <c r="L1027" s="39" t="s">
        <v>9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9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>x</v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809">
        <v>2</v>
      </c>
    </row>
    <row r="1028" spans="1:31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283"/>
        <v>3</v>
      </c>
      <c r="C1028" s="37">
        <f t="shared" si="284"/>
        <v>41708</v>
      </c>
      <c r="D1028" s="37"/>
      <c r="E1028" s="191">
        <v>41708</v>
      </c>
      <c r="F1028" s="189" t="s">
        <v>991</v>
      </c>
      <c r="G1028" s="462" t="s">
        <v>1197</v>
      </c>
      <c r="H1028" s="7" t="s">
        <v>993</v>
      </c>
      <c r="I1028" s="251"/>
      <c r="J1028" s="251"/>
      <c r="K1028" s="563">
        <v>643948</v>
      </c>
      <c r="L1028" s="39" t="s">
        <v>83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9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>x</v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>x</v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809">
        <v>1</v>
      </c>
    </row>
    <row r="1029" spans="1:31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283"/>
        <v>3</v>
      </c>
      <c r="C1029" s="37">
        <f t="shared" si="284"/>
        <v>41708</v>
      </c>
      <c r="D1029" s="37"/>
      <c r="E1029" s="191">
        <v>41708</v>
      </c>
      <c r="F1029" s="189" t="s">
        <v>992</v>
      </c>
      <c r="G1029" s="462" t="s">
        <v>1197</v>
      </c>
      <c r="H1029" s="7" t="s">
        <v>993</v>
      </c>
      <c r="I1029" s="251"/>
      <c r="J1029" s="251"/>
      <c r="K1029" s="563">
        <v>64395</v>
      </c>
      <c r="L1029" s="39" t="s">
        <v>9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89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>x</v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809">
        <v>1</v>
      </c>
    </row>
    <row r="1030" spans="1:31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283"/>
        <v>3</v>
      </c>
      <c r="C1030" s="191">
        <f t="shared" si="284"/>
        <v>41708</v>
      </c>
      <c r="D1030" s="184"/>
      <c r="E1030" s="191">
        <v>41708</v>
      </c>
      <c r="F1030" s="192" t="s">
        <v>1059</v>
      </c>
      <c r="G1030" s="460" t="s">
        <v>1062</v>
      </c>
      <c r="H1030" s="45" t="s">
        <v>1061</v>
      </c>
      <c r="I1030" s="252"/>
      <c r="J1030" s="251"/>
      <c r="K1030" s="38">
        <v>1000000</v>
      </c>
      <c r="L1030" s="194" t="s">
        <v>63</v>
      </c>
      <c r="M1030" s="564" t="s">
        <v>47</v>
      </c>
      <c r="N1030" s="52" t="str">
        <f>IF(AND('331-CT'!$E$7=TH!H1030,OR(L1030="331",M1030="331")),"331",IF(AND(OR(L1030="131",M1030="131"),H1030='131-CT'!$E$7),"131",""))</f>
        <v/>
      </c>
      <c r="O1030" s="89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>x</v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809"/>
      <c r="AC1030" s="555"/>
      <c r="AD1030" s="555"/>
      <c r="AE1030" s="555"/>
    </row>
    <row r="1031" spans="1:31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83"/>
        <v>3</v>
      </c>
      <c r="C1031" s="191">
        <f t="shared" si="284"/>
        <v>41708</v>
      </c>
      <c r="D1031" s="184"/>
      <c r="E1031" s="191">
        <v>41708</v>
      </c>
      <c r="F1031" s="192" t="s">
        <v>1060</v>
      </c>
      <c r="G1031" s="460" t="s">
        <v>1062</v>
      </c>
      <c r="H1031" s="45" t="s">
        <v>1061</v>
      </c>
      <c r="I1031" s="252"/>
      <c r="J1031" s="251"/>
      <c r="K1031" s="38">
        <v>1000000</v>
      </c>
      <c r="L1031" s="194" t="s">
        <v>83</v>
      </c>
      <c r="M1031" s="564" t="s">
        <v>63</v>
      </c>
      <c r="N1031" s="52" t="str">
        <f>IF(AND('331-CT'!$E$7=TH!H1031,OR(L1031="331",M1031="331")),"331",IF(AND(OR(L1031="131",M1031="131"),H1031='131-CT'!$E$7),"131",""))</f>
        <v/>
      </c>
      <c r="O1031" s="89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809"/>
      <c r="AC1031" s="555"/>
      <c r="AD1031" s="555"/>
      <c r="AE1031" s="555"/>
    </row>
    <row r="1032" spans="1:31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83"/>
        <v>3</v>
      </c>
      <c r="C1032" s="191">
        <f t="shared" si="284"/>
        <v>41711</v>
      </c>
      <c r="D1032" s="191"/>
      <c r="E1032" s="191">
        <v>41711</v>
      </c>
      <c r="F1032" s="189" t="s">
        <v>989</v>
      </c>
      <c r="G1032" s="463" t="s">
        <v>1007</v>
      </c>
      <c r="H1032" s="7" t="s">
        <v>988</v>
      </c>
      <c r="I1032" s="251"/>
      <c r="J1032" s="251"/>
      <c r="K1032" s="563">
        <f>213905</f>
        <v>213905</v>
      </c>
      <c r="L1032" s="39" t="s">
        <v>83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89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>x</v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>x</v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809">
        <v>1</v>
      </c>
    </row>
    <row r="1033" spans="1:31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83"/>
        <v>3</v>
      </c>
      <c r="C1033" s="191">
        <f t="shared" si="284"/>
        <v>41711</v>
      </c>
      <c r="D1033" s="191"/>
      <c r="E1033" s="191">
        <v>41711</v>
      </c>
      <c r="F1033" s="189" t="s">
        <v>990</v>
      </c>
      <c r="G1033" s="463" t="s">
        <v>1007</v>
      </c>
      <c r="H1033" s="7" t="s">
        <v>988</v>
      </c>
      <c r="I1033" s="251"/>
      <c r="J1033" s="251"/>
      <c r="K1033" s="563">
        <f>21390</f>
        <v>21390</v>
      </c>
      <c r="L1033" s="39" t="s">
        <v>9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9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809">
        <v>1</v>
      </c>
    </row>
    <row r="1034" spans="1:31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83"/>
        <v>3</v>
      </c>
      <c r="C1034" s="191">
        <f t="shared" si="284"/>
        <v>41722</v>
      </c>
      <c r="D1034" s="191"/>
      <c r="E1034" s="191">
        <v>41722</v>
      </c>
      <c r="F1034" s="192" t="s">
        <v>372</v>
      </c>
      <c r="G1034" s="463" t="s">
        <v>549</v>
      </c>
      <c r="H1034" s="7" t="s">
        <v>998</v>
      </c>
      <c r="I1034" s="251"/>
      <c r="J1034" s="251"/>
      <c r="K1034" s="563">
        <v>3640000</v>
      </c>
      <c r="L1034" s="39" t="s">
        <v>167</v>
      </c>
      <c r="M1034" s="39" t="s">
        <v>47</v>
      </c>
      <c r="N1034" s="52" t="str">
        <f>IF(AND('331-CT'!$E$7=TH!H1034,OR(L1034="331",M1034="331")),"331",IF(AND(OR(L1034="131",M1034="131"),H1034='131-CT'!$E$7),"131",""))</f>
        <v/>
      </c>
      <c r="O1034" s="89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809">
        <v>1</v>
      </c>
    </row>
    <row r="1035" spans="1:31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83"/>
        <v>3</v>
      </c>
      <c r="C1035" s="191">
        <f t="shared" si="284"/>
        <v>41722</v>
      </c>
      <c r="D1035" s="191"/>
      <c r="E1035" s="191">
        <v>41722</v>
      </c>
      <c r="F1035" s="192" t="s">
        <v>999</v>
      </c>
      <c r="G1035" s="463" t="s">
        <v>549</v>
      </c>
      <c r="H1035" s="7" t="s">
        <v>998</v>
      </c>
      <c r="I1035" s="251"/>
      <c r="J1035" s="251"/>
      <c r="K1035" s="563">
        <v>364000</v>
      </c>
      <c r="L1035" s="39" t="s">
        <v>9</v>
      </c>
      <c r="M1035" s="39" t="s">
        <v>47</v>
      </c>
      <c r="N1035" s="52" t="str">
        <f>IF(AND('331-CT'!$E$7=TH!H1035,OR(L1035="331",M1035="331")),"331",IF(AND(OR(L1035="131",M1035="131"),H1035='131-CT'!$E$7),"131",""))</f>
        <v/>
      </c>
      <c r="O1035" s="89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>x</v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809">
        <v>1</v>
      </c>
    </row>
    <row r="1036" spans="1:31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83"/>
        <v>3</v>
      </c>
      <c r="C1036" s="37">
        <f t="shared" si="284"/>
        <v>41722</v>
      </c>
      <c r="D1036" s="37"/>
      <c r="E1036" s="37">
        <v>41722</v>
      </c>
      <c r="F1036" s="189" t="s">
        <v>991</v>
      </c>
      <c r="G1036" s="462" t="s">
        <v>1198</v>
      </c>
      <c r="H1036" s="7" t="s">
        <v>993</v>
      </c>
      <c r="I1036" s="251"/>
      <c r="J1036" s="251"/>
      <c r="K1036" s="563">
        <v>833758</v>
      </c>
      <c r="L1036" s="39" t="s">
        <v>83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9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>x</v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>x</v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809">
        <v>2</v>
      </c>
    </row>
    <row r="1037" spans="1:31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83"/>
        <v>3</v>
      </c>
      <c r="C1037" s="37">
        <f t="shared" si="284"/>
        <v>41722</v>
      </c>
      <c r="D1037" s="37"/>
      <c r="E1037" s="37">
        <v>41722</v>
      </c>
      <c r="F1037" s="189" t="s">
        <v>992</v>
      </c>
      <c r="G1037" s="462" t="s">
        <v>1198</v>
      </c>
      <c r="H1037" s="7" t="s">
        <v>993</v>
      </c>
      <c r="I1037" s="251"/>
      <c r="J1037" s="251"/>
      <c r="K1037" s="563">
        <v>83376</v>
      </c>
      <c r="L1037" s="837" t="s">
        <v>9</v>
      </c>
      <c r="M1037" s="39" t="s">
        <v>47</v>
      </c>
      <c r="N1037" s="52" t="str">
        <f>IF(AND('331-CT'!$E$7=TH!H1037,OR(L1037="331",M1037="331")),"331",IF(AND(OR(L1037="131",M1037="131"),H1037='131-CT'!$E$7),"131",""))</f>
        <v/>
      </c>
      <c r="O1037" s="89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>x</v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809">
        <v>2</v>
      </c>
    </row>
    <row r="1038" spans="1:31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83"/>
        <v>4</v>
      </c>
      <c r="C1038" s="37">
        <f t="shared" si="284"/>
        <v>41737</v>
      </c>
      <c r="D1038" s="37"/>
      <c r="E1038" s="37">
        <v>41737</v>
      </c>
      <c r="F1038" s="192" t="s">
        <v>372</v>
      </c>
      <c r="G1038" s="463" t="s">
        <v>1133</v>
      </c>
      <c r="H1038" s="7" t="s">
        <v>998</v>
      </c>
      <c r="I1038" s="251"/>
      <c r="J1038" s="251"/>
      <c r="K1038" s="563">
        <v>4290000</v>
      </c>
      <c r="L1038" s="39" t="s">
        <v>167</v>
      </c>
      <c r="M1038" s="39" t="s">
        <v>47</v>
      </c>
      <c r="N1038" s="52" t="str">
        <f>IF(AND('331-CT'!$E$7=TH!H1038,OR(L1038="331",M1038="331")),"331",IF(AND(OR(L1038="131",M1038="131"),H1038='131-CT'!$E$7),"131",""))</f>
        <v/>
      </c>
      <c r="O1038" s="89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>x</v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>154</v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809">
        <v>2</v>
      </c>
    </row>
    <row r="1039" spans="1:31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83"/>
        <v>4</v>
      </c>
      <c r="C1039" s="37">
        <f t="shared" si="284"/>
        <v>41737</v>
      </c>
      <c r="D1039" s="37"/>
      <c r="E1039" s="37">
        <v>41737</v>
      </c>
      <c r="F1039" s="192" t="s">
        <v>999</v>
      </c>
      <c r="G1039" s="463" t="s">
        <v>1133</v>
      </c>
      <c r="H1039" s="7" t="s">
        <v>998</v>
      </c>
      <c r="I1039" s="251"/>
      <c r="J1039" s="251"/>
      <c r="K1039" s="563">
        <v>429000</v>
      </c>
      <c r="L1039" s="39" t="s">
        <v>9</v>
      </c>
      <c r="M1039" s="39" t="s">
        <v>47</v>
      </c>
      <c r="N1039" s="52" t="str">
        <f>IF(AND('331-CT'!$E$7=TH!H1039,OR(L1039="331",M1039="331")),"331",IF(AND(OR(L1039="131",M1039="131"),H1039='131-CT'!$E$7),"131",""))</f>
        <v/>
      </c>
      <c r="O1039" s="89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>x</v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809">
        <v>2</v>
      </c>
    </row>
    <row r="1040" spans="1:31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83"/>
        <v>4</v>
      </c>
      <c r="C1040" s="37">
        <f t="shared" si="284"/>
        <v>41743</v>
      </c>
      <c r="D1040" s="37"/>
      <c r="E1040" s="37">
        <v>41743</v>
      </c>
      <c r="F1040" s="192" t="s">
        <v>372</v>
      </c>
      <c r="G1040" s="463" t="s">
        <v>1134</v>
      </c>
      <c r="H1040" s="7" t="s">
        <v>998</v>
      </c>
      <c r="I1040" s="251"/>
      <c r="J1040" s="251"/>
      <c r="K1040" s="563">
        <v>3710000</v>
      </c>
      <c r="L1040" s="39" t="s">
        <v>167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89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>x</v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154</v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809">
        <v>2</v>
      </c>
    </row>
    <row r="1041" spans="1:29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83"/>
        <v>4</v>
      </c>
      <c r="C1041" s="37">
        <f t="shared" si="284"/>
        <v>41743</v>
      </c>
      <c r="D1041" s="37"/>
      <c r="E1041" s="37">
        <v>41743</v>
      </c>
      <c r="F1041" s="192" t="s">
        <v>999</v>
      </c>
      <c r="G1041" s="463" t="s">
        <v>1134</v>
      </c>
      <c r="H1041" s="7" t="s">
        <v>998</v>
      </c>
      <c r="I1041" s="251"/>
      <c r="J1041" s="251"/>
      <c r="K1041" s="563">
        <v>371000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9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809">
        <v>2</v>
      </c>
    </row>
    <row r="1042" spans="1:29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83"/>
        <v>4</v>
      </c>
      <c r="C1042" s="37">
        <f t="shared" si="284"/>
        <v>41747</v>
      </c>
      <c r="D1042" s="37"/>
      <c r="E1042" s="37">
        <v>41747</v>
      </c>
      <c r="F1042" s="189" t="s">
        <v>989</v>
      </c>
      <c r="G1042" s="463" t="s">
        <v>1135</v>
      </c>
      <c r="H1042" s="7" t="s">
        <v>988</v>
      </c>
      <c r="I1042" s="251"/>
      <c r="J1042" s="251"/>
      <c r="K1042" s="563">
        <f>514209+816799+626098</f>
        <v>1957106</v>
      </c>
      <c r="L1042" s="39" t="s">
        <v>83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9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W1042" s="52" t="str">
        <f>IF(OR(TH!L1042=TH!$W$7,M1042=TH!$W$7),"x","")</f>
        <v>x</v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809">
        <v>2</v>
      </c>
    </row>
    <row r="1043" spans="1:29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83"/>
        <v>4</v>
      </c>
      <c r="C1043" s="37">
        <f t="shared" si="284"/>
        <v>41747</v>
      </c>
      <c r="D1043" s="184"/>
      <c r="E1043" s="37">
        <v>41747</v>
      </c>
      <c r="F1043" s="189" t="s">
        <v>990</v>
      </c>
      <c r="G1043" s="463" t="s">
        <v>1135</v>
      </c>
      <c r="H1043" s="7" t="s">
        <v>988</v>
      </c>
      <c r="I1043" s="251"/>
      <c r="J1043" s="251"/>
      <c r="K1043" s="563">
        <f>51420+81681+62609</f>
        <v>195710</v>
      </c>
      <c r="L1043" s="39" t="s">
        <v>9</v>
      </c>
      <c r="M1043" s="39" t="s">
        <v>47</v>
      </c>
      <c r="N1043" s="52" t="str">
        <f>IF(AND('331-CT'!$E$7=TH!H1043,OR(L1043="331",M1043="331")),"331",IF(AND(OR(L1043="131",M1043="131"),H1043='131-CT'!$E$7),"131",""))</f>
        <v/>
      </c>
      <c r="O1043" s="89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>x</v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809">
        <v>2</v>
      </c>
    </row>
    <row r="1044" spans="1:29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83"/>
        <v>4</v>
      </c>
      <c r="C1044" s="37">
        <f t="shared" si="284"/>
        <v>41748</v>
      </c>
      <c r="D1044" s="184"/>
      <c r="E1044" s="37">
        <v>41748</v>
      </c>
      <c r="F1044" s="192" t="s">
        <v>1029</v>
      </c>
      <c r="G1044" s="463" t="s">
        <v>1136</v>
      </c>
      <c r="H1044" s="45" t="s">
        <v>1137</v>
      </c>
      <c r="I1044" s="251"/>
      <c r="J1044" s="251"/>
      <c r="K1044" s="38">
        <v>845909</v>
      </c>
      <c r="L1044" s="39" t="s">
        <v>83</v>
      </c>
      <c r="M1044" s="39" t="s">
        <v>47</v>
      </c>
      <c r="N1044" s="52" t="str">
        <f>IF(AND('331-CT'!$E$7=TH!H1044,OR(L1044="331",M1044="331")),"331",IF(AND(OR(L1044="131",M1044="131"),H1044='131-CT'!$E$7),"131",""))</f>
        <v/>
      </c>
      <c r="O1044" s="89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>x</v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642</v>
      </c>
      <c r="W1044" s="52" t="str">
        <f>IF(OR(TH!L1044=TH!$W$7,M1044=TH!$W$7),"x","")</f>
        <v>x</v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809">
        <v>2</v>
      </c>
    </row>
    <row r="1045" spans="1:29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83"/>
        <v>4</v>
      </c>
      <c r="C1045" s="37">
        <f t="shared" si="284"/>
        <v>41748</v>
      </c>
      <c r="D1045" s="37"/>
      <c r="E1045" s="37">
        <v>41748</v>
      </c>
      <c r="F1045" s="291" t="s">
        <v>1030</v>
      </c>
      <c r="G1045" s="463" t="s">
        <v>1136</v>
      </c>
      <c r="H1045" s="45" t="s">
        <v>1137</v>
      </c>
      <c r="I1045" s="251"/>
      <c r="J1045" s="251"/>
      <c r="K1045" s="563">
        <v>84591</v>
      </c>
      <c r="L1045" s="39" t="s">
        <v>9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9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>x</v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809">
        <v>2</v>
      </c>
    </row>
    <row r="1046" spans="1:29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83"/>
        <v>4</v>
      </c>
      <c r="C1046" s="37">
        <f t="shared" si="284"/>
        <v>41753</v>
      </c>
      <c r="D1046" s="37"/>
      <c r="E1046" s="724">
        <v>41753</v>
      </c>
      <c r="F1046" s="189" t="s">
        <v>991</v>
      </c>
      <c r="G1046" s="463" t="s">
        <v>1138</v>
      </c>
      <c r="H1046" s="7" t="s">
        <v>993</v>
      </c>
      <c r="I1046" s="251"/>
      <c r="J1046" s="251"/>
      <c r="K1046" s="563">
        <v>1301956</v>
      </c>
      <c r="L1046" s="39" t="s">
        <v>83</v>
      </c>
      <c r="M1046" s="39" t="s">
        <v>47</v>
      </c>
      <c r="N1046" s="52" t="str">
        <f>IF(AND('331-CT'!$E$7=TH!H1046,OR(L1046="331",M1046="331")),"331",IF(AND(OR(L1046="131",M1046="131"),H1046='131-CT'!$E$7),"131",""))</f>
        <v/>
      </c>
      <c r="O1046" s="89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>x</v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>642</v>
      </c>
      <c r="W1046" s="52" t="str">
        <f>IF(OR(TH!L1046=TH!$W$7,M1046=TH!$W$7),"x","")</f>
        <v>x</v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809">
        <v>2</v>
      </c>
    </row>
    <row r="1047" spans="1:29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83"/>
        <v>4</v>
      </c>
      <c r="C1047" s="37">
        <f t="shared" si="284"/>
        <v>41753</v>
      </c>
      <c r="D1047" s="37"/>
      <c r="E1047" s="724">
        <v>41753</v>
      </c>
      <c r="F1047" s="189" t="s">
        <v>992</v>
      </c>
      <c r="G1047" s="463" t="s">
        <v>1138</v>
      </c>
      <c r="H1047" s="7" t="s">
        <v>993</v>
      </c>
      <c r="I1047" s="251"/>
      <c r="J1047" s="251"/>
      <c r="K1047" s="563">
        <v>130196</v>
      </c>
      <c r="L1047" s="39" t="s">
        <v>9</v>
      </c>
      <c r="M1047" s="39" t="s">
        <v>47</v>
      </c>
      <c r="N1047" s="52" t="str">
        <f>IF(AND('331-CT'!$E$7=TH!H1047,OR(L1047="331",M1047="331")),"331",IF(AND(OR(L1047="131",M1047="131"),H1047='131-CT'!$E$7),"131",""))</f>
        <v/>
      </c>
      <c r="O1047" s="89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>x</v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809">
        <v>2</v>
      </c>
    </row>
    <row r="1048" spans="1:29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83"/>
        <v>4</v>
      </c>
      <c r="C1048" s="37">
        <f t="shared" si="284"/>
        <v>41755</v>
      </c>
      <c r="D1048" s="191" t="s">
        <v>1208</v>
      </c>
      <c r="E1048" s="724">
        <v>41755</v>
      </c>
      <c r="F1048" s="189" t="s">
        <v>1141</v>
      </c>
      <c r="G1048" s="462" t="s">
        <v>1140</v>
      </c>
      <c r="H1048" s="7" t="s">
        <v>1139</v>
      </c>
      <c r="I1048" s="251">
        <v>1665</v>
      </c>
      <c r="J1048" s="251">
        <v>10701</v>
      </c>
      <c r="K1048" s="563">
        <f>ROUND(I1048*J1048,0)</f>
        <v>17817165</v>
      </c>
      <c r="L1048" s="39" t="s">
        <v>159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89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809">
        <v>2</v>
      </c>
      <c r="AC1048" s="211" t="str">
        <f>IF(H1048=VLOOKUP(H1048,DSKH,1,0),"","x")</f>
        <v/>
      </c>
    </row>
    <row r="1049" spans="1:29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ref="B1049" si="294">IF(C1049&lt;&gt;"",MONTH(C1049),"")</f>
        <v>4</v>
      </c>
      <c r="C1049" s="37">
        <f t="shared" ref="C1049" si="295">E1049</f>
        <v>41755</v>
      </c>
      <c r="D1049" s="191" t="s">
        <v>1208</v>
      </c>
      <c r="E1049" s="724">
        <v>41755</v>
      </c>
      <c r="F1049" s="40" t="s">
        <v>996</v>
      </c>
      <c r="G1049" s="462" t="s">
        <v>1140</v>
      </c>
      <c r="H1049" s="7" t="s">
        <v>1139</v>
      </c>
      <c r="I1049" s="251"/>
      <c r="J1049" s="251"/>
      <c r="K1049" s="563">
        <v>1781717</v>
      </c>
      <c r="L1049" s="39" t="s">
        <v>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89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809">
        <v>2</v>
      </c>
      <c r="AC1049" s="211" t="str">
        <f>IF(H1049=VLOOKUP(H1049,DSKH,1,0),"","x")</f>
        <v/>
      </c>
    </row>
    <row r="1050" spans="1:29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83"/>
        <v>4</v>
      </c>
      <c r="C1050" s="37">
        <f t="shared" si="284"/>
        <v>41755</v>
      </c>
      <c r="D1050" s="191"/>
      <c r="E1050" s="724">
        <v>41755</v>
      </c>
      <c r="F1050" s="192" t="s">
        <v>893</v>
      </c>
      <c r="G1050" s="462" t="s">
        <v>1140</v>
      </c>
      <c r="H1050" s="7" t="s">
        <v>1139</v>
      </c>
      <c r="I1050" s="251"/>
      <c r="J1050" s="251"/>
      <c r="K1050" s="563">
        <v>19598882</v>
      </c>
      <c r="L1050" s="39" t="s">
        <v>8</v>
      </c>
      <c r="M1050" s="39" t="s">
        <v>47</v>
      </c>
      <c r="N1050" s="52" t="str">
        <f>IF(AND('331-CT'!$E$7=TH!H1050,OR(L1050="331",M1050="331")),"331",IF(AND(OR(L1050="131",M1050="131"),H1050='131-CT'!$E$7),"131",""))</f>
        <v/>
      </c>
      <c r="O1050" s="89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>x</v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809"/>
      <c r="AC1050" s="211" t="str">
        <f>IF(H1050=VLOOKUP(H1050,DSKH,1,0),"","x")</f>
        <v/>
      </c>
    </row>
    <row r="1051" spans="1:29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83"/>
        <v>4</v>
      </c>
      <c r="C1051" s="37">
        <f t="shared" si="284"/>
        <v>41755</v>
      </c>
      <c r="D1051" s="37"/>
      <c r="E1051" s="37">
        <v>41755</v>
      </c>
      <c r="F1051" s="40" t="s">
        <v>1190</v>
      </c>
      <c r="G1051" s="462" t="s">
        <v>1192</v>
      </c>
      <c r="H1051" s="7" t="s">
        <v>1189</v>
      </c>
      <c r="I1051" s="251"/>
      <c r="J1051" s="251"/>
      <c r="K1051" s="563">
        <v>3300000</v>
      </c>
      <c r="L1051" s="39" t="s">
        <v>83</v>
      </c>
      <c r="M1051" s="39" t="s">
        <v>47</v>
      </c>
      <c r="N1051" s="52" t="str">
        <f>IF(AND('331-CT'!$E$7=TH!H1051,OR(L1051="331",M1051="331")),"331",IF(AND(OR(L1051="131",M1051="131"),H1051='131-CT'!$E$7),"131",""))</f>
        <v/>
      </c>
      <c r="O1051" s="89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>x</v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>642</v>
      </c>
      <c r="W1051" s="52" t="str">
        <f>IF(OR(TH!L1051=TH!$W$7,M1051=TH!$W$7),"x","")</f>
        <v>x</v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809">
        <v>2</v>
      </c>
    </row>
    <row r="1052" spans="1:29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83"/>
        <v>4</v>
      </c>
      <c r="C1052" s="37">
        <f t="shared" si="284"/>
        <v>41755</v>
      </c>
      <c r="D1052" s="37"/>
      <c r="E1052" s="37">
        <v>41755</v>
      </c>
      <c r="F1052" s="40" t="s">
        <v>1191</v>
      </c>
      <c r="G1052" s="462" t="s">
        <v>1192</v>
      </c>
      <c r="H1052" s="7" t="s">
        <v>1189</v>
      </c>
      <c r="I1052" s="251"/>
      <c r="J1052" s="251"/>
      <c r="K1052" s="563">
        <v>330000</v>
      </c>
      <c r="L1052" s="39" t="s">
        <v>9</v>
      </c>
      <c r="M1052" s="39" t="s">
        <v>47</v>
      </c>
      <c r="N1052" s="52" t="str">
        <f>IF(AND('331-CT'!$E$7=TH!H1052,OR(L1052="331",M1052="331")),"331",IF(AND(OR(L1052="131",M1052="131"),H1052='131-CT'!$E$7),"131",""))</f>
        <v/>
      </c>
      <c r="O1052" s="89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>x</v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809">
        <v>2</v>
      </c>
    </row>
    <row r="1053" spans="1:29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ref="B1053" si="296">IF(C1053&lt;&gt;"",MONTH(C1053),"")</f>
        <v>4</v>
      </c>
      <c r="C1053" s="37">
        <f t="shared" ref="C1053" si="297">E1053</f>
        <v>41756</v>
      </c>
      <c r="D1053" s="184" t="s">
        <v>327</v>
      </c>
      <c r="E1053" s="191">
        <v>41756</v>
      </c>
      <c r="F1053" s="189" t="s">
        <v>1238</v>
      </c>
      <c r="G1053" s="463" t="s">
        <v>1236</v>
      </c>
      <c r="H1053" s="7" t="s">
        <v>1237</v>
      </c>
      <c r="I1053" s="251"/>
      <c r="J1053" s="251"/>
      <c r="K1053" s="563">
        <v>500000000</v>
      </c>
      <c r="L1053" s="564" t="s">
        <v>171</v>
      </c>
      <c r="M1053" s="564" t="s">
        <v>8</v>
      </c>
      <c r="N1053" s="52" t="str">
        <f>IF(AND('331-CT'!$E$7=TH!H1053,OR(L1053="331",M1053="331")),"331",IF(AND(OR(L1053="131",M1053="131"),H1053='131-CT'!$E$7),"131",""))</f>
        <v/>
      </c>
      <c r="O1053" s="89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809">
        <v>2</v>
      </c>
      <c r="AC1053" s="211" t="str">
        <f t="shared" ref="AC1053:AC1076" si="298">IF(H1053=VLOOKUP(H1053,DSKH,1,0),"","x")</f>
        <v/>
      </c>
    </row>
    <row r="1054" spans="1:29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83"/>
        <v>4</v>
      </c>
      <c r="C1054" s="37">
        <f t="shared" si="284"/>
        <v>41758</v>
      </c>
      <c r="D1054" s="191" t="s">
        <v>1209</v>
      </c>
      <c r="E1054" s="724">
        <v>41758</v>
      </c>
      <c r="F1054" s="189" t="s">
        <v>1142</v>
      </c>
      <c r="G1054" s="462" t="s">
        <v>1143</v>
      </c>
      <c r="H1054" s="7" t="s">
        <v>1139</v>
      </c>
      <c r="I1054" s="251">
        <v>1150</v>
      </c>
      <c r="J1054" s="251">
        <v>15616</v>
      </c>
      <c r="K1054" s="563">
        <f>ROUND(I1054*J1054,0)</f>
        <v>17958400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89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809">
        <v>2</v>
      </c>
      <c r="AC1054" s="211" t="str">
        <f t="shared" si="298"/>
        <v/>
      </c>
    </row>
    <row r="1055" spans="1:29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ref="B1055" si="299">IF(C1055&lt;&gt;"",MONTH(C1055),"")</f>
        <v>4</v>
      </c>
      <c r="C1055" s="37">
        <f t="shared" ref="C1055" si="300">E1055</f>
        <v>41758</v>
      </c>
      <c r="D1055" s="191" t="s">
        <v>1209</v>
      </c>
      <c r="E1055" s="724">
        <v>41758</v>
      </c>
      <c r="F1055" s="40" t="s">
        <v>996</v>
      </c>
      <c r="G1055" s="462" t="s">
        <v>1143</v>
      </c>
      <c r="H1055" s="7" t="s">
        <v>1139</v>
      </c>
      <c r="I1055" s="251"/>
      <c r="J1055" s="251"/>
      <c r="K1055" s="563">
        <v>1795840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89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809">
        <v>2</v>
      </c>
      <c r="AC1055" s="211" t="str">
        <f t="shared" ref="AC1055" si="301">IF(H1055=VLOOKUP(H1055,DSKH,1,0),"","x")</f>
        <v/>
      </c>
    </row>
    <row r="1056" spans="1:29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83"/>
        <v>4</v>
      </c>
      <c r="C1056" s="37">
        <f t="shared" si="284"/>
        <v>41758</v>
      </c>
      <c r="D1056" s="191"/>
      <c r="E1056" s="724">
        <v>41758</v>
      </c>
      <c r="F1056" s="192" t="s">
        <v>893</v>
      </c>
      <c r="G1056" s="462" t="s">
        <v>1143</v>
      </c>
      <c r="H1056" s="7" t="s">
        <v>1139</v>
      </c>
      <c r="I1056" s="251"/>
      <c r="J1056" s="251"/>
      <c r="K1056" s="563">
        <v>19754240</v>
      </c>
      <c r="L1056" s="39" t="s">
        <v>8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89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809"/>
      <c r="AC1056" s="211" t="str">
        <f>IF(H1056=VLOOKUP(H1056,DSKH,1,0),"","x")</f>
        <v/>
      </c>
    </row>
    <row r="1057" spans="1:29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283"/>
        <v>4</v>
      </c>
      <c r="C1057" s="37">
        <f t="shared" si="284"/>
        <v>41758</v>
      </c>
      <c r="D1057" s="191" t="s">
        <v>1210</v>
      </c>
      <c r="E1057" s="724">
        <v>41758</v>
      </c>
      <c r="F1057" s="189" t="s">
        <v>1145</v>
      </c>
      <c r="G1057" s="462" t="s">
        <v>1146</v>
      </c>
      <c r="H1057" s="7" t="s">
        <v>1144</v>
      </c>
      <c r="I1057" s="251">
        <v>4801</v>
      </c>
      <c r="J1057" s="251">
        <v>9500</v>
      </c>
      <c r="K1057" s="563">
        <f>ROUND(I1057*J1057,0)</f>
        <v>45609500</v>
      </c>
      <c r="L1057" s="39" t="s">
        <v>159</v>
      </c>
      <c r="M1057" s="39" t="s">
        <v>8</v>
      </c>
      <c r="N1057" s="52" t="str">
        <f>IF(AND('331-CT'!$E$7=TH!H1057,OR(L1057="331",M1057="331")),"331",IF(AND(OR(L1057="131",M1057="131"),H1057='131-CT'!$E$7),"131",""))</f>
        <v/>
      </c>
      <c r="O1057" s="89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809">
        <v>2</v>
      </c>
      <c r="AC1057" s="211" t="str">
        <f t="shared" si="298"/>
        <v/>
      </c>
    </row>
    <row r="1058" spans="1:29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ref="B1058" si="302">IF(C1058&lt;&gt;"",MONTH(C1058),"")</f>
        <v>4</v>
      </c>
      <c r="C1058" s="37">
        <f t="shared" ref="C1058" si="303">E1058</f>
        <v>41758</v>
      </c>
      <c r="D1058" s="191" t="s">
        <v>1210</v>
      </c>
      <c r="E1058" s="724">
        <v>41758</v>
      </c>
      <c r="F1058" s="40" t="s">
        <v>996</v>
      </c>
      <c r="G1058" s="462" t="s">
        <v>1146</v>
      </c>
      <c r="H1058" s="7" t="s">
        <v>1144</v>
      </c>
      <c r="I1058" s="251"/>
      <c r="J1058" s="251"/>
      <c r="K1058" s="563">
        <v>4560950</v>
      </c>
      <c r="L1058" s="39" t="s">
        <v>9</v>
      </c>
      <c r="M1058" s="39" t="s">
        <v>8</v>
      </c>
      <c r="N1058" s="52" t="str">
        <f>IF(AND('331-CT'!$E$7=TH!H1058,OR(L1058="331",M1058="331")),"331",IF(AND(OR(L1058="131",M1058="131"),H1058='131-CT'!$E$7),"131",""))</f>
        <v/>
      </c>
      <c r="O1058" s="89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809">
        <v>2</v>
      </c>
      <c r="AC1058" s="211" t="str">
        <f t="shared" ref="AC1058" si="304">IF(H1058=VLOOKUP(H1058,DSKH,1,0),"","x")</f>
        <v/>
      </c>
    </row>
    <row r="1059" spans="1:29" s="211" customFormat="1" ht="15.75" customHeight="1">
      <c r="A1059" s="204">
        <f>IF(B1059&lt;&gt;"",IF(AND(B1059&gt;=_TM1,B1059&lt;=_TM2,OR(TH!L1059="1111",TH!M1059="1111")),TH!D1059,""),"")</f>
        <v>0</v>
      </c>
      <c r="B1059" s="36">
        <f t="shared" si="283"/>
        <v>10</v>
      </c>
      <c r="C1059" s="37">
        <f t="shared" si="284"/>
        <v>41943</v>
      </c>
      <c r="D1059" s="191"/>
      <c r="E1059" s="724">
        <v>41943</v>
      </c>
      <c r="F1059" s="192" t="s">
        <v>893</v>
      </c>
      <c r="G1059" s="462" t="s">
        <v>1146</v>
      </c>
      <c r="H1059" s="7" t="s">
        <v>1144</v>
      </c>
      <c r="I1059" s="251"/>
      <c r="J1059" s="251"/>
      <c r="K1059" s="563">
        <v>5170450</v>
      </c>
      <c r="L1059" s="39" t="s">
        <v>8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89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809"/>
    </row>
    <row r="1060" spans="1:29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83"/>
        <v>5</v>
      </c>
      <c r="C1060" s="37">
        <f t="shared" si="284"/>
        <v>41761</v>
      </c>
      <c r="D1060" s="184" t="s">
        <v>327</v>
      </c>
      <c r="E1060" s="191">
        <v>41761</v>
      </c>
      <c r="F1060" s="189" t="s">
        <v>1239</v>
      </c>
      <c r="G1060" s="463" t="s">
        <v>1240</v>
      </c>
      <c r="H1060" s="7" t="s">
        <v>1237</v>
      </c>
      <c r="I1060" s="251"/>
      <c r="J1060" s="251"/>
      <c r="K1060" s="563">
        <v>500000000</v>
      </c>
      <c r="L1060" s="564" t="s">
        <v>171</v>
      </c>
      <c r="M1060" s="564" t="s">
        <v>8</v>
      </c>
      <c r="N1060" s="52" t="str">
        <f>IF(AND('331-CT'!$E$7=TH!H1060,OR(L1060="331",M1060="331")),"331",IF(AND(OR(L1060="131",M1060="131"),H1060='131-CT'!$E$7),"131",""))</f>
        <v/>
      </c>
      <c r="O1060" s="89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809">
        <v>2</v>
      </c>
      <c r="AC1060" s="211" t="str">
        <f t="shared" si="298"/>
        <v/>
      </c>
    </row>
    <row r="1061" spans="1:29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83"/>
        <v>5</v>
      </c>
      <c r="C1061" s="191">
        <f t="shared" si="284"/>
        <v>41761</v>
      </c>
      <c r="D1061" s="191" t="s">
        <v>1211</v>
      </c>
      <c r="E1061" s="184">
        <v>41761</v>
      </c>
      <c r="F1061" s="192" t="s">
        <v>1067</v>
      </c>
      <c r="G1061" s="463" t="s">
        <v>1065</v>
      </c>
      <c r="H1061" s="7" t="s">
        <v>1139</v>
      </c>
      <c r="I1061" s="702">
        <v>100</v>
      </c>
      <c r="J1061" s="702">
        <v>11792</v>
      </c>
      <c r="K1061" s="563">
        <f>ROUND(I1061*J1061,0)</f>
        <v>1179200</v>
      </c>
      <c r="L1061" s="39" t="s">
        <v>159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89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809">
        <v>2</v>
      </c>
      <c r="AC1061" s="211" t="str">
        <f t="shared" si="298"/>
        <v/>
      </c>
    </row>
    <row r="1062" spans="1:29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83"/>
        <v>5</v>
      </c>
      <c r="C1062" s="191">
        <f t="shared" si="284"/>
        <v>41761</v>
      </c>
      <c r="D1062" s="191" t="s">
        <v>1211</v>
      </c>
      <c r="E1062" s="184">
        <v>41761</v>
      </c>
      <c r="F1062" s="192" t="s">
        <v>1068</v>
      </c>
      <c r="G1062" s="463" t="s">
        <v>1065</v>
      </c>
      <c r="H1062" s="7" t="s">
        <v>1139</v>
      </c>
      <c r="I1062" s="750">
        <v>150</v>
      </c>
      <c r="J1062" s="750">
        <v>16447</v>
      </c>
      <c r="K1062" s="563">
        <f>ROUND(I1062*J1062,0)</f>
        <v>2467050</v>
      </c>
      <c r="L1062" s="39" t="s">
        <v>159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89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809">
        <v>2</v>
      </c>
      <c r="AC1062" s="211" t="str">
        <f t="shared" si="298"/>
        <v/>
      </c>
    </row>
    <row r="1063" spans="1:29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83"/>
        <v>5</v>
      </c>
      <c r="C1063" s="191">
        <f t="shared" si="284"/>
        <v>41761</v>
      </c>
      <c r="D1063" s="191" t="s">
        <v>1211</v>
      </c>
      <c r="E1063" s="184">
        <v>41761</v>
      </c>
      <c r="F1063" s="192" t="s">
        <v>1069</v>
      </c>
      <c r="G1063" s="463" t="s">
        <v>1065</v>
      </c>
      <c r="H1063" s="7" t="s">
        <v>1139</v>
      </c>
      <c r="I1063" s="251">
        <v>200</v>
      </c>
      <c r="J1063" s="251">
        <v>14978</v>
      </c>
      <c r="K1063" s="563">
        <f>ROUND(I1063*J1063,0)</f>
        <v>2995600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89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809">
        <v>2</v>
      </c>
      <c r="AC1063" s="211" t="str">
        <f t="shared" si="298"/>
        <v/>
      </c>
    </row>
    <row r="1064" spans="1:29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83"/>
        <v>5</v>
      </c>
      <c r="C1064" s="191">
        <f t="shared" si="284"/>
        <v>41761</v>
      </c>
      <c r="D1064" s="191" t="s">
        <v>1211</v>
      </c>
      <c r="E1064" s="184">
        <v>41761</v>
      </c>
      <c r="F1064" s="192" t="s">
        <v>1070</v>
      </c>
      <c r="G1064" s="463" t="s">
        <v>1065</v>
      </c>
      <c r="H1064" s="7" t="s">
        <v>1139</v>
      </c>
      <c r="I1064" s="251">
        <v>250</v>
      </c>
      <c r="J1064" s="251">
        <v>20038</v>
      </c>
      <c r="K1064" s="563">
        <f>ROUND(I1064*J1064,0)</f>
        <v>5009500</v>
      </c>
      <c r="L1064" s="39" t="s">
        <v>159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9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809">
        <v>2</v>
      </c>
      <c r="AC1064" s="211" t="str">
        <f t="shared" si="298"/>
        <v/>
      </c>
    </row>
    <row r="1065" spans="1:29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83"/>
        <v>5</v>
      </c>
      <c r="C1065" s="191">
        <f t="shared" si="284"/>
        <v>41761</v>
      </c>
      <c r="D1065" s="191" t="s">
        <v>1211</v>
      </c>
      <c r="E1065" s="184">
        <v>41761</v>
      </c>
      <c r="F1065" s="192" t="s">
        <v>1071</v>
      </c>
      <c r="G1065" s="463" t="s">
        <v>1065</v>
      </c>
      <c r="H1065" s="7" t="s">
        <v>1139</v>
      </c>
      <c r="I1065" s="251">
        <v>250</v>
      </c>
      <c r="J1065" s="251">
        <v>17318</v>
      </c>
      <c r="K1065" s="563">
        <f>ROUND(I1065*J1065,0)</f>
        <v>4329500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9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809">
        <v>2</v>
      </c>
      <c r="AC1065" s="211" t="str">
        <f t="shared" si="298"/>
        <v/>
      </c>
    </row>
    <row r="1066" spans="1:29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ref="B1066" si="305">IF(C1066&lt;&gt;"",MONTH(C1066),"")</f>
        <v>5</v>
      </c>
      <c r="C1066" s="191">
        <f t="shared" ref="C1066" si="306">E1066</f>
        <v>41761</v>
      </c>
      <c r="D1066" s="191" t="s">
        <v>1211</v>
      </c>
      <c r="E1066" s="184">
        <v>41761</v>
      </c>
      <c r="F1066" s="192" t="s">
        <v>1066</v>
      </c>
      <c r="G1066" s="463" t="s">
        <v>1065</v>
      </c>
      <c r="H1066" s="7" t="s">
        <v>1139</v>
      </c>
      <c r="I1066" s="251"/>
      <c r="J1066" s="251"/>
      <c r="K1066" s="563">
        <v>1598085</v>
      </c>
      <c r="L1066" s="564" t="s">
        <v>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89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809">
        <v>2</v>
      </c>
      <c r="AC1066" s="211" t="str">
        <f t="shared" ref="AC1066" si="307">IF(H1066=VLOOKUP(H1066,DSKH,1,0),"","x")</f>
        <v/>
      </c>
    </row>
    <row r="1067" spans="1:29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83"/>
        <v>5</v>
      </c>
      <c r="C1067" s="191">
        <f t="shared" si="284"/>
        <v>41761</v>
      </c>
      <c r="D1067" s="191"/>
      <c r="E1067" s="184">
        <v>41761</v>
      </c>
      <c r="F1067" s="192" t="s">
        <v>893</v>
      </c>
      <c r="G1067" s="463" t="s">
        <v>1065</v>
      </c>
      <c r="H1067" s="7" t="s">
        <v>1139</v>
      </c>
      <c r="I1067" s="251"/>
      <c r="J1067" s="251"/>
      <c r="K1067" s="563">
        <v>17578935</v>
      </c>
      <c r="L1067" s="39" t="s">
        <v>8</v>
      </c>
      <c r="M1067" s="39" t="s">
        <v>47</v>
      </c>
      <c r="N1067" s="52" t="str">
        <f>IF(AND('331-CT'!$E$7=TH!H1067,OR(L1067="331",M1067="331")),"331",IF(AND(OR(L1067="131",M1067="131"),H1067='131-CT'!$E$7),"131",""))</f>
        <v/>
      </c>
      <c r="O1067" s="89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809"/>
      <c r="AC1067" s="211" t="str">
        <f>IF(H1067=VLOOKUP(H1067,DSKH,1,0),"","x")</f>
        <v/>
      </c>
    </row>
    <row r="1068" spans="1:29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83"/>
        <v>5</v>
      </c>
      <c r="C1068" s="37">
        <f t="shared" si="284"/>
        <v>41773</v>
      </c>
      <c r="D1068" s="191" t="s">
        <v>1212</v>
      </c>
      <c r="E1068" s="724">
        <v>41773</v>
      </c>
      <c r="F1068" s="189" t="s">
        <v>1093</v>
      </c>
      <c r="G1068" s="462" t="s">
        <v>1091</v>
      </c>
      <c r="H1068" s="7" t="s">
        <v>1090</v>
      </c>
      <c r="I1068" s="251">
        <v>95</v>
      </c>
      <c r="J1068" s="251">
        <v>21683</v>
      </c>
      <c r="K1068" s="563">
        <f t="shared" ref="K1068:K1075" si="308">ROUND(I1068*J1068,0)</f>
        <v>2059885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9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809">
        <v>2</v>
      </c>
      <c r="AC1068" s="211" t="str">
        <f t="shared" si="298"/>
        <v/>
      </c>
    </row>
    <row r="1069" spans="1:29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83"/>
        <v>5</v>
      </c>
      <c r="C1069" s="37">
        <f t="shared" si="284"/>
        <v>41773</v>
      </c>
      <c r="D1069" s="191" t="s">
        <v>1212</v>
      </c>
      <c r="E1069" s="724">
        <v>41773</v>
      </c>
      <c r="F1069" s="189" t="s">
        <v>1094</v>
      </c>
      <c r="G1069" s="462" t="s">
        <v>1091</v>
      </c>
      <c r="H1069" s="7" t="s">
        <v>1090</v>
      </c>
      <c r="I1069" s="251">
        <v>135</v>
      </c>
      <c r="J1069" s="251">
        <v>23957</v>
      </c>
      <c r="K1069" s="563">
        <f t="shared" si="308"/>
        <v>3234195</v>
      </c>
      <c r="L1069" s="39" t="s">
        <v>159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9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809">
        <v>2</v>
      </c>
      <c r="AC1069" s="211" t="str">
        <f t="shared" si="298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83"/>
        <v>5</v>
      </c>
      <c r="C1070" s="37">
        <f t="shared" si="284"/>
        <v>41773</v>
      </c>
      <c r="D1070" s="191" t="s">
        <v>1212</v>
      </c>
      <c r="E1070" s="724">
        <v>41773</v>
      </c>
      <c r="F1070" s="189" t="s">
        <v>1095</v>
      </c>
      <c r="G1070" s="462" t="s">
        <v>1091</v>
      </c>
      <c r="H1070" s="7" t="s">
        <v>1090</v>
      </c>
      <c r="I1070" s="251">
        <v>370</v>
      </c>
      <c r="J1070" s="251">
        <v>23232</v>
      </c>
      <c r="K1070" s="563">
        <f t="shared" si="308"/>
        <v>8595840</v>
      </c>
      <c r="L1070" s="39" t="s">
        <v>159</v>
      </c>
      <c r="M1070" s="39" t="s">
        <v>8</v>
      </c>
      <c r="N1070" s="52" t="str">
        <f>IF(AND('331-CT'!$E$7=TH!H1070,OR(L1070="331",M1070="331")),"331",IF(AND(OR(L1070="131",M1070="131"),H1070='131-CT'!$E$7),"131",""))</f>
        <v/>
      </c>
      <c r="O1070" s="89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809">
        <v>2</v>
      </c>
      <c r="AC1070" s="211" t="str">
        <f t="shared" si="298"/>
        <v/>
      </c>
    </row>
    <row r="1071" spans="1:29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83"/>
        <v>5</v>
      </c>
      <c r="C1071" s="37">
        <f t="shared" si="284"/>
        <v>41773</v>
      </c>
      <c r="D1071" s="191" t="s">
        <v>1212</v>
      </c>
      <c r="E1071" s="724">
        <v>41773</v>
      </c>
      <c r="F1071" s="189" t="s">
        <v>1096</v>
      </c>
      <c r="G1071" s="462" t="s">
        <v>1091</v>
      </c>
      <c r="H1071" s="7" t="s">
        <v>1090</v>
      </c>
      <c r="I1071" s="251">
        <v>80</v>
      </c>
      <c r="J1071" s="251">
        <v>22176</v>
      </c>
      <c r="K1071" s="563">
        <f t="shared" si="308"/>
        <v>1774080</v>
      </c>
      <c r="L1071" s="39" t="s">
        <v>159</v>
      </c>
      <c r="M1071" s="39" t="s">
        <v>8</v>
      </c>
      <c r="N1071" s="52" t="str">
        <f>IF(AND('331-CT'!$E$7=TH!H1071,OR(L1071="331",M1071="331")),"331",IF(AND(OR(L1071="131",M1071="131"),H1071='131-CT'!$E$7),"131",""))</f>
        <v/>
      </c>
      <c r="O1071" s="89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809">
        <v>2</v>
      </c>
      <c r="AC1071" s="211" t="str">
        <f t="shared" si="298"/>
        <v/>
      </c>
    </row>
    <row r="1072" spans="1:29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83"/>
        <v>5</v>
      </c>
      <c r="C1072" s="37">
        <f t="shared" si="284"/>
        <v>41773</v>
      </c>
      <c r="D1072" s="191" t="s">
        <v>1212</v>
      </c>
      <c r="E1072" s="724">
        <v>41773</v>
      </c>
      <c r="F1072" s="189" t="s">
        <v>1097</v>
      </c>
      <c r="G1072" s="462" t="s">
        <v>1091</v>
      </c>
      <c r="H1072" s="7" t="s">
        <v>1090</v>
      </c>
      <c r="I1072" s="251">
        <v>415</v>
      </c>
      <c r="J1072" s="251">
        <v>14784</v>
      </c>
      <c r="K1072" s="563">
        <f t="shared" si="308"/>
        <v>6135360</v>
      </c>
      <c r="L1072" s="39" t="s">
        <v>159</v>
      </c>
      <c r="M1072" s="39" t="s">
        <v>8</v>
      </c>
      <c r="N1072" s="52" t="str">
        <f>IF(AND('331-CT'!$E$7=TH!H1072,OR(L1072="331",M1072="331")),"331",IF(AND(OR(L1072="131",M1072="131"),H1072='131-CT'!$E$7),"131",""))</f>
        <v/>
      </c>
      <c r="O1072" s="89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809">
        <v>2</v>
      </c>
      <c r="AC1072" s="211" t="str">
        <f t="shared" si="298"/>
        <v/>
      </c>
    </row>
    <row r="1073" spans="1:31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83"/>
        <v>5</v>
      </c>
      <c r="C1073" s="37">
        <f t="shared" si="284"/>
        <v>41773</v>
      </c>
      <c r="D1073" s="191" t="s">
        <v>1212</v>
      </c>
      <c r="E1073" s="724">
        <v>41773</v>
      </c>
      <c r="F1073" s="189" t="s">
        <v>1098</v>
      </c>
      <c r="G1073" s="462" t="s">
        <v>1091</v>
      </c>
      <c r="H1073" s="7" t="s">
        <v>1090</v>
      </c>
      <c r="I1073" s="251">
        <v>100</v>
      </c>
      <c r="J1073" s="251">
        <v>17279</v>
      </c>
      <c r="K1073" s="563">
        <f t="shared" si="308"/>
        <v>1727900</v>
      </c>
      <c r="L1073" s="39" t="s">
        <v>159</v>
      </c>
      <c r="M1073" s="39" t="s">
        <v>8</v>
      </c>
      <c r="N1073" s="52" t="str">
        <f>IF(AND('331-CT'!$E$7=TH!H1073,OR(L1073="331",M1073="331")),"331",IF(AND(OR(L1073="131",M1073="131"),H1073='131-CT'!$E$7),"131",""))</f>
        <v/>
      </c>
      <c r="O1073" s="89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809">
        <v>2</v>
      </c>
      <c r="AC1073" s="211" t="str">
        <f t="shared" si="298"/>
        <v/>
      </c>
    </row>
    <row r="1074" spans="1:31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83"/>
        <v>5</v>
      </c>
      <c r="C1074" s="37">
        <f t="shared" si="284"/>
        <v>41773</v>
      </c>
      <c r="D1074" s="191" t="s">
        <v>1212</v>
      </c>
      <c r="E1074" s="724">
        <v>41773</v>
      </c>
      <c r="F1074" s="189" t="s">
        <v>1099</v>
      </c>
      <c r="G1074" s="462" t="s">
        <v>1091</v>
      </c>
      <c r="H1074" s="7" t="s">
        <v>1090</v>
      </c>
      <c r="I1074" s="251">
        <v>190</v>
      </c>
      <c r="J1074" s="251">
        <v>20821</v>
      </c>
      <c r="K1074" s="563">
        <f t="shared" si="308"/>
        <v>3955990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9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809">
        <v>2</v>
      </c>
      <c r="AC1074" s="211" t="str">
        <f t="shared" si="298"/>
        <v/>
      </c>
    </row>
    <row r="1075" spans="1:31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83"/>
        <v>5</v>
      </c>
      <c r="C1075" s="37">
        <f t="shared" si="284"/>
        <v>41773</v>
      </c>
      <c r="D1075" s="191" t="s">
        <v>1212</v>
      </c>
      <c r="E1075" s="724">
        <v>41773</v>
      </c>
      <c r="F1075" s="189" t="s">
        <v>1100</v>
      </c>
      <c r="G1075" s="462" t="s">
        <v>1091</v>
      </c>
      <c r="H1075" s="7" t="s">
        <v>1090</v>
      </c>
      <c r="I1075" s="253">
        <v>100</v>
      </c>
      <c r="J1075" s="253">
        <v>20328</v>
      </c>
      <c r="K1075" s="563">
        <f t="shared" si="308"/>
        <v>2032800</v>
      </c>
      <c r="L1075" s="39" t="s">
        <v>159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9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809">
        <v>2</v>
      </c>
      <c r="AC1075" s="211" t="str">
        <f t="shared" si="298"/>
        <v/>
      </c>
    </row>
    <row r="1076" spans="1:31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83"/>
        <v>5</v>
      </c>
      <c r="C1076" s="37">
        <f t="shared" si="284"/>
        <v>41773</v>
      </c>
      <c r="D1076" s="191" t="s">
        <v>1212</v>
      </c>
      <c r="E1076" s="724">
        <v>41773</v>
      </c>
      <c r="F1076" s="189" t="s">
        <v>1092</v>
      </c>
      <c r="G1076" s="462" t="s">
        <v>1091</v>
      </c>
      <c r="H1076" s="7" t="s">
        <v>1090</v>
      </c>
      <c r="I1076" s="253"/>
      <c r="J1076" s="253"/>
      <c r="K1076" s="38">
        <v>2951605</v>
      </c>
      <c r="L1076" s="39" t="s">
        <v>9</v>
      </c>
      <c r="M1076" s="39" t="s">
        <v>8</v>
      </c>
      <c r="N1076" s="52" t="str">
        <f>IF(AND('331-CT'!$E$7=TH!H1076,OR(L1076="331",M1076="331")),"331",IF(AND(OR(L1076="131",M1076="131"),H1076='131-CT'!$E$7),"131",""))</f>
        <v/>
      </c>
      <c r="O1076" s="89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809">
        <v>2</v>
      </c>
      <c r="AC1076" s="211" t="str">
        <f t="shared" si="298"/>
        <v/>
      </c>
    </row>
    <row r="1077" spans="1:31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83"/>
        <v>5</v>
      </c>
      <c r="C1077" s="191">
        <f t="shared" si="284"/>
        <v>41774</v>
      </c>
      <c r="D1077" s="184"/>
      <c r="E1077" s="37">
        <v>41774</v>
      </c>
      <c r="F1077" s="189" t="s">
        <v>1063</v>
      </c>
      <c r="G1077" s="565"/>
      <c r="H1077" s="45" t="s">
        <v>1061</v>
      </c>
      <c r="I1077" s="251"/>
      <c r="J1077" s="251"/>
      <c r="K1077" s="563">
        <v>5000000</v>
      </c>
      <c r="L1077" s="564" t="s">
        <v>17</v>
      </c>
      <c r="M1077" s="564" t="s">
        <v>47</v>
      </c>
      <c r="N1077" s="52" t="str">
        <f>IF(AND('331-CT'!$E$7=TH!H1077,OR(L1077="331",M1077="331")),"331",IF(AND(OR(L1077="131",M1077="131"),H1077='131-CT'!$E$7),"131",""))</f>
        <v/>
      </c>
      <c r="O1077" s="89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>x</v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809"/>
      <c r="AC1077" s="555"/>
      <c r="AD1077" s="555"/>
      <c r="AE1077" s="555"/>
    </row>
    <row r="1078" spans="1:31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83"/>
        <v>5</v>
      </c>
      <c r="C1078" s="37">
        <f t="shared" si="284"/>
        <v>41774</v>
      </c>
      <c r="D1078" s="191" t="s">
        <v>1213</v>
      </c>
      <c r="E1078" s="191">
        <v>41774</v>
      </c>
      <c r="F1078" s="189" t="s">
        <v>1148</v>
      </c>
      <c r="G1078" s="463" t="s">
        <v>1147</v>
      </c>
      <c r="H1078" s="193" t="s">
        <v>1090</v>
      </c>
      <c r="I1078" s="251">
        <v>200</v>
      </c>
      <c r="J1078" s="251">
        <v>18203</v>
      </c>
      <c r="K1078" s="563">
        <f t="shared" ref="K1078:K1083" si="309">ROUND(I1078*J1078,0)</f>
        <v>3640600</v>
      </c>
      <c r="L1078" s="39" t="s">
        <v>159</v>
      </c>
      <c r="M1078" s="39" t="s">
        <v>8</v>
      </c>
      <c r="N1078" s="52" t="str">
        <f>IF(AND('331-CT'!$E$7=TH!H1078,OR(L1078="331",M1078="331")),"331",IF(AND(OR(L1078="131",M1078="131"),H1078='131-CT'!$E$7),"131",""))</f>
        <v/>
      </c>
      <c r="O1078" s="89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809">
        <v>2</v>
      </c>
      <c r="AC1078" s="211" t="str">
        <f t="shared" ref="AC1078:AC1096" si="310">IF(H1078=VLOOKUP(H1078,DSKH,1,0),"","x")</f>
        <v/>
      </c>
    </row>
    <row r="1079" spans="1:31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283"/>
        <v>5</v>
      </c>
      <c r="C1079" s="37">
        <f t="shared" si="284"/>
        <v>41774</v>
      </c>
      <c r="D1079" s="191" t="s">
        <v>1213</v>
      </c>
      <c r="E1079" s="191">
        <v>41774</v>
      </c>
      <c r="F1079" s="189" t="s">
        <v>1149</v>
      </c>
      <c r="G1079" s="463" t="s">
        <v>1147</v>
      </c>
      <c r="H1079" s="193" t="s">
        <v>1090</v>
      </c>
      <c r="I1079" s="702">
        <v>250</v>
      </c>
      <c r="J1079" s="702">
        <v>16447</v>
      </c>
      <c r="K1079" s="563">
        <f t="shared" si="309"/>
        <v>4111750</v>
      </c>
      <c r="L1079" s="39" t="s">
        <v>159</v>
      </c>
      <c r="M1079" s="39" t="s">
        <v>8</v>
      </c>
      <c r="N1079" s="52" t="str">
        <f>IF(AND('331-CT'!$E$7=TH!H1079,OR(L1079="331",M1079="331")),"331",IF(AND(OR(L1079="131",M1079="131"),H1079='131-CT'!$E$7),"131",""))</f>
        <v/>
      </c>
      <c r="O1079" s="89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809">
        <v>2</v>
      </c>
      <c r="AC1079" s="211" t="str">
        <f t="shared" si="310"/>
        <v/>
      </c>
    </row>
    <row r="1080" spans="1:31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ref="B1080:B1146" si="311">IF(C1080&lt;&gt;"",MONTH(C1080),"")</f>
        <v>5</v>
      </c>
      <c r="C1080" s="37">
        <f t="shared" ref="C1080:C1146" si="312">E1080</f>
        <v>41774</v>
      </c>
      <c r="D1080" s="191" t="s">
        <v>1213</v>
      </c>
      <c r="E1080" s="191">
        <v>41774</v>
      </c>
      <c r="F1080" s="189" t="s">
        <v>1150</v>
      </c>
      <c r="G1080" s="463" t="s">
        <v>1147</v>
      </c>
      <c r="H1080" s="193" t="s">
        <v>1090</v>
      </c>
      <c r="I1080" s="702">
        <v>300</v>
      </c>
      <c r="J1080" s="702">
        <v>15893</v>
      </c>
      <c r="K1080" s="563">
        <f t="shared" si="309"/>
        <v>4767900</v>
      </c>
      <c r="L1080" s="39" t="s">
        <v>159</v>
      </c>
      <c r="M1080" s="39" t="s">
        <v>8</v>
      </c>
      <c r="N1080" s="52" t="str">
        <f>IF(AND('331-CT'!$E$7=TH!H1080,OR(L1080="331",M1080="331")),"331",IF(AND(OR(L1080="131",M1080="131"),H1080='131-CT'!$E$7),"131",""))</f>
        <v/>
      </c>
      <c r="O1080" s="89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809">
        <v>2</v>
      </c>
      <c r="AC1080" s="211" t="str">
        <f t="shared" si="310"/>
        <v/>
      </c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311"/>
        <v>5</v>
      </c>
      <c r="C1081" s="37">
        <f t="shared" si="312"/>
        <v>41774</v>
      </c>
      <c r="D1081" s="191" t="s">
        <v>1213</v>
      </c>
      <c r="E1081" s="191">
        <v>41774</v>
      </c>
      <c r="F1081" s="189" t="s">
        <v>1151</v>
      </c>
      <c r="G1081" s="463" t="s">
        <v>1147</v>
      </c>
      <c r="H1081" s="193" t="s">
        <v>1090</v>
      </c>
      <c r="I1081" s="702">
        <v>100</v>
      </c>
      <c r="J1081" s="702">
        <v>12241</v>
      </c>
      <c r="K1081" s="563">
        <f t="shared" si="309"/>
        <v>1224100</v>
      </c>
      <c r="L1081" s="39" t="s">
        <v>159</v>
      </c>
      <c r="M1081" s="39" t="s">
        <v>8</v>
      </c>
      <c r="N1081" s="52" t="str">
        <f>IF(AND('331-CT'!$E$7=TH!H1081,OR(L1081="331",M1081="331")),"331",IF(AND(OR(L1081="131",M1081="131"),H1081='131-CT'!$E$7),"131",""))</f>
        <v/>
      </c>
      <c r="O1081" s="89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809">
        <v>2</v>
      </c>
      <c r="AC1081" s="211" t="str">
        <f t="shared" si="310"/>
        <v/>
      </c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311"/>
        <v>5</v>
      </c>
      <c r="C1082" s="37">
        <f t="shared" si="312"/>
        <v>41774</v>
      </c>
      <c r="D1082" s="191" t="s">
        <v>1213</v>
      </c>
      <c r="E1082" s="191">
        <v>41774</v>
      </c>
      <c r="F1082" s="189" t="s">
        <v>1152</v>
      </c>
      <c r="G1082" s="463" t="s">
        <v>1147</v>
      </c>
      <c r="H1082" s="193" t="s">
        <v>1090</v>
      </c>
      <c r="I1082" s="702">
        <v>500</v>
      </c>
      <c r="J1082" s="778">
        <v>7888</v>
      </c>
      <c r="K1082" s="563">
        <f t="shared" si="309"/>
        <v>3944000</v>
      </c>
      <c r="L1082" s="39" t="s">
        <v>159</v>
      </c>
      <c r="M1082" s="39" t="s">
        <v>8</v>
      </c>
      <c r="N1082" s="52" t="str">
        <f>IF(AND('331-CT'!$E$7=TH!H1082,OR(L1082="331",M1082="331")),"331",IF(AND(OR(L1082="131",M1082="131"),H1082='131-CT'!$E$7),"131",""))</f>
        <v/>
      </c>
      <c r="O1082" s="89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809">
        <v>2</v>
      </c>
      <c r="AC1082" s="211" t="str">
        <f t="shared" si="310"/>
        <v/>
      </c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311"/>
        <v>5</v>
      </c>
      <c r="C1083" s="37">
        <f t="shared" si="312"/>
        <v>41774</v>
      </c>
      <c r="D1083" s="191" t="s">
        <v>1213</v>
      </c>
      <c r="E1083" s="191">
        <v>41774</v>
      </c>
      <c r="F1083" s="189" t="s">
        <v>1153</v>
      </c>
      <c r="G1083" s="463" t="s">
        <v>1147</v>
      </c>
      <c r="H1083" s="193" t="s">
        <v>1090</v>
      </c>
      <c r="I1083" s="702">
        <v>100</v>
      </c>
      <c r="J1083" s="778">
        <v>9147</v>
      </c>
      <c r="K1083" s="563">
        <f t="shared" si="309"/>
        <v>914700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89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809">
        <v>2</v>
      </c>
      <c r="AC1083" s="211" t="str">
        <f t="shared" si="310"/>
        <v/>
      </c>
    </row>
    <row r="1084" spans="1:31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311"/>
        <v>5</v>
      </c>
      <c r="C1084" s="37">
        <f t="shared" si="312"/>
        <v>41774</v>
      </c>
      <c r="D1084" s="191" t="s">
        <v>1213</v>
      </c>
      <c r="E1084" s="191">
        <v>41774</v>
      </c>
      <c r="F1084" s="40" t="s">
        <v>996</v>
      </c>
      <c r="G1084" s="463" t="s">
        <v>1147</v>
      </c>
      <c r="H1084" s="193" t="s">
        <v>1090</v>
      </c>
      <c r="I1084" s="702"/>
      <c r="J1084" s="251"/>
      <c r="K1084" s="563">
        <v>1860305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9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809">
        <v>2</v>
      </c>
      <c r="AC1084" s="211" t="str">
        <f t="shared" si="310"/>
        <v/>
      </c>
    </row>
    <row r="1085" spans="1:31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311"/>
        <v>5</v>
      </c>
      <c r="C1085" s="37">
        <f t="shared" si="312"/>
        <v>41776</v>
      </c>
      <c r="D1085" s="191" t="s">
        <v>1214</v>
      </c>
      <c r="E1085" s="37">
        <v>41776</v>
      </c>
      <c r="F1085" s="40" t="s">
        <v>1194</v>
      </c>
      <c r="G1085" s="462" t="s">
        <v>1193</v>
      </c>
      <c r="H1085" s="7" t="s">
        <v>1090</v>
      </c>
      <c r="I1085" s="702">
        <v>500</v>
      </c>
      <c r="J1085" s="702">
        <v>25186</v>
      </c>
      <c r="K1085" s="563">
        <f>ROUND(I1085*J1085,0)</f>
        <v>12593000</v>
      </c>
      <c r="L1085" s="39" t="s">
        <v>159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9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809">
        <v>2</v>
      </c>
      <c r="AC1085" s="211" t="str">
        <f t="shared" si="310"/>
        <v/>
      </c>
    </row>
    <row r="1086" spans="1:31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311"/>
        <v>5</v>
      </c>
      <c r="C1086" s="37">
        <f t="shared" si="312"/>
        <v>41776</v>
      </c>
      <c r="D1086" s="191" t="s">
        <v>1214</v>
      </c>
      <c r="E1086" s="37">
        <v>41776</v>
      </c>
      <c r="F1086" s="40" t="s">
        <v>1195</v>
      </c>
      <c r="G1086" s="462" t="s">
        <v>1193</v>
      </c>
      <c r="H1086" s="7" t="s">
        <v>1090</v>
      </c>
      <c r="I1086" s="251">
        <v>170</v>
      </c>
      <c r="J1086" s="251">
        <v>10495</v>
      </c>
      <c r="K1086" s="563">
        <f>ROUND(I1086*J1086,0)</f>
        <v>1784150</v>
      </c>
      <c r="L1086" s="39" t="s">
        <v>159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89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809">
        <v>2</v>
      </c>
      <c r="AC1086" s="211" t="str">
        <f t="shared" si="310"/>
        <v/>
      </c>
    </row>
    <row r="1087" spans="1:31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311"/>
        <v>5</v>
      </c>
      <c r="C1087" s="37">
        <f t="shared" si="312"/>
        <v>41776</v>
      </c>
      <c r="D1087" s="191" t="s">
        <v>1214</v>
      </c>
      <c r="E1087" s="37">
        <v>41776</v>
      </c>
      <c r="F1087" s="40" t="s">
        <v>1092</v>
      </c>
      <c r="G1087" s="462" t="s">
        <v>1193</v>
      </c>
      <c r="H1087" s="7" t="s">
        <v>1090</v>
      </c>
      <c r="I1087" s="251"/>
      <c r="J1087" s="251"/>
      <c r="K1087" s="846">
        <v>1437715</v>
      </c>
      <c r="L1087" s="837" t="s">
        <v>9</v>
      </c>
      <c r="M1087" s="837" t="s">
        <v>8</v>
      </c>
      <c r="N1087" s="52" t="str">
        <f>IF(AND('331-CT'!$E$7=TH!H1087,OR(L1087="331",M1087="331")),"331",IF(AND(OR(L1087="131",M1087="131"),H1087='131-CT'!$E$7),"131",""))</f>
        <v/>
      </c>
      <c r="O1087" s="89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809">
        <v>2</v>
      </c>
      <c r="AC1087" s="211" t="str">
        <f t="shared" si="310"/>
        <v/>
      </c>
    </row>
    <row r="1088" spans="1:31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" si="313">IF(C1088&lt;&gt;"",MONTH(C1088),"")</f>
        <v>5</v>
      </c>
      <c r="C1088" s="37">
        <f t="shared" ref="C1088" si="314">E1088</f>
        <v>41776</v>
      </c>
      <c r="D1088" s="191"/>
      <c r="E1088" s="37">
        <v>41776</v>
      </c>
      <c r="F1088" s="192" t="s">
        <v>893</v>
      </c>
      <c r="G1088" s="462" t="s">
        <v>1193</v>
      </c>
      <c r="H1088" s="7" t="s">
        <v>1090</v>
      </c>
      <c r="I1088" s="251"/>
      <c r="J1088" s="251"/>
      <c r="K1088" s="846">
        <v>15825444</v>
      </c>
      <c r="L1088" s="837" t="s">
        <v>8</v>
      </c>
      <c r="M1088" s="837" t="s">
        <v>47</v>
      </c>
      <c r="N1088" s="52" t="str">
        <f>IF(AND('331-CT'!$E$7=TH!H1088,OR(L1088="331",M1088="331")),"331",IF(AND(OR(L1088="131",M1088="131"),H1088='131-CT'!$E$7),"131",""))</f>
        <v/>
      </c>
      <c r="O1088" s="89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>x</v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809"/>
      <c r="AC1088" s="211" t="str">
        <f t="shared" ref="AC1088" si="315">IF(H1088=VLOOKUP(H1088,DSKH,1,0),"","x")</f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311"/>
        <v>5</v>
      </c>
      <c r="C1089" s="37">
        <f t="shared" si="312"/>
        <v>41781</v>
      </c>
      <c r="D1089" s="191" t="s">
        <v>1214</v>
      </c>
      <c r="E1089" s="191">
        <v>41781</v>
      </c>
      <c r="F1089" s="192" t="s">
        <v>1155</v>
      </c>
      <c r="G1089" s="463" t="s">
        <v>1154</v>
      </c>
      <c r="H1089" s="7" t="s">
        <v>1139</v>
      </c>
      <c r="I1089" s="702">
        <v>400</v>
      </c>
      <c r="J1089" s="702">
        <v>14784</v>
      </c>
      <c r="K1089" s="563">
        <f>ROUND(I1089*J1089,0)</f>
        <v>5913600</v>
      </c>
      <c r="L1089" s="39" t="s">
        <v>159</v>
      </c>
      <c r="M1089" s="39" t="s">
        <v>8</v>
      </c>
      <c r="N1089" s="52" t="str">
        <f>IF(AND('331-CT'!$E$7=TH!H1089,OR(L1089="331",M1089="331")),"331",IF(AND(OR(L1089="131",M1089="131"),H1089='131-CT'!$E$7),"131",""))</f>
        <v/>
      </c>
      <c r="O1089" s="89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809">
        <v>2</v>
      </c>
      <c r="AC1089" s="211" t="str">
        <f t="shared" si="310"/>
        <v/>
      </c>
    </row>
    <row r="1090" spans="1:29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311"/>
        <v>5</v>
      </c>
      <c r="C1090" s="37">
        <f t="shared" si="312"/>
        <v>41781</v>
      </c>
      <c r="D1090" s="191" t="s">
        <v>1214</v>
      </c>
      <c r="E1090" s="191">
        <v>41781</v>
      </c>
      <c r="F1090" s="192" t="s">
        <v>1156</v>
      </c>
      <c r="G1090" s="463" t="s">
        <v>1154</v>
      </c>
      <c r="H1090" s="7" t="s">
        <v>1139</v>
      </c>
      <c r="I1090" s="702">
        <v>500</v>
      </c>
      <c r="J1090" s="251">
        <v>19008</v>
      </c>
      <c r="K1090" s="563">
        <f>ROUND(I1090*J1090,0)</f>
        <v>9504000</v>
      </c>
      <c r="L1090" s="39" t="s">
        <v>159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9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809">
        <v>2</v>
      </c>
      <c r="AC1090" s="211" t="str">
        <f t="shared" si="310"/>
        <v/>
      </c>
    </row>
    <row r="1091" spans="1:29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ref="B1091" si="316">IF(C1091&lt;&gt;"",MONTH(C1091),"")</f>
        <v>5</v>
      </c>
      <c r="C1091" s="37">
        <f t="shared" ref="C1091" si="317">E1091</f>
        <v>41781</v>
      </c>
      <c r="D1091" s="191" t="s">
        <v>1214</v>
      </c>
      <c r="E1091" s="191">
        <v>41781</v>
      </c>
      <c r="F1091" s="40" t="s">
        <v>996</v>
      </c>
      <c r="G1091" s="463" t="s">
        <v>1154</v>
      </c>
      <c r="H1091" s="7" t="s">
        <v>1139</v>
      </c>
      <c r="I1091" s="251"/>
      <c r="J1091" s="251"/>
      <c r="K1091" s="563">
        <v>1541760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9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809">
        <v>2</v>
      </c>
      <c r="AC1091" s="211" t="str">
        <f t="shared" ref="AC1091" si="318">IF(H1091=VLOOKUP(H1091,DSKH,1,0),"","x")</f>
        <v/>
      </c>
    </row>
    <row r="1092" spans="1:29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311"/>
        <v>5</v>
      </c>
      <c r="C1092" s="37">
        <f t="shared" si="312"/>
        <v>41781</v>
      </c>
      <c r="D1092" s="191"/>
      <c r="E1092" s="191">
        <v>41781</v>
      </c>
      <c r="F1092" s="192" t="s">
        <v>893</v>
      </c>
      <c r="G1092" s="463" t="s">
        <v>1154</v>
      </c>
      <c r="H1092" s="7" t="s">
        <v>1139</v>
      </c>
      <c r="I1092" s="251"/>
      <c r="J1092" s="251"/>
      <c r="K1092" s="563">
        <v>16959360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9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09"/>
      <c r="AC1092" s="211" t="str">
        <f>IF(H1092=VLOOKUP(H1092,DSKH,1,0),"","x")</f>
        <v/>
      </c>
    </row>
    <row r="1093" spans="1:29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311"/>
        <v>5</v>
      </c>
      <c r="C1093" s="37">
        <f t="shared" si="312"/>
        <v>41783</v>
      </c>
      <c r="D1093" s="191" t="s">
        <v>1215</v>
      </c>
      <c r="E1093" s="724">
        <v>41783</v>
      </c>
      <c r="F1093" s="192" t="s">
        <v>1159</v>
      </c>
      <c r="G1093" s="462" t="s">
        <v>1158</v>
      </c>
      <c r="H1093" s="7" t="s">
        <v>1139</v>
      </c>
      <c r="I1093" s="251">
        <v>150</v>
      </c>
      <c r="J1093" s="251">
        <v>10513</v>
      </c>
      <c r="K1093" s="563">
        <f>ROUND(I1093*J1093,0)</f>
        <v>1576950</v>
      </c>
      <c r="L1093" s="39" t="s">
        <v>159</v>
      </c>
      <c r="M1093" s="39" t="s">
        <v>8</v>
      </c>
      <c r="N1093" s="52" t="str">
        <f>IF(AND('331-CT'!$E$7=TH!H1093,OR(L1093="331",M1093="331")),"331",IF(AND(OR(L1093="131",M1093="131"),H1093='131-CT'!$E$7),"131",""))</f>
        <v/>
      </c>
      <c r="O1093" s="89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09">
        <v>2</v>
      </c>
      <c r="AC1093" s="211" t="str">
        <f t="shared" si="310"/>
        <v/>
      </c>
    </row>
    <row r="1094" spans="1:29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311"/>
        <v>5</v>
      </c>
      <c r="C1094" s="37">
        <f t="shared" si="312"/>
        <v>41783</v>
      </c>
      <c r="D1094" s="191" t="s">
        <v>1215</v>
      </c>
      <c r="E1094" s="724">
        <v>41783</v>
      </c>
      <c r="F1094" s="192" t="s">
        <v>1160</v>
      </c>
      <c r="G1094" s="462" t="s">
        <v>1158</v>
      </c>
      <c r="H1094" s="7" t="s">
        <v>1139</v>
      </c>
      <c r="I1094" s="251">
        <v>200</v>
      </c>
      <c r="J1094" s="251">
        <v>17618</v>
      </c>
      <c r="K1094" s="563">
        <f>ROUND(I1094*J1094,0)</f>
        <v>3523600</v>
      </c>
      <c r="L1094" s="39" t="s">
        <v>159</v>
      </c>
      <c r="M1094" s="39" t="s">
        <v>8</v>
      </c>
      <c r="N1094" s="52" t="str">
        <f>IF(AND('331-CT'!$E$7=TH!H1094,OR(L1094="331",M1094="331")),"331",IF(AND(OR(L1094="131",M1094="131"),H1094='131-CT'!$E$7),"131",""))</f>
        <v/>
      </c>
      <c r="O1094" s="89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09">
        <v>2</v>
      </c>
      <c r="AC1094" s="211" t="str">
        <f t="shared" si="310"/>
        <v/>
      </c>
    </row>
    <row r="1095" spans="1:29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311"/>
        <v>5</v>
      </c>
      <c r="C1095" s="37">
        <f t="shared" si="312"/>
        <v>41783</v>
      </c>
      <c r="D1095" s="191" t="s">
        <v>1215</v>
      </c>
      <c r="E1095" s="724">
        <v>41783</v>
      </c>
      <c r="F1095" s="192" t="s">
        <v>1161</v>
      </c>
      <c r="G1095" s="462" t="s">
        <v>1158</v>
      </c>
      <c r="H1095" s="7" t="s">
        <v>1139</v>
      </c>
      <c r="I1095" s="702">
        <v>250</v>
      </c>
      <c r="J1095" s="251">
        <v>25186</v>
      </c>
      <c r="K1095" s="563">
        <f>ROUND(I1095*J1095,0)</f>
        <v>6296500</v>
      </c>
      <c r="L1095" s="39" t="s">
        <v>159</v>
      </c>
      <c r="M1095" s="39" t="s">
        <v>8</v>
      </c>
      <c r="N1095" s="52" t="str">
        <f>IF(AND('331-CT'!$E$7=TH!H1095,OR(L1095="331",M1095="331")),"331",IF(AND(OR(L1095="131",M1095="131"),H1095='131-CT'!$E$7),"131",""))</f>
        <v/>
      </c>
      <c r="O1095" s="89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09">
        <v>2</v>
      </c>
      <c r="AC1095" s="211" t="str">
        <f t="shared" si="310"/>
        <v/>
      </c>
    </row>
    <row r="1096" spans="1:29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311"/>
        <v>5</v>
      </c>
      <c r="C1096" s="37">
        <f t="shared" si="312"/>
        <v>41783</v>
      </c>
      <c r="D1096" s="191" t="s">
        <v>1215</v>
      </c>
      <c r="E1096" s="724">
        <v>41783</v>
      </c>
      <c r="F1096" s="774" t="s">
        <v>1162</v>
      </c>
      <c r="G1096" s="462" t="s">
        <v>1158</v>
      </c>
      <c r="H1096" s="7" t="s">
        <v>1139</v>
      </c>
      <c r="I1096" s="702">
        <v>100</v>
      </c>
      <c r="J1096" s="702">
        <v>22968</v>
      </c>
      <c r="K1096" s="563">
        <f>ROUND(I1096*J1096,0)</f>
        <v>2296800</v>
      </c>
      <c r="L1096" s="39" t="s">
        <v>159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89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809">
        <v>2</v>
      </c>
      <c r="AC1096" s="211" t="str">
        <f t="shared" si="310"/>
        <v/>
      </c>
    </row>
    <row r="1097" spans="1:29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ref="B1097" si="319">IF(C1097&lt;&gt;"",MONTH(C1097),"")</f>
        <v>5</v>
      </c>
      <c r="C1097" s="37">
        <f t="shared" ref="C1097" si="320">E1097</f>
        <v>41783</v>
      </c>
      <c r="D1097" s="191" t="s">
        <v>1215</v>
      </c>
      <c r="E1097" s="724">
        <v>41783</v>
      </c>
      <c r="F1097" s="40" t="s">
        <v>996</v>
      </c>
      <c r="G1097" s="462" t="s">
        <v>1158</v>
      </c>
      <c r="H1097" s="7" t="s">
        <v>1139</v>
      </c>
      <c r="I1097" s="702"/>
      <c r="J1097" s="702"/>
      <c r="K1097" s="563">
        <v>1369385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89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09">
        <v>2</v>
      </c>
      <c r="AC1097" s="211" t="str">
        <f t="shared" ref="AC1097" si="321">IF(H1097=VLOOKUP(H1097,DSKH,1,0),"","x")</f>
        <v/>
      </c>
    </row>
    <row r="1098" spans="1:29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311"/>
        <v>5</v>
      </c>
      <c r="C1098" s="37">
        <f t="shared" si="312"/>
        <v>41783</v>
      </c>
      <c r="D1098" s="191"/>
      <c r="E1098" s="724">
        <v>41783</v>
      </c>
      <c r="F1098" s="192" t="s">
        <v>893</v>
      </c>
      <c r="G1098" s="462" t="s">
        <v>1158</v>
      </c>
      <c r="H1098" s="7" t="s">
        <v>1139</v>
      </c>
      <c r="I1098" s="702"/>
      <c r="J1098" s="702"/>
      <c r="K1098" s="563">
        <v>15063235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89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>x</v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09"/>
      <c r="AC1098" s="211" t="str">
        <f>IF(H1098=VLOOKUP(H1098,DSKH,1,0),"","x")</f>
        <v/>
      </c>
    </row>
    <row r="1099" spans="1:29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311"/>
        <v>5</v>
      </c>
      <c r="C1099" s="37">
        <f t="shared" si="312"/>
        <v>41783</v>
      </c>
      <c r="D1099" s="37"/>
      <c r="E1099" s="724">
        <v>41783</v>
      </c>
      <c r="F1099" s="189" t="s">
        <v>991</v>
      </c>
      <c r="G1099" s="463" t="s">
        <v>1163</v>
      </c>
      <c r="H1099" s="7" t="s">
        <v>993</v>
      </c>
      <c r="I1099" s="702"/>
      <c r="J1099" s="702"/>
      <c r="K1099" s="563">
        <v>756428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89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>x</v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642</v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09">
        <v>2</v>
      </c>
    </row>
    <row r="1100" spans="1:29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311"/>
        <v>5</v>
      </c>
      <c r="C1100" s="37">
        <f t="shared" si="312"/>
        <v>41783</v>
      </c>
      <c r="D1100" s="37"/>
      <c r="E1100" s="724">
        <v>41783</v>
      </c>
      <c r="F1100" s="189" t="s">
        <v>992</v>
      </c>
      <c r="G1100" s="463" t="s">
        <v>1163</v>
      </c>
      <c r="H1100" s="7" t="s">
        <v>993</v>
      </c>
      <c r="I1100" s="702"/>
      <c r="J1100" s="702"/>
      <c r="K1100" s="563">
        <v>75643</v>
      </c>
      <c r="L1100" s="3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89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>x</v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09">
        <v>2</v>
      </c>
    </row>
    <row r="1101" spans="1:29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311"/>
        <v>5</v>
      </c>
      <c r="C1101" s="37">
        <f t="shared" si="312"/>
        <v>41789</v>
      </c>
      <c r="D1101" s="37"/>
      <c r="E1101" s="37">
        <v>41789</v>
      </c>
      <c r="F1101" s="192" t="s">
        <v>372</v>
      </c>
      <c r="G1101" s="463" t="s">
        <v>669</v>
      </c>
      <c r="H1101" s="7" t="s">
        <v>998</v>
      </c>
      <c r="I1101" s="702"/>
      <c r="J1101" s="702"/>
      <c r="K1101" s="563">
        <v>5040000</v>
      </c>
      <c r="L1101" s="39" t="s">
        <v>167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89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>x</v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09">
        <v>2</v>
      </c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311"/>
        <v>5</v>
      </c>
      <c r="C1102" s="37">
        <f t="shared" si="312"/>
        <v>41789</v>
      </c>
      <c r="D1102" s="37"/>
      <c r="E1102" s="37">
        <v>41789</v>
      </c>
      <c r="F1102" s="192" t="s">
        <v>999</v>
      </c>
      <c r="G1102" s="463" t="s">
        <v>669</v>
      </c>
      <c r="H1102" s="7" t="s">
        <v>998</v>
      </c>
      <c r="I1102" s="702"/>
      <c r="J1102" s="702"/>
      <c r="K1102" s="563">
        <v>504000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9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>x</v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09">
        <v>2</v>
      </c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311"/>
        <v>5</v>
      </c>
      <c r="C1103" s="37">
        <f t="shared" si="312"/>
        <v>41790</v>
      </c>
      <c r="D1103" s="37" t="s">
        <v>1207</v>
      </c>
      <c r="E1103" s="37">
        <v>41790</v>
      </c>
      <c r="F1103" s="189" t="s">
        <v>330</v>
      </c>
      <c r="G1103" s="463" t="s">
        <v>1164</v>
      </c>
      <c r="H1103" s="7" t="s">
        <v>351</v>
      </c>
      <c r="I1103" s="702">
        <v>24</v>
      </c>
      <c r="J1103" s="702">
        <v>44000</v>
      </c>
      <c r="K1103" s="563">
        <f>ROUND(I1103*J1103,0)</f>
        <v>1056000</v>
      </c>
      <c r="L1103" s="39" t="s">
        <v>161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89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09">
        <v>2</v>
      </c>
      <c r="AC1103" s="211" t="str">
        <f>IF(H1103=VLOOKUP(H1103,DSKH,1,0),"","x")</f>
        <v/>
      </c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311"/>
        <v>5</v>
      </c>
      <c r="C1104" s="37">
        <f t="shared" si="312"/>
        <v>41790</v>
      </c>
      <c r="D1104" s="37" t="s">
        <v>1207</v>
      </c>
      <c r="E1104" s="37">
        <v>41790</v>
      </c>
      <c r="F1104" s="189" t="s">
        <v>1008</v>
      </c>
      <c r="G1104" s="463" t="s">
        <v>1164</v>
      </c>
      <c r="H1104" s="7" t="s">
        <v>351</v>
      </c>
      <c r="I1104" s="251"/>
      <c r="J1104" s="251"/>
      <c r="K1104" s="563">
        <v>105600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89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09">
        <v>2</v>
      </c>
      <c r="AC1104" s="211" t="str">
        <f>IF(H1104=VLOOKUP(H1104,DSKH,1,0),"","x")</f>
        <v/>
      </c>
    </row>
    <row r="1105" spans="1:29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311"/>
        <v>5</v>
      </c>
      <c r="C1105" s="37">
        <f t="shared" si="312"/>
        <v>41790</v>
      </c>
      <c r="D1105" s="37"/>
      <c r="E1105" s="37">
        <v>41790</v>
      </c>
      <c r="F1105" s="192" t="s">
        <v>893</v>
      </c>
      <c r="G1105" s="463" t="s">
        <v>1164</v>
      </c>
      <c r="H1105" s="7" t="s">
        <v>351</v>
      </c>
      <c r="I1105" s="251"/>
      <c r="J1105" s="251"/>
      <c r="K1105" s="563">
        <v>1161600</v>
      </c>
      <c r="L1105" s="39" t="s">
        <v>8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89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>x</v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09"/>
    </row>
    <row r="1106" spans="1:29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311"/>
        <v>6</v>
      </c>
      <c r="C1106" s="37">
        <f t="shared" si="312"/>
        <v>41792</v>
      </c>
      <c r="D1106" s="191" t="s">
        <v>1216</v>
      </c>
      <c r="E1106" s="37">
        <v>41792</v>
      </c>
      <c r="F1106" s="40" t="s">
        <v>1166</v>
      </c>
      <c r="G1106" s="462" t="s">
        <v>1165</v>
      </c>
      <c r="H1106" s="7" t="s">
        <v>1139</v>
      </c>
      <c r="I1106" s="251">
        <v>1000</v>
      </c>
      <c r="J1106" s="251">
        <v>10231</v>
      </c>
      <c r="K1106" s="563">
        <f t="shared" ref="K1106:K1136" si="322">ROUND(I1106*J1106,0)</f>
        <v>10231000</v>
      </c>
      <c r="L1106" s="39" t="s">
        <v>159</v>
      </c>
      <c r="M1106" s="39" t="s">
        <v>8</v>
      </c>
      <c r="N1106" s="52" t="str">
        <f>IF(AND('331-CT'!$E$7=TH!H1106,OR(L1106="331",M1106="331")),"331",IF(AND(OR(L1106="131",M1106="131"),H1106='131-CT'!$E$7),"131",""))</f>
        <v/>
      </c>
      <c r="O1106" s="89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09">
        <v>2</v>
      </c>
      <c r="AC1106" s="211" t="str">
        <f t="shared" ref="AC1106:AC1137" si="323">IF(H1106=VLOOKUP(H1106,DSKH,1,0),"","x")</f>
        <v/>
      </c>
    </row>
    <row r="1107" spans="1:29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311"/>
        <v>6</v>
      </c>
      <c r="C1107" s="37">
        <f t="shared" si="312"/>
        <v>41792</v>
      </c>
      <c r="D1107" s="191" t="s">
        <v>1216</v>
      </c>
      <c r="E1107" s="37">
        <v>41792</v>
      </c>
      <c r="F1107" s="40" t="s">
        <v>1167</v>
      </c>
      <c r="G1107" s="462" t="s">
        <v>1165</v>
      </c>
      <c r="H1107" s="7" t="s">
        <v>1139</v>
      </c>
      <c r="I1107" s="251">
        <v>250</v>
      </c>
      <c r="J1107" s="251">
        <v>16262</v>
      </c>
      <c r="K1107" s="563">
        <f t="shared" si="322"/>
        <v>4065500</v>
      </c>
      <c r="L1107" s="39" t="s">
        <v>159</v>
      </c>
      <c r="M1107" s="39" t="s">
        <v>8</v>
      </c>
      <c r="N1107" s="52" t="str">
        <f>IF(AND('331-CT'!$E$7=TH!H1107,OR(L1107="331",M1107="331")),"331",IF(AND(OR(L1107="131",M1107="131"),H1107='131-CT'!$E$7),"131",""))</f>
        <v/>
      </c>
      <c r="O1107" s="89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09">
        <v>2</v>
      </c>
      <c r="AC1107" s="211" t="str">
        <f t="shared" si="323"/>
        <v/>
      </c>
    </row>
    <row r="1108" spans="1:29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311"/>
        <v>6</v>
      </c>
      <c r="C1108" s="37">
        <f t="shared" si="312"/>
        <v>41792</v>
      </c>
      <c r="D1108" s="191" t="s">
        <v>1216</v>
      </c>
      <c r="E1108" s="37">
        <v>41792</v>
      </c>
      <c r="F1108" s="40" t="s">
        <v>1070</v>
      </c>
      <c r="G1108" s="462" t="s">
        <v>1165</v>
      </c>
      <c r="H1108" s="7" t="s">
        <v>1139</v>
      </c>
      <c r="I1108" s="251">
        <v>310</v>
      </c>
      <c r="J1108" s="251">
        <v>20038</v>
      </c>
      <c r="K1108" s="563">
        <f t="shared" si="322"/>
        <v>6211780</v>
      </c>
      <c r="L1108" s="39" t="s">
        <v>159</v>
      </c>
      <c r="M1108" s="39" t="s">
        <v>8</v>
      </c>
      <c r="N1108" s="52" t="str">
        <f>IF(AND('331-CT'!$E$7=TH!H1108,OR(L1108="331",M1108="331")),"331",IF(AND(OR(L1108="131",M1108="131"),H1108='131-CT'!$E$7),"131",""))</f>
        <v/>
      </c>
      <c r="O1108" s="89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09">
        <v>2</v>
      </c>
      <c r="AC1108" s="211" t="str">
        <f t="shared" si="323"/>
        <v/>
      </c>
    </row>
    <row r="1109" spans="1:29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311"/>
        <v>6</v>
      </c>
      <c r="C1109" s="37">
        <f t="shared" si="312"/>
        <v>41792</v>
      </c>
      <c r="D1109" s="191" t="s">
        <v>1216</v>
      </c>
      <c r="E1109" s="37">
        <v>41792</v>
      </c>
      <c r="F1109" s="40" t="s">
        <v>1156</v>
      </c>
      <c r="G1109" s="462" t="s">
        <v>1165</v>
      </c>
      <c r="H1109" s="7" t="s">
        <v>1139</v>
      </c>
      <c r="I1109" s="251">
        <v>500</v>
      </c>
      <c r="J1109" s="251">
        <v>19008</v>
      </c>
      <c r="K1109" s="563">
        <f t="shared" si="322"/>
        <v>9504000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89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09">
        <v>2</v>
      </c>
      <c r="AC1109" s="211" t="str">
        <f t="shared" si="323"/>
        <v/>
      </c>
    </row>
    <row r="1110" spans="1:29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311"/>
        <v>6</v>
      </c>
      <c r="C1110" s="37">
        <f t="shared" si="312"/>
        <v>41792</v>
      </c>
      <c r="D1110" s="191" t="s">
        <v>1216</v>
      </c>
      <c r="E1110" s="37">
        <v>41792</v>
      </c>
      <c r="F1110" s="40" t="s">
        <v>1071</v>
      </c>
      <c r="G1110" s="462" t="s">
        <v>1165</v>
      </c>
      <c r="H1110" s="7" t="s">
        <v>1139</v>
      </c>
      <c r="I1110" s="251">
        <v>250</v>
      </c>
      <c r="J1110" s="251">
        <v>17318</v>
      </c>
      <c r="K1110" s="563">
        <f t="shared" si="322"/>
        <v>4329500</v>
      </c>
      <c r="L1110" s="39" t="s">
        <v>159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89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09">
        <v>2</v>
      </c>
      <c r="AC1110" s="211" t="str">
        <f t="shared" si="323"/>
        <v/>
      </c>
    </row>
    <row r="1111" spans="1:29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311"/>
        <v>6</v>
      </c>
      <c r="C1111" s="37">
        <f t="shared" si="312"/>
        <v>41792</v>
      </c>
      <c r="D1111" s="191" t="s">
        <v>1216</v>
      </c>
      <c r="E1111" s="37">
        <v>41792</v>
      </c>
      <c r="F1111" s="40" t="s">
        <v>1160</v>
      </c>
      <c r="G1111" s="462" t="s">
        <v>1165</v>
      </c>
      <c r="H1111" s="7" t="s">
        <v>1139</v>
      </c>
      <c r="I1111" s="251">
        <v>200</v>
      </c>
      <c r="J1111" s="251">
        <v>17618</v>
      </c>
      <c r="K1111" s="563">
        <f t="shared" si="322"/>
        <v>3523600</v>
      </c>
      <c r="L1111" s="39" t="s">
        <v>159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89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09">
        <v>2</v>
      </c>
      <c r="AC1111" s="211" t="str">
        <f t="shared" si="323"/>
        <v/>
      </c>
    </row>
    <row r="1112" spans="1:29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311"/>
        <v>6</v>
      </c>
      <c r="C1112" s="37">
        <f t="shared" si="312"/>
        <v>41792</v>
      </c>
      <c r="D1112" s="191" t="s">
        <v>1216</v>
      </c>
      <c r="E1112" s="37">
        <v>41792</v>
      </c>
      <c r="F1112" s="40" t="s">
        <v>1162</v>
      </c>
      <c r="G1112" s="462" t="s">
        <v>1165</v>
      </c>
      <c r="H1112" s="7" t="s">
        <v>1139</v>
      </c>
      <c r="I1112" s="251">
        <v>100</v>
      </c>
      <c r="J1112" s="251">
        <v>22968</v>
      </c>
      <c r="K1112" s="563">
        <f t="shared" si="322"/>
        <v>2296800</v>
      </c>
      <c r="L1112" s="39" t="s">
        <v>159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89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09">
        <v>2</v>
      </c>
      <c r="AC1112" s="211" t="str">
        <f t="shared" si="323"/>
        <v/>
      </c>
    </row>
    <row r="1113" spans="1:29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311"/>
        <v>6</v>
      </c>
      <c r="C1113" s="37">
        <f t="shared" si="312"/>
        <v>41792</v>
      </c>
      <c r="D1113" s="191" t="s">
        <v>1216</v>
      </c>
      <c r="E1113" s="37">
        <v>41792</v>
      </c>
      <c r="F1113" s="40" t="s">
        <v>1069</v>
      </c>
      <c r="G1113" s="462" t="s">
        <v>1165</v>
      </c>
      <c r="H1113" s="7" t="s">
        <v>1139</v>
      </c>
      <c r="I1113" s="251">
        <v>175</v>
      </c>
      <c r="J1113" s="251">
        <v>14978</v>
      </c>
      <c r="K1113" s="563">
        <f t="shared" si="322"/>
        <v>2621150</v>
      </c>
      <c r="L1113" s="39" t="s">
        <v>159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9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09">
        <v>2</v>
      </c>
      <c r="AC1113" s="211" t="str">
        <f t="shared" si="323"/>
        <v/>
      </c>
    </row>
    <row r="1114" spans="1:29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311"/>
        <v>6</v>
      </c>
      <c r="C1114" s="37">
        <f t="shared" si="312"/>
        <v>41792</v>
      </c>
      <c r="D1114" s="191" t="s">
        <v>1216</v>
      </c>
      <c r="E1114" s="37">
        <v>41792</v>
      </c>
      <c r="F1114" s="40" t="s">
        <v>1070</v>
      </c>
      <c r="G1114" s="462" t="s">
        <v>1165</v>
      </c>
      <c r="H1114" s="7" t="s">
        <v>1139</v>
      </c>
      <c r="I1114" s="251">
        <v>190</v>
      </c>
      <c r="J1114" s="251">
        <v>20038</v>
      </c>
      <c r="K1114" s="563">
        <f t="shared" si="322"/>
        <v>3807220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89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09">
        <v>2</v>
      </c>
      <c r="AC1114" s="211" t="str">
        <f t="shared" si="323"/>
        <v/>
      </c>
    </row>
    <row r="1115" spans="1:29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311"/>
        <v>6</v>
      </c>
      <c r="C1115" s="37">
        <f t="shared" si="312"/>
        <v>41792</v>
      </c>
      <c r="D1115" s="191" t="s">
        <v>1216</v>
      </c>
      <c r="E1115" s="37">
        <v>41792</v>
      </c>
      <c r="F1115" s="40" t="s">
        <v>1068</v>
      </c>
      <c r="G1115" s="462" t="s">
        <v>1165</v>
      </c>
      <c r="H1115" s="7" t="s">
        <v>1139</v>
      </c>
      <c r="I1115" s="251">
        <v>146</v>
      </c>
      <c r="J1115" s="251">
        <v>16447</v>
      </c>
      <c r="K1115" s="563">
        <f t="shared" si="322"/>
        <v>2401262</v>
      </c>
      <c r="L1115" s="39" t="s">
        <v>159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89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09">
        <v>2</v>
      </c>
      <c r="AC1115" s="211" t="str">
        <f t="shared" si="323"/>
        <v/>
      </c>
    </row>
    <row r="1116" spans="1:29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311"/>
        <v>6</v>
      </c>
      <c r="C1116" s="37">
        <f t="shared" si="312"/>
        <v>41792</v>
      </c>
      <c r="D1116" s="191" t="s">
        <v>1216</v>
      </c>
      <c r="E1116" s="37">
        <v>41792</v>
      </c>
      <c r="F1116" s="40" t="s">
        <v>1168</v>
      </c>
      <c r="G1116" s="462" t="s">
        <v>1165</v>
      </c>
      <c r="H1116" s="7" t="s">
        <v>1139</v>
      </c>
      <c r="I1116" s="702">
        <v>400</v>
      </c>
      <c r="J1116" s="702">
        <v>22704</v>
      </c>
      <c r="K1116" s="563">
        <f t="shared" si="322"/>
        <v>9081600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9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09">
        <v>2</v>
      </c>
      <c r="AC1116" s="211" t="str">
        <f t="shared" si="323"/>
        <v/>
      </c>
    </row>
    <row r="1117" spans="1:29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311"/>
        <v>6</v>
      </c>
      <c r="C1117" s="37">
        <f t="shared" si="312"/>
        <v>41792</v>
      </c>
      <c r="D1117" s="191" t="s">
        <v>1216</v>
      </c>
      <c r="E1117" s="37">
        <v>41792</v>
      </c>
      <c r="F1117" s="40" t="s">
        <v>1069</v>
      </c>
      <c r="G1117" s="462" t="s">
        <v>1165</v>
      </c>
      <c r="H1117" s="7" t="s">
        <v>1139</v>
      </c>
      <c r="I1117" s="702">
        <v>175</v>
      </c>
      <c r="J1117" s="702">
        <v>14978</v>
      </c>
      <c r="K1117" s="563">
        <f t="shared" si="322"/>
        <v>2621150</v>
      </c>
      <c r="L1117" s="39" t="s">
        <v>159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9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09">
        <v>2</v>
      </c>
      <c r="AC1117" s="211" t="str">
        <f t="shared" si="323"/>
        <v/>
      </c>
    </row>
    <row r="1118" spans="1:29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311"/>
        <v>6</v>
      </c>
      <c r="C1118" s="37">
        <f t="shared" si="312"/>
        <v>41792</v>
      </c>
      <c r="D1118" s="191" t="s">
        <v>1216</v>
      </c>
      <c r="E1118" s="37">
        <v>41792</v>
      </c>
      <c r="F1118" s="40" t="s">
        <v>1155</v>
      </c>
      <c r="G1118" s="462" t="s">
        <v>1165</v>
      </c>
      <c r="H1118" s="7" t="s">
        <v>1139</v>
      </c>
      <c r="I1118" s="702">
        <v>200</v>
      </c>
      <c r="J1118" s="702">
        <v>14784</v>
      </c>
      <c r="K1118" s="563">
        <f t="shared" si="322"/>
        <v>2956800</v>
      </c>
      <c r="L1118" s="39" t="s">
        <v>159</v>
      </c>
      <c r="M1118" s="39" t="s">
        <v>8</v>
      </c>
      <c r="N1118" s="52" t="str">
        <f>IF(AND('331-CT'!$E$7=TH!H1118,OR(L1118="331",M1118="331")),"331",IF(AND(OR(L1118="131",M1118="131"),H1118='131-CT'!$E$7),"131",""))</f>
        <v/>
      </c>
      <c r="O1118" s="89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09">
        <v>2</v>
      </c>
      <c r="AC1118" s="211" t="str">
        <f t="shared" si="323"/>
        <v/>
      </c>
    </row>
    <row r="1119" spans="1:29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311"/>
        <v>6</v>
      </c>
      <c r="C1119" s="37">
        <f t="shared" si="312"/>
        <v>41792</v>
      </c>
      <c r="D1119" s="191" t="s">
        <v>1216</v>
      </c>
      <c r="E1119" s="37">
        <v>41792</v>
      </c>
      <c r="F1119" s="40" t="s">
        <v>1169</v>
      </c>
      <c r="G1119" s="462" t="s">
        <v>1165</v>
      </c>
      <c r="H1119" s="7" t="s">
        <v>1139</v>
      </c>
      <c r="I1119" s="702">
        <v>350</v>
      </c>
      <c r="J1119" s="702">
        <v>8584</v>
      </c>
      <c r="K1119" s="563">
        <f t="shared" si="322"/>
        <v>3004400</v>
      </c>
      <c r="L1119" s="39" t="s">
        <v>159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9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09">
        <v>2</v>
      </c>
      <c r="AC1119" s="211" t="str">
        <f t="shared" si="323"/>
        <v/>
      </c>
    </row>
    <row r="1120" spans="1:29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311"/>
        <v>6</v>
      </c>
      <c r="C1120" s="37">
        <f t="shared" si="312"/>
        <v>41792</v>
      </c>
      <c r="D1120" s="191" t="s">
        <v>1216</v>
      </c>
      <c r="E1120" s="37">
        <v>41792</v>
      </c>
      <c r="F1120" s="40" t="s">
        <v>1170</v>
      </c>
      <c r="G1120" s="462" t="s">
        <v>1165</v>
      </c>
      <c r="H1120" s="7" t="s">
        <v>1139</v>
      </c>
      <c r="I1120" s="702">
        <v>150</v>
      </c>
      <c r="J1120" s="702">
        <v>16315</v>
      </c>
      <c r="K1120" s="563">
        <f t="shared" si="322"/>
        <v>2447250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9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09">
        <v>2</v>
      </c>
      <c r="AC1120" s="211" t="str">
        <f t="shared" si="323"/>
        <v/>
      </c>
    </row>
    <row r="1121" spans="1:29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311"/>
        <v>6</v>
      </c>
      <c r="C1121" s="37">
        <f t="shared" si="312"/>
        <v>41792</v>
      </c>
      <c r="D1121" s="191" t="s">
        <v>1216</v>
      </c>
      <c r="E1121" s="37">
        <v>41792</v>
      </c>
      <c r="F1121" s="40" t="s">
        <v>1171</v>
      </c>
      <c r="G1121" s="462" t="s">
        <v>1165</v>
      </c>
      <c r="H1121" s="7" t="s">
        <v>1139</v>
      </c>
      <c r="I1121" s="702">
        <v>420</v>
      </c>
      <c r="J1121" s="702">
        <v>10150</v>
      </c>
      <c r="K1121" s="563">
        <f t="shared" si="322"/>
        <v>4263000</v>
      </c>
      <c r="L1121" s="39" t="s">
        <v>159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89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09">
        <v>2</v>
      </c>
      <c r="AC1121" s="211" t="str">
        <f t="shared" si="323"/>
        <v/>
      </c>
    </row>
    <row r="1122" spans="1:29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311"/>
        <v>6</v>
      </c>
      <c r="C1122" s="37">
        <f t="shared" si="312"/>
        <v>41792</v>
      </c>
      <c r="D1122" s="191" t="s">
        <v>1216</v>
      </c>
      <c r="E1122" s="37">
        <v>41792</v>
      </c>
      <c r="F1122" s="40" t="s">
        <v>1172</v>
      </c>
      <c r="G1122" s="462" t="s">
        <v>1165</v>
      </c>
      <c r="H1122" s="7" t="s">
        <v>1139</v>
      </c>
      <c r="I1122" s="702">
        <v>425</v>
      </c>
      <c r="J1122" s="702">
        <v>7888</v>
      </c>
      <c r="K1122" s="563">
        <f t="shared" si="322"/>
        <v>3352400</v>
      </c>
      <c r="L1122" s="39" t="s">
        <v>159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9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09">
        <v>2</v>
      </c>
      <c r="AC1122" s="211" t="str">
        <f t="shared" si="323"/>
        <v/>
      </c>
    </row>
    <row r="1123" spans="1:29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311"/>
        <v>6</v>
      </c>
      <c r="C1123" s="37">
        <f t="shared" si="312"/>
        <v>41792</v>
      </c>
      <c r="D1123" s="191" t="s">
        <v>1216</v>
      </c>
      <c r="E1123" s="37">
        <v>41792</v>
      </c>
      <c r="F1123" s="40" t="s">
        <v>1173</v>
      </c>
      <c r="G1123" s="462" t="s">
        <v>1165</v>
      </c>
      <c r="H1123" s="7" t="s">
        <v>1139</v>
      </c>
      <c r="I1123" s="702">
        <v>435</v>
      </c>
      <c r="J1123" s="778">
        <v>9515</v>
      </c>
      <c r="K1123" s="563">
        <f t="shared" si="322"/>
        <v>4139025</v>
      </c>
      <c r="L1123" s="39" t="s">
        <v>159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9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09">
        <v>2</v>
      </c>
      <c r="AC1123" s="211" t="str">
        <f t="shared" si="323"/>
        <v/>
      </c>
    </row>
    <row r="1124" spans="1:29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311"/>
        <v>6</v>
      </c>
      <c r="C1124" s="37">
        <f t="shared" si="312"/>
        <v>41792</v>
      </c>
      <c r="D1124" s="191" t="s">
        <v>1216</v>
      </c>
      <c r="E1124" s="37">
        <v>41792</v>
      </c>
      <c r="F1124" s="40" t="s">
        <v>1174</v>
      </c>
      <c r="G1124" s="462" t="s">
        <v>1165</v>
      </c>
      <c r="H1124" s="7" t="s">
        <v>1139</v>
      </c>
      <c r="I1124" s="702">
        <v>250</v>
      </c>
      <c r="J1124" s="251">
        <v>29920</v>
      </c>
      <c r="K1124" s="563">
        <f t="shared" si="322"/>
        <v>7480000</v>
      </c>
      <c r="L1124" s="39" t="s">
        <v>159</v>
      </c>
      <c r="M1124" s="39" t="s">
        <v>8</v>
      </c>
      <c r="N1124" s="52" t="str">
        <f>IF(AND('331-CT'!$E$7=TH!H1124,OR(L1124="331",M1124="331")),"331",IF(AND(OR(L1124="131",M1124="131"),H1124='131-CT'!$E$7),"131",""))</f>
        <v/>
      </c>
      <c r="O1124" s="89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09">
        <v>2</v>
      </c>
      <c r="AC1124" s="211" t="str">
        <f t="shared" si="323"/>
        <v/>
      </c>
    </row>
    <row r="1125" spans="1:29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311"/>
        <v>6</v>
      </c>
      <c r="C1125" s="37">
        <f t="shared" si="312"/>
        <v>41792</v>
      </c>
      <c r="D1125" s="191" t="s">
        <v>1216</v>
      </c>
      <c r="E1125" s="37">
        <v>41792</v>
      </c>
      <c r="F1125" s="40" t="s">
        <v>1071</v>
      </c>
      <c r="G1125" s="462" t="s">
        <v>1165</v>
      </c>
      <c r="H1125" s="7" t="s">
        <v>1139</v>
      </c>
      <c r="I1125" s="251">
        <v>200</v>
      </c>
      <c r="J1125" s="251">
        <v>17318</v>
      </c>
      <c r="K1125" s="563">
        <f t="shared" si="322"/>
        <v>3463600</v>
      </c>
      <c r="L1125" s="39" t="s">
        <v>159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89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09">
        <v>2</v>
      </c>
      <c r="AC1125" s="211" t="str">
        <f t="shared" si="323"/>
        <v/>
      </c>
    </row>
    <row r="1126" spans="1:29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311"/>
        <v>6</v>
      </c>
      <c r="C1126" s="37">
        <f t="shared" si="312"/>
        <v>41792</v>
      </c>
      <c r="D1126" s="191" t="s">
        <v>1216</v>
      </c>
      <c r="E1126" s="37">
        <v>41792</v>
      </c>
      <c r="F1126" s="40" t="s">
        <v>1175</v>
      </c>
      <c r="G1126" s="462" t="s">
        <v>1165</v>
      </c>
      <c r="H1126" s="7" t="s">
        <v>1139</v>
      </c>
      <c r="I1126" s="251">
        <v>972</v>
      </c>
      <c r="J1126" s="251">
        <v>9161</v>
      </c>
      <c r="K1126" s="563">
        <f t="shared" si="322"/>
        <v>8904492</v>
      </c>
      <c r="L1126" s="39" t="s">
        <v>159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89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09">
        <v>2</v>
      </c>
      <c r="AC1126" s="211" t="str">
        <f t="shared" si="323"/>
        <v/>
      </c>
    </row>
    <row r="1127" spans="1:29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311"/>
        <v>6</v>
      </c>
      <c r="C1127" s="37">
        <f t="shared" si="312"/>
        <v>41792</v>
      </c>
      <c r="D1127" s="191" t="s">
        <v>1216</v>
      </c>
      <c r="E1127" s="37">
        <v>41792</v>
      </c>
      <c r="F1127" s="40" t="s">
        <v>1071</v>
      </c>
      <c r="G1127" s="462" t="s">
        <v>1165</v>
      </c>
      <c r="H1127" s="7" t="s">
        <v>1139</v>
      </c>
      <c r="I1127" s="251">
        <v>50</v>
      </c>
      <c r="J1127" s="251">
        <v>17318</v>
      </c>
      <c r="K1127" s="563">
        <f t="shared" si="322"/>
        <v>865900</v>
      </c>
      <c r="L1127" s="39" t="s">
        <v>159</v>
      </c>
      <c r="M1127" s="39" t="s">
        <v>8</v>
      </c>
      <c r="N1127" s="52" t="str">
        <f>IF(AND('331-CT'!$E$7=TH!H1127,OR(L1127="331",M1127="331")),"331",IF(AND(OR(L1127="131",M1127="131"),H1127='131-CT'!$E$7),"131",""))</f>
        <v/>
      </c>
      <c r="O1127" s="89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09">
        <v>2</v>
      </c>
      <c r="AC1127" s="211" t="str">
        <f t="shared" si="323"/>
        <v/>
      </c>
    </row>
    <row r="1128" spans="1:29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311"/>
        <v>6</v>
      </c>
      <c r="C1128" s="37">
        <f t="shared" si="312"/>
        <v>41792</v>
      </c>
      <c r="D1128" s="191" t="s">
        <v>1216</v>
      </c>
      <c r="E1128" s="37">
        <v>41792</v>
      </c>
      <c r="F1128" s="40" t="s">
        <v>1176</v>
      </c>
      <c r="G1128" s="462" t="s">
        <v>1165</v>
      </c>
      <c r="H1128" s="7" t="s">
        <v>1139</v>
      </c>
      <c r="I1128" s="251">
        <v>150</v>
      </c>
      <c r="J1128" s="251">
        <v>16280</v>
      </c>
      <c r="K1128" s="563">
        <f t="shared" si="322"/>
        <v>2442000</v>
      </c>
      <c r="L1128" s="39" t="s">
        <v>159</v>
      </c>
      <c r="M1128" s="39" t="s">
        <v>8</v>
      </c>
      <c r="N1128" s="52" t="str">
        <f>IF(AND('331-CT'!$E$7=TH!H1128,OR(L1128="331",M1128="331")),"331",IF(AND(OR(L1128="131",M1128="131"),H1128='131-CT'!$E$7),"131",""))</f>
        <v/>
      </c>
      <c r="O1128" s="89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09">
        <v>2</v>
      </c>
      <c r="AC1128" s="211" t="str">
        <f t="shared" si="323"/>
        <v/>
      </c>
    </row>
    <row r="1129" spans="1:29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311"/>
        <v>6</v>
      </c>
      <c r="C1129" s="37">
        <f t="shared" si="312"/>
        <v>41792</v>
      </c>
      <c r="D1129" s="191" t="s">
        <v>1216</v>
      </c>
      <c r="E1129" s="37">
        <v>41792</v>
      </c>
      <c r="F1129" s="40" t="s">
        <v>1177</v>
      </c>
      <c r="G1129" s="462" t="s">
        <v>1165</v>
      </c>
      <c r="H1129" s="7" t="s">
        <v>1139</v>
      </c>
      <c r="I1129" s="251">
        <v>270</v>
      </c>
      <c r="J1129" s="251">
        <v>11020</v>
      </c>
      <c r="K1129" s="563">
        <f t="shared" si="322"/>
        <v>2975400</v>
      </c>
      <c r="L1129" s="39" t="s">
        <v>159</v>
      </c>
      <c r="M1129" s="39" t="s">
        <v>8</v>
      </c>
      <c r="N1129" s="52" t="str">
        <f>IF(AND('331-CT'!$E$7=TH!H1129,OR(L1129="331",M1129="331")),"331",IF(AND(OR(L1129="131",M1129="131"),H1129='131-CT'!$E$7),"131",""))</f>
        <v/>
      </c>
      <c r="O1129" s="89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09">
        <v>2</v>
      </c>
      <c r="AC1129" s="211" t="str">
        <f t="shared" si="323"/>
        <v/>
      </c>
    </row>
    <row r="1130" spans="1:29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311"/>
        <v>6</v>
      </c>
      <c r="C1130" s="37">
        <f t="shared" si="312"/>
        <v>41792</v>
      </c>
      <c r="D1130" s="191" t="s">
        <v>1216</v>
      </c>
      <c r="E1130" s="37">
        <v>41792</v>
      </c>
      <c r="F1130" s="40" t="s">
        <v>1178</v>
      </c>
      <c r="G1130" s="462" t="s">
        <v>1165</v>
      </c>
      <c r="H1130" s="7" t="s">
        <v>1139</v>
      </c>
      <c r="I1130" s="251">
        <v>270</v>
      </c>
      <c r="J1130" s="251">
        <v>12615</v>
      </c>
      <c r="K1130" s="563">
        <f t="shared" si="322"/>
        <v>3406050</v>
      </c>
      <c r="L1130" s="39" t="s">
        <v>159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89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809">
        <v>2</v>
      </c>
      <c r="AC1130" s="211" t="str">
        <f t="shared" si="323"/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311"/>
        <v>6</v>
      </c>
      <c r="C1131" s="37">
        <f t="shared" si="312"/>
        <v>41792</v>
      </c>
      <c r="D1131" s="191" t="s">
        <v>1216</v>
      </c>
      <c r="E1131" s="37">
        <v>41792</v>
      </c>
      <c r="F1131" s="40" t="s">
        <v>1179</v>
      </c>
      <c r="G1131" s="462" t="s">
        <v>1165</v>
      </c>
      <c r="H1131" s="7" t="s">
        <v>1139</v>
      </c>
      <c r="I1131" s="251">
        <v>190</v>
      </c>
      <c r="J1131" s="251">
        <v>19690</v>
      </c>
      <c r="K1131" s="563">
        <f t="shared" si="322"/>
        <v>3741100</v>
      </c>
      <c r="L1131" s="39" t="s">
        <v>159</v>
      </c>
      <c r="M1131" s="39" t="s">
        <v>8</v>
      </c>
      <c r="N1131" s="52" t="str">
        <f>IF(AND('331-CT'!$E$7=TH!H1131,OR(L1131="331",M1131="331")),"331",IF(AND(OR(L1131="131",M1131="131"),H1131='131-CT'!$E$7),"131",""))</f>
        <v/>
      </c>
      <c r="O1131" s="89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09">
        <v>2</v>
      </c>
      <c r="AC1131" s="211" t="str">
        <f t="shared" si="323"/>
        <v/>
      </c>
    </row>
    <row r="1132" spans="1:29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311"/>
        <v>6</v>
      </c>
      <c r="C1132" s="37">
        <f t="shared" si="312"/>
        <v>41792</v>
      </c>
      <c r="D1132" s="191" t="s">
        <v>1216</v>
      </c>
      <c r="E1132" s="37">
        <v>41792</v>
      </c>
      <c r="F1132" s="40" t="s">
        <v>1180</v>
      </c>
      <c r="G1132" s="462" t="s">
        <v>1165</v>
      </c>
      <c r="H1132" s="7" t="s">
        <v>1139</v>
      </c>
      <c r="I1132" s="251">
        <v>350</v>
      </c>
      <c r="J1132" s="251">
        <v>8549</v>
      </c>
      <c r="K1132" s="563">
        <f t="shared" si="322"/>
        <v>2992150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89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09">
        <v>2</v>
      </c>
      <c r="AC1132" s="211" t="str">
        <f t="shared" si="323"/>
        <v/>
      </c>
    </row>
    <row r="1133" spans="1:29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311"/>
        <v>6</v>
      </c>
      <c r="C1133" s="37">
        <f t="shared" si="312"/>
        <v>41792</v>
      </c>
      <c r="D1133" s="191" t="s">
        <v>1216</v>
      </c>
      <c r="E1133" s="37">
        <v>41792</v>
      </c>
      <c r="F1133" s="40" t="s">
        <v>1181</v>
      </c>
      <c r="G1133" s="462" t="s">
        <v>1165</v>
      </c>
      <c r="H1133" s="7" t="s">
        <v>1139</v>
      </c>
      <c r="I1133" s="251">
        <v>23</v>
      </c>
      <c r="J1133" s="251">
        <v>19712</v>
      </c>
      <c r="K1133" s="563">
        <f t="shared" si="322"/>
        <v>453376</v>
      </c>
      <c r="L1133" s="39" t="s">
        <v>159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89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09">
        <v>2</v>
      </c>
      <c r="AC1133" s="211" t="str">
        <f t="shared" si="323"/>
        <v/>
      </c>
    </row>
    <row r="1134" spans="1:29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311"/>
        <v>6</v>
      </c>
      <c r="C1134" s="37">
        <f t="shared" si="312"/>
        <v>41792</v>
      </c>
      <c r="D1134" s="191" t="s">
        <v>1216</v>
      </c>
      <c r="E1134" s="37">
        <v>41792</v>
      </c>
      <c r="F1134" s="40" t="s">
        <v>1181</v>
      </c>
      <c r="G1134" s="462" t="s">
        <v>1165</v>
      </c>
      <c r="H1134" s="7" t="s">
        <v>1139</v>
      </c>
      <c r="I1134" s="251">
        <v>250</v>
      </c>
      <c r="J1134" s="251">
        <v>19712</v>
      </c>
      <c r="K1134" s="563">
        <f t="shared" si="322"/>
        <v>4928000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89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09">
        <v>2</v>
      </c>
      <c r="AC1134" s="211" t="str">
        <f t="shared" si="323"/>
        <v/>
      </c>
    </row>
    <row r="1135" spans="1:29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311"/>
        <v>6</v>
      </c>
      <c r="C1135" s="37">
        <f t="shared" si="312"/>
        <v>41792</v>
      </c>
      <c r="D1135" s="191" t="s">
        <v>1216</v>
      </c>
      <c r="E1135" s="37">
        <v>41792</v>
      </c>
      <c r="F1135" s="40" t="s">
        <v>1182</v>
      </c>
      <c r="G1135" s="462" t="s">
        <v>1165</v>
      </c>
      <c r="H1135" s="7" t="s">
        <v>1139</v>
      </c>
      <c r="I1135" s="251">
        <v>350</v>
      </c>
      <c r="J1135" s="251">
        <v>8282</v>
      </c>
      <c r="K1135" s="563">
        <f t="shared" si="322"/>
        <v>2898700</v>
      </c>
      <c r="L1135" s="39" t="s">
        <v>159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89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09">
        <v>2</v>
      </c>
      <c r="AC1135" s="211" t="str">
        <f t="shared" si="323"/>
        <v/>
      </c>
    </row>
    <row r="1136" spans="1:29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311"/>
        <v>6</v>
      </c>
      <c r="C1136" s="37">
        <f t="shared" si="312"/>
        <v>41792</v>
      </c>
      <c r="D1136" s="191" t="s">
        <v>1216</v>
      </c>
      <c r="E1136" s="37">
        <v>41792</v>
      </c>
      <c r="F1136" s="40" t="s">
        <v>1183</v>
      </c>
      <c r="G1136" s="462" t="s">
        <v>1165</v>
      </c>
      <c r="H1136" s="7" t="s">
        <v>1139</v>
      </c>
      <c r="I1136" s="251">
        <v>80</v>
      </c>
      <c r="J1136" s="251">
        <v>10261</v>
      </c>
      <c r="K1136" s="563">
        <f t="shared" si="322"/>
        <v>820880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89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09">
        <v>2</v>
      </c>
      <c r="AC1136" s="211" t="str">
        <f t="shared" si="323"/>
        <v/>
      </c>
    </row>
    <row r="1137" spans="1:31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311"/>
        <v>6</v>
      </c>
      <c r="C1137" s="37">
        <f t="shared" si="312"/>
        <v>41792</v>
      </c>
      <c r="D1137" s="191" t="s">
        <v>1216</v>
      </c>
      <c r="E1137" s="37">
        <v>41792</v>
      </c>
      <c r="F1137" s="40" t="s">
        <v>1066</v>
      </c>
      <c r="G1137" s="462" t="s">
        <v>1165</v>
      </c>
      <c r="H1137" s="7" t="s">
        <v>1139</v>
      </c>
      <c r="I1137" s="251"/>
      <c r="J1137" s="251"/>
      <c r="K1137" s="563">
        <v>12622909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89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09">
        <v>2</v>
      </c>
      <c r="AC1137" s="211" t="str">
        <f t="shared" si="323"/>
        <v/>
      </c>
    </row>
    <row r="1138" spans="1:31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311"/>
        <v>6</v>
      </c>
      <c r="C1138" s="37">
        <f t="shared" si="312"/>
        <v>41795</v>
      </c>
      <c r="D1138" s="37"/>
      <c r="E1138" s="37">
        <v>41795</v>
      </c>
      <c r="F1138" s="192" t="s">
        <v>372</v>
      </c>
      <c r="G1138" s="463" t="s">
        <v>677</v>
      </c>
      <c r="H1138" s="7" t="s">
        <v>998</v>
      </c>
      <c r="I1138" s="251"/>
      <c r="J1138" s="251"/>
      <c r="K1138" s="563">
        <v>4070000</v>
      </c>
      <c r="L1138" s="39" t="s">
        <v>167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89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>x</v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09">
        <v>2</v>
      </c>
    </row>
    <row r="1139" spans="1:31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311"/>
        <v>6</v>
      </c>
      <c r="C1139" s="37">
        <f t="shared" si="312"/>
        <v>41795</v>
      </c>
      <c r="D1139" s="37"/>
      <c r="E1139" s="37">
        <v>41795</v>
      </c>
      <c r="F1139" s="192" t="s">
        <v>999</v>
      </c>
      <c r="G1139" s="463" t="s">
        <v>677</v>
      </c>
      <c r="H1139" s="7" t="s">
        <v>998</v>
      </c>
      <c r="I1139" s="251"/>
      <c r="J1139" s="251"/>
      <c r="K1139" s="563">
        <v>407000</v>
      </c>
      <c r="L1139" s="3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89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>x</v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09">
        <v>2</v>
      </c>
    </row>
    <row r="1140" spans="1:31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311"/>
        <v>6</v>
      </c>
      <c r="C1140" s="37">
        <f t="shared" si="312"/>
        <v>41796</v>
      </c>
      <c r="D1140" s="37"/>
      <c r="E1140" s="37">
        <v>41796</v>
      </c>
      <c r="F1140" s="40" t="s">
        <v>1186</v>
      </c>
      <c r="G1140" s="462" t="s">
        <v>1185</v>
      </c>
      <c r="H1140" s="7" t="s">
        <v>1184</v>
      </c>
      <c r="I1140" s="251"/>
      <c r="J1140" s="251"/>
      <c r="K1140" s="563">
        <v>2500000</v>
      </c>
      <c r="L1140" s="39" t="s">
        <v>83</v>
      </c>
      <c r="M1140" s="39" t="s">
        <v>47</v>
      </c>
      <c r="N1140" s="52" t="str">
        <f>IF(AND('331-CT'!$E$7=TH!H1140,OR(L1140="331",M1140="331")),"331",IF(AND(OR(L1140="131",M1140="131"),H1140='131-CT'!$E$7),"131",""))</f>
        <v/>
      </c>
      <c r="O1140" s="89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>x</v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642</v>
      </c>
      <c r="W1140" s="52" t="str">
        <f>IF(OR(TH!L1140=TH!$W$7,M1140=TH!$W$7),"x","")</f>
        <v>x</v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09">
        <v>2</v>
      </c>
    </row>
    <row r="1141" spans="1:31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311"/>
        <v>6</v>
      </c>
      <c r="C1141" s="37">
        <f t="shared" si="312"/>
        <v>41796</v>
      </c>
      <c r="D1141" s="37"/>
      <c r="E1141" s="37">
        <v>41796</v>
      </c>
      <c r="F1141" s="40" t="s">
        <v>1187</v>
      </c>
      <c r="G1141" s="462" t="s">
        <v>1185</v>
      </c>
      <c r="H1141" s="7" t="s">
        <v>1184</v>
      </c>
      <c r="I1141" s="251"/>
      <c r="J1141" s="251"/>
      <c r="K1141" s="563">
        <v>250000</v>
      </c>
      <c r="L1141" s="39" t="s">
        <v>9</v>
      </c>
      <c r="M1141" s="39" t="s">
        <v>47</v>
      </c>
      <c r="N1141" s="52" t="str">
        <f>IF(AND('331-CT'!$E$7=TH!H1141,OR(L1141="331",M1141="331")),"331",IF(AND(OR(L1141="131",M1141="131"),H1141='131-CT'!$E$7),"131",""))</f>
        <v/>
      </c>
      <c r="O1141" s="89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>x</v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09">
        <v>2</v>
      </c>
    </row>
    <row r="1142" spans="1:31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311"/>
        <v>6</v>
      </c>
      <c r="C1142" s="37">
        <f t="shared" si="312"/>
        <v>41807</v>
      </c>
      <c r="D1142" s="37"/>
      <c r="E1142" s="37">
        <v>41807</v>
      </c>
      <c r="F1142" s="40" t="s">
        <v>1130</v>
      </c>
      <c r="G1142" s="462" t="s">
        <v>1131</v>
      </c>
      <c r="H1142" s="7" t="s">
        <v>1132</v>
      </c>
      <c r="I1142" s="251"/>
      <c r="J1142" s="251"/>
      <c r="K1142" s="563">
        <v>1950000</v>
      </c>
      <c r="L1142" s="39" t="s">
        <v>83</v>
      </c>
      <c r="M1142" s="39" t="s">
        <v>47</v>
      </c>
      <c r="N1142" s="52" t="str">
        <f>IF(AND('331-CT'!$E$7=TH!H1142,OR(L1142="331",M1142="331")),"331",IF(AND(OR(L1142="131",M1142="131"),H1142='131-CT'!$E$7),"131",""))</f>
        <v/>
      </c>
      <c r="O1142" s="89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>x</v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642</v>
      </c>
      <c r="W1142" s="52" t="str">
        <f>IF(OR(TH!L1142=TH!$W$7,M1142=TH!$W$7),"x","")</f>
        <v>x</v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09">
        <v>2</v>
      </c>
    </row>
    <row r="1143" spans="1:31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311"/>
        <v>6</v>
      </c>
      <c r="C1143" s="37">
        <f t="shared" si="312"/>
        <v>41813</v>
      </c>
      <c r="D1143" s="37"/>
      <c r="E1143" s="37">
        <v>41813</v>
      </c>
      <c r="F1143" s="192" t="s">
        <v>372</v>
      </c>
      <c r="G1143" s="463" t="s">
        <v>715</v>
      </c>
      <c r="H1143" s="7" t="s">
        <v>998</v>
      </c>
      <c r="I1143" s="251"/>
      <c r="J1143" s="251"/>
      <c r="K1143" s="563">
        <v>3580000</v>
      </c>
      <c r="L1143" s="39" t="s">
        <v>167</v>
      </c>
      <c r="M1143" s="39" t="s">
        <v>47</v>
      </c>
      <c r="N1143" s="52" t="str">
        <f>IF(AND('331-CT'!$E$7=TH!H1143,OR(L1143="331",M1143="331")),"331",IF(AND(OR(L1143="131",M1143="131"),H1143='131-CT'!$E$7),"131",""))</f>
        <v/>
      </c>
      <c r="O1143" s="89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>x</v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09">
        <v>2</v>
      </c>
    </row>
    <row r="1144" spans="1:31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311"/>
        <v>6</v>
      </c>
      <c r="C1144" s="37">
        <f t="shared" si="312"/>
        <v>41813</v>
      </c>
      <c r="D1144" s="37"/>
      <c r="E1144" s="37">
        <v>41813</v>
      </c>
      <c r="F1144" s="192" t="s">
        <v>999</v>
      </c>
      <c r="G1144" s="463" t="s">
        <v>715</v>
      </c>
      <c r="H1144" s="7" t="s">
        <v>998</v>
      </c>
      <c r="I1144" s="251"/>
      <c r="J1144" s="251"/>
      <c r="K1144" s="563">
        <v>358000</v>
      </c>
      <c r="L1144" s="39" t="s">
        <v>9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89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>x</v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09">
        <v>2</v>
      </c>
    </row>
    <row r="1145" spans="1:31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311"/>
        <v>6</v>
      </c>
      <c r="C1145" s="37">
        <f t="shared" si="312"/>
        <v>41814</v>
      </c>
      <c r="D1145" s="37"/>
      <c r="E1145" s="37">
        <v>41814</v>
      </c>
      <c r="F1145" s="189" t="s">
        <v>991</v>
      </c>
      <c r="G1145" s="463" t="s">
        <v>1188</v>
      </c>
      <c r="H1145" s="7" t="s">
        <v>993</v>
      </c>
      <c r="I1145" s="251"/>
      <c r="J1145" s="251"/>
      <c r="K1145" s="563">
        <v>1247712</v>
      </c>
      <c r="L1145" s="39" t="s">
        <v>83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89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642</v>
      </c>
      <c r="W1145" s="52" t="str">
        <f>IF(OR(TH!L1145=TH!$W$7,M1145=TH!$W$7),"x","")</f>
        <v>x</v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09">
        <v>2</v>
      </c>
    </row>
    <row r="1146" spans="1:31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311"/>
        <v>6</v>
      </c>
      <c r="C1146" s="37">
        <f t="shared" si="312"/>
        <v>41814</v>
      </c>
      <c r="D1146" s="37"/>
      <c r="E1146" s="37">
        <v>41814</v>
      </c>
      <c r="F1146" s="189" t="s">
        <v>992</v>
      </c>
      <c r="G1146" s="463" t="s">
        <v>1188</v>
      </c>
      <c r="H1146" s="7" t="s">
        <v>993</v>
      </c>
      <c r="I1146" s="251"/>
      <c r="J1146" s="251"/>
      <c r="K1146" s="563">
        <v>124771</v>
      </c>
      <c r="L1146" s="39" t="s">
        <v>9</v>
      </c>
      <c r="M1146" s="39" t="s">
        <v>47</v>
      </c>
      <c r="N1146" s="52" t="str">
        <f>IF(AND('331-CT'!$E$7=TH!H1146,OR(L1146="331",M1146="331")),"331",IF(AND(OR(L1146="131",M1146="131"),H1146='131-CT'!$E$7),"131",""))</f>
        <v/>
      </c>
      <c r="O1146" s="89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09">
        <v>2</v>
      </c>
    </row>
    <row r="1147" spans="1:31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ref="B1147:B1216" si="324">IF(C1147&lt;&gt;"",MONTH(C1147),"")</f>
        <v>6</v>
      </c>
      <c r="C1147" s="191">
        <f t="shared" ref="C1147:C1216" si="325">E1147</f>
        <v>41820</v>
      </c>
      <c r="D1147" s="191" t="s">
        <v>1217</v>
      </c>
      <c r="E1147" s="191">
        <v>41820</v>
      </c>
      <c r="F1147" s="291" t="s">
        <v>1075</v>
      </c>
      <c r="G1147" s="463" t="s">
        <v>1074</v>
      </c>
      <c r="H1147" s="7" t="s">
        <v>1073</v>
      </c>
      <c r="I1147" s="251">
        <v>10230</v>
      </c>
      <c r="J1147" s="251">
        <v>8500</v>
      </c>
      <c r="K1147" s="563">
        <f>ROUND(I1147*J1147,0)</f>
        <v>86955000</v>
      </c>
      <c r="L1147" s="39" t="s">
        <v>159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9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>x</v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09">
        <v>2</v>
      </c>
      <c r="AC1147" s="211" t="str">
        <f>IF(H1147=VLOOKUP(H1147,DSKH,1,0),"","x")</f>
        <v/>
      </c>
    </row>
    <row r="1148" spans="1:31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324"/>
        <v>6</v>
      </c>
      <c r="C1148" s="191">
        <f t="shared" si="325"/>
        <v>41820</v>
      </c>
      <c r="D1148" s="191" t="s">
        <v>1217</v>
      </c>
      <c r="E1148" s="191">
        <v>41820</v>
      </c>
      <c r="F1148" s="291" t="s">
        <v>1076</v>
      </c>
      <c r="G1148" s="463" t="s">
        <v>1074</v>
      </c>
      <c r="H1148" s="7" t="s">
        <v>1073</v>
      </c>
      <c r="I1148" s="251"/>
      <c r="J1148" s="251"/>
      <c r="K1148" s="563">
        <v>8695500</v>
      </c>
      <c r="L1148" s="39" t="s">
        <v>9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89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09">
        <v>2</v>
      </c>
      <c r="AC1148" s="211" t="str">
        <f>IF(H1148=VLOOKUP(H1148,DSKH,1,0),"","x")</f>
        <v/>
      </c>
    </row>
    <row r="1149" spans="1:31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324"/>
        <v>7</v>
      </c>
      <c r="C1149" s="191">
        <f t="shared" si="325"/>
        <v>41821</v>
      </c>
      <c r="D1149" s="191" t="s">
        <v>1207</v>
      </c>
      <c r="E1149" s="191">
        <v>41821</v>
      </c>
      <c r="F1149" s="189" t="s">
        <v>330</v>
      </c>
      <c r="G1149" s="463" t="s">
        <v>1009</v>
      </c>
      <c r="H1149" s="7" t="s">
        <v>351</v>
      </c>
      <c r="I1149" s="251">
        <v>24</v>
      </c>
      <c r="J1149" s="251">
        <v>45000</v>
      </c>
      <c r="K1149" s="563">
        <f>ROUND(I1149*J1149,0)</f>
        <v>1080000</v>
      </c>
      <c r="L1149" s="39" t="s">
        <v>161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89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09">
        <v>3</v>
      </c>
      <c r="AC1149" s="211" t="str">
        <f>IF(H1149=VLOOKUP(H1149,DSKH,1,0),"","x")</f>
        <v/>
      </c>
    </row>
    <row r="1150" spans="1:31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324"/>
        <v>7</v>
      </c>
      <c r="C1150" s="191">
        <f t="shared" si="325"/>
        <v>41821</v>
      </c>
      <c r="D1150" s="191" t="s">
        <v>1207</v>
      </c>
      <c r="E1150" s="191">
        <v>41821</v>
      </c>
      <c r="F1150" s="189" t="s">
        <v>1008</v>
      </c>
      <c r="G1150" s="463" t="s">
        <v>1009</v>
      </c>
      <c r="H1150" s="7" t="s">
        <v>351</v>
      </c>
      <c r="I1150" s="251"/>
      <c r="J1150" s="251"/>
      <c r="K1150" s="563">
        <v>108000</v>
      </c>
      <c r="L1150" s="39" t="s">
        <v>9</v>
      </c>
      <c r="M1150" s="39" t="s">
        <v>8</v>
      </c>
      <c r="N1150" s="52" t="str">
        <f>IF(AND('331-CT'!$E$7=TH!H1150,OR(L1150="331",M1150="331")),"331",IF(AND(OR(L1150="131",M1150="131"),H1150='131-CT'!$E$7),"131",""))</f>
        <v/>
      </c>
      <c r="O1150" s="89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09">
        <v>3</v>
      </c>
      <c r="AC1150" s="211" t="str">
        <f>IF(H1150=VLOOKUP(H1150,DSKH,1,0),"","x")</f>
        <v/>
      </c>
    </row>
    <row r="1151" spans="1:31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324"/>
        <v>7</v>
      </c>
      <c r="C1151" s="191">
        <f t="shared" si="325"/>
        <v>41821</v>
      </c>
      <c r="D1151" s="191"/>
      <c r="E1151" s="191">
        <v>41821</v>
      </c>
      <c r="F1151" s="192" t="s">
        <v>893</v>
      </c>
      <c r="G1151" s="463" t="s">
        <v>1009</v>
      </c>
      <c r="H1151" s="7" t="s">
        <v>351</v>
      </c>
      <c r="I1151" s="251"/>
      <c r="J1151" s="251"/>
      <c r="K1151" s="563">
        <v>1188000</v>
      </c>
      <c r="L1151" s="39" t="s">
        <v>8</v>
      </c>
      <c r="M1151" s="39" t="s">
        <v>47</v>
      </c>
      <c r="N1151" s="52" t="str">
        <f>IF(AND('331-CT'!$E$7=TH!H1151,OR(L1151="331",M1151="331")),"331",IF(AND(OR(L1151="131",M1151="131"),H1151='131-CT'!$E$7),"131",""))</f>
        <v/>
      </c>
      <c r="O1151" s="890" t="str">
        <f>IF(AND('341-CT'!$E$9=H1151,OR(LEFT(L1151,3)=$O$7,LEFT(M1151,3)=$O$7)),"x","")</f>
        <v/>
      </c>
      <c r="P1151" s="52" t="str">
        <f>IF(AND($B1151&gt;='111'!$N$11,$B1151&lt;='111'!$O$11,OR($L1151=$P$7,$M1151=$P$7)),"x","")</f>
        <v>x</v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09"/>
    </row>
    <row r="1152" spans="1:31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324"/>
        <v>7</v>
      </c>
      <c r="C1152" s="191">
        <f t="shared" si="325"/>
        <v>41821</v>
      </c>
      <c r="D1152" s="184"/>
      <c r="E1152" s="37">
        <v>41821</v>
      </c>
      <c r="F1152" s="189" t="s">
        <v>1384</v>
      </c>
      <c r="G1152" s="565"/>
      <c r="H1152" s="45" t="s">
        <v>1061</v>
      </c>
      <c r="I1152" s="251"/>
      <c r="J1152" s="251"/>
      <c r="K1152" s="810">
        <v>731479</v>
      </c>
      <c r="L1152" s="564" t="s">
        <v>87</v>
      </c>
      <c r="M1152" s="564" t="s">
        <v>47</v>
      </c>
      <c r="N1152" s="52" t="str">
        <f>IF(AND('331-CT'!$E$7=TH!H1152,OR(L1152="331",M1152="331")),"331",IF(AND(OR(L1152="131",M1152="131"),H1152='131-CT'!$E$7),"131",""))</f>
        <v/>
      </c>
      <c r="O1152" s="890" t="str">
        <f>IF(AND('341-CT'!$E$9=H1152,OR(LEFT(L1152,3)=$O$7,LEFT(M1152,3)=$O$7)),"x","")</f>
        <v/>
      </c>
      <c r="P1152" s="52" t="str">
        <f>IF(AND($B1152&gt;='111'!$N$11,$B1152&lt;='111'!$O$11,OR($L1152=$P$7,$M1152=$P$7)),"x","")</f>
        <v>x</v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09"/>
      <c r="AC1152" s="555"/>
      <c r="AD1152" s="555"/>
      <c r="AE1152" s="555"/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324"/>
        <v>7</v>
      </c>
      <c r="C1153" s="191">
        <f t="shared" si="325"/>
        <v>41821</v>
      </c>
      <c r="D1153" s="191"/>
      <c r="E1153" s="37">
        <v>41821</v>
      </c>
      <c r="F1153" s="189" t="s">
        <v>1063</v>
      </c>
      <c r="G1153" s="463"/>
      <c r="H1153" s="45" t="s">
        <v>1061</v>
      </c>
      <c r="I1153" s="251"/>
      <c r="J1153" s="251"/>
      <c r="K1153" s="563">
        <f>12002098+1654715</f>
        <v>13656813</v>
      </c>
      <c r="L1153" s="564" t="s">
        <v>17</v>
      </c>
      <c r="M1153" s="564" t="s">
        <v>47</v>
      </c>
      <c r="N1153" s="52" t="str">
        <f>IF(AND('331-CT'!$E$7=TH!H1153,OR(L1153="331",M1153="331")),"331",IF(AND(OR(L1153="131",M1153="131"),H1153='131-CT'!$E$7),"131",""))</f>
        <v/>
      </c>
      <c r="O1153" s="890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09"/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324"/>
        <v>7</v>
      </c>
      <c r="C1154" s="191">
        <f t="shared" si="325"/>
        <v>41821</v>
      </c>
      <c r="D1154" s="191"/>
      <c r="E1154" s="37">
        <v>41821</v>
      </c>
      <c r="F1154" s="192" t="s">
        <v>1064</v>
      </c>
      <c r="G1154" s="463"/>
      <c r="H1154" s="45" t="s">
        <v>1061</v>
      </c>
      <c r="I1154" s="251"/>
      <c r="J1154" s="251"/>
      <c r="K1154" s="563">
        <v>1611708</v>
      </c>
      <c r="L1154" s="564" t="s">
        <v>87</v>
      </c>
      <c r="M1154" s="564" t="s">
        <v>47</v>
      </c>
      <c r="N1154" s="52" t="str">
        <f>IF(AND('331-CT'!$E$7=TH!H1154,OR(L1154="331",M1154="331")),"331",IF(AND(OR(L1154="131",M1154="131"),H1154='131-CT'!$E$7),"131",""))</f>
        <v/>
      </c>
      <c r="O1154" s="890" t="str">
        <f>IF(AND('341-CT'!$E$9=H1154,OR(LEFT(L1154,3)=$O$7,LEFT(M1154,3)=$O$7)),"x","")</f>
        <v/>
      </c>
      <c r="P1154" s="52" t="str">
        <f>IF(AND($B1154&gt;='111'!$N$11,$B1154&lt;='111'!$O$11,OR($L1154=$P$7,$M1154=$P$7)),"x","")</f>
        <v>x</v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09"/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324"/>
        <v>7</v>
      </c>
      <c r="C1155" s="37">
        <f t="shared" si="325"/>
        <v>41823</v>
      </c>
      <c r="D1155" s="191" t="s">
        <v>1208</v>
      </c>
      <c r="E1155" s="724">
        <v>41823</v>
      </c>
      <c r="F1155" s="291" t="s">
        <v>1075</v>
      </c>
      <c r="G1155" s="462" t="s">
        <v>1081</v>
      </c>
      <c r="H1155" s="7" t="s">
        <v>1077</v>
      </c>
      <c r="I1155" s="251">
        <v>7379</v>
      </c>
      <c r="J1155" s="251">
        <v>7500</v>
      </c>
      <c r="K1155" s="563">
        <f>ROUND(I1155*J1155,0)</f>
        <v>55342500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89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>x</v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09">
        <v>3</v>
      </c>
      <c r="AC1155" s="211" t="str">
        <f t="shared" ref="AC1155:AC1175" si="326">IF(H1155=VLOOKUP(H1155,DSKH,1,0),"","x")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324"/>
        <v>7</v>
      </c>
      <c r="C1156" s="37">
        <f t="shared" si="325"/>
        <v>41823</v>
      </c>
      <c r="D1156" s="191" t="s">
        <v>1208</v>
      </c>
      <c r="E1156" s="724">
        <v>41823</v>
      </c>
      <c r="F1156" s="291" t="s">
        <v>1075</v>
      </c>
      <c r="G1156" s="462" t="s">
        <v>1081</v>
      </c>
      <c r="H1156" s="7" t="s">
        <v>1077</v>
      </c>
      <c r="I1156" s="251">
        <v>5973</v>
      </c>
      <c r="J1156" s="251">
        <v>7200</v>
      </c>
      <c r="K1156" s="563">
        <f>ROUND(I1156*J1156,0)</f>
        <v>43005600</v>
      </c>
      <c r="L1156" s="39" t="s">
        <v>159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89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09">
        <v>3</v>
      </c>
      <c r="AC1156" s="211" t="str">
        <f t="shared" si="326"/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324"/>
        <v>7</v>
      </c>
      <c r="C1157" s="37">
        <f t="shared" si="325"/>
        <v>41823</v>
      </c>
      <c r="D1157" s="191" t="s">
        <v>1208</v>
      </c>
      <c r="E1157" s="724">
        <v>41823</v>
      </c>
      <c r="F1157" s="291" t="s">
        <v>1076</v>
      </c>
      <c r="G1157" s="462" t="s">
        <v>1081</v>
      </c>
      <c r="H1157" s="7" t="s">
        <v>1077</v>
      </c>
      <c r="I1157" s="251"/>
      <c r="J1157" s="251"/>
      <c r="K1157" s="563">
        <v>9834810</v>
      </c>
      <c r="L1157" s="39" t="s">
        <v>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89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09">
        <v>3</v>
      </c>
      <c r="AC1157" s="211" t="str">
        <f t="shared" si="326"/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324"/>
        <v>7</v>
      </c>
      <c r="C1158" s="37">
        <f t="shared" si="325"/>
        <v>41826</v>
      </c>
      <c r="D1158" s="191" t="s">
        <v>1209</v>
      </c>
      <c r="E1158" s="724">
        <v>41826</v>
      </c>
      <c r="F1158" s="291" t="s">
        <v>1075</v>
      </c>
      <c r="G1158" s="463" t="s">
        <v>1083</v>
      </c>
      <c r="H1158" s="7" t="s">
        <v>1073</v>
      </c>
      <c r="I1158" s="251">
        <v>9665</v>
      </c>
      <c r="J1158" s="251">
        <v>8500</v>
      </c>
      <c r="K1158" s="563">
        <f>ROUND(I1158*J1158,0)</f>
        <v>82152500</v>
      </c>
      <c r="L1158" s="39" t="s">
        <v>159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89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>x</v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09">
        <v>3</v>
      </c>
      <c r="AC1158" s="211" t="str">
        <f t="shared" si="326"/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324"/>
        <v>7</v>
      </c>
      <c r="C1159" s="37">
        <f t="shared" si="325"/>
        <v>41826</v>
      </c>
      <c r="D1159" s="191" t="s">
        <v>1209</v>
      </c>
      <c r="E1159" s="724">
        <v>41826</v>
      </c>
      <c r="F1159" s="291" t="s">
        <v>1076</v>
      </c>
      <c r="G1159" s="463" t="s">
        <v>1083</v>
      </c>
      <c r="H1159" s="7" t="s">
        <v>1073</v>
      </c>
      <c r="I1159" s="251"/>
      <c r="J1159" s="251"/>
      <c r="K1159" s="563">
        <v>8215250</v>
      </c>
      <c r="L1159" s="39" t="s">
        <v>9</v>
      </c>
      <c r="M1159" s="39" t="s">
        <v>8</v>
      </c>
      <c r="N1159" s="52" t="str">
        <f>IF(AND('331-CT'!$E$7=TH!H1159,OR(L1159="331",M1159="331")),"331",IF(AND(OR(L1159="131",M1159="131"),H1159='131-CT'!$E$7),"131",""))</f>
        <v/>
      </c>
      <c r="O1159" s="89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09">
        <v>3</v>
      </c>
      <c r="AC1159" s="211" t="str">
        <f t="shared" si="326"/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324"/>
        <v>7</v>
      </c>
      <c r="C1160" s="37">
        <f t="shared" si="325"/>
        <v>41827</v>
      </c>
      <c r="D1160" s="191" t="s">
        <v>1210</v>
      </c>
      <c r="E1160" s="724">
        <v>41827</v>
      </c>
      <c r="F1160" s="291" t="s">
        <v>1079</v>
      </c>
      <c r="G1160" s="462" t="s">
        <v>1078</v>
      </c>
      <c r="H1160" s="7" t="s">
        <v>1077</v>
      </c>
      <c r="I1160" s="251">
        <v>10578</v>
      </c>
      <c r="J1160" s="251">
        <v>9500</v>
      </c>
      <c r="K1160" s="563">
        <f>ROUND(I1160*J1160,0)</f>
        <v>100491000</v>
      </c>
      <c r="L1160" s="39" t="s">
        <v>159</v>
      </c>
      <c r="M1160" s="39" t="s">
        <v>8</v>
      </c>
      <c r="N1160" s="52" t="str">
        <f>IF(AND('331-CT'!$E$7=TH!H1160,OR(L1160="331",M1160="331")),"331",IF(AND(OR(L1160="131",M1160="131"),H1160='131-CT'!$E$7),"131",""))</f>
        <v/>
      </c>
      <c r="O1160" s="89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09">
        <v>3</v>
      </c>
      <c r="AC1160" s="211" t="str">
        <f t="shared" si="326"/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324"/>
        <v>7</v>
      </c>
      <c r="C1161" s="37">
        <f t="shared" si="325"/>
        <v>41827</v>
      </c>
      <c r="D1161" s="191" t="s">
        <v>1210</v>
      </c>
      <c r="E1161" s="724">
        <v>41827</v>
      </c>
      <c r="F1161" s="40" t="s">
        <v>1080</v>
      </c>
      <c r="G1161" s="462" t="s">
        <v>1078</v>
      </c>
      <c r="H1161" s="7" t="s">
        <v>1077</v>
      </c>
      <c r="I1161" s="251">
        <v>2730</v>
      </c>
      <c r="J1161" s="251">
        <v>9200</v>
      </c>
      <c r="K1161" s="563">
        <f>ROUND(I1161*J1161,0)</f>
        <v>25116000</v>
      </c>
      <c r="L1161" s="39" t="s">
        <v>159</v>
      </c>
      <c r="M1161" s="39" t="s">
        <v>8</v>
      </c>
      <c r="N1161" s="52" t="str">
        <f>IF(AND('331-CT'!$E$7=TH!H1161,OR(L1161="331",M1161="331")),"331",IF(AND(OR(L1161="131",M1161="131"),H1161='131-CT'!$E$7),"131",""))</f>
        <v/>
      </c>
      <c r="O1161" s="89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09">
        <v>3</v>
      </c>
      <c r="AC1161" s="211" t="str">
        <f t="shared" si="326"/>
        <v/>
      </c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324"/>
        <v>7</v>
      </c>
      <c r="C1162" s="37">
        <f t="shared" si="325"/>
        <v>41827</v>
      </c>
      <c r="D1162" s="191" t="s">
        <v>1210</v>
      </c>
      <c r="E1162" s="724">
        <v>41827</v>
      </c>
      <c r="F1162" s="40" t="s">
        <v>678</v>
      </c>
      <c r="G1162" s="462" t="s">
        <v>1078</v>
      </c>
      <c r="H1162" s="7" t="s">
        <v>1077</v>
      </c>
      <c r="I1162" s="251"/>
      <c r="J1162" s="251"/>
      <c r="K1162" s="563">
        <v>12560700</v>
      </c>
      <c r="L1162" s="39" t="s">
        <v>9</v>
      </c>
      <c r="M1162" s="39" t="s">
        <v>8</v>
      </c>
      <c r="N1162" s="52" t="str">
        <f>IF(AND('331-CT'!$E$7=TH!H1162,OR(L1162="331",M1162="331")),"331",IF(AND(OR(L1162="131",M1162="131"),H1162='131-CT'!$E$7),"131",""))</f>
        <v/>
      </c>
      <c r="O1162" s="89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09">
        <v>3</v>
      </c>
      <c r="AC1162" s="211" t="str">
        <f t="shared" si="326"/>
        <v/>
      </c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324"/>
        <v>7</v>
      </c>
      <c r="C1163" s="37">
        <f t="shared" si="325"/>
        <v>41830</v>
      </c>
      <c r="D1163" s="191" t="s">
        <v>1211</v>
      </c>
      <c r="E1163" s="724">
        <v>41830</v>
      </c>
      <c r="F1163" s="291" t="s">
        <v>1075</v>
      </c>
      <c r="G1163" s="463" t="s">
        <v>1084</v>
      </c>
      <c r="H1163" s="7" t="s">
        <v>1073</v>
      </c>
      <c r="I1163" s="251">
        <v>15247</v>
      </c>
      <c r="J1163" s="251">
        <v>8500</v>
      </c>
      <c r="K1163" s="563">
        <f>ROUND(I1163*J1163,0)</f>
        <v>129599500</v>
      </c>
      <c r="L1163" s="39" t="s">
        <v>159</v>
      </c>
      <c r="M1163" s="39" t="s">
        <v>8</v>
      </c>
      <c r="N1163" s="52" t="str">
        <f>IF(AND('331-CT'!$E$7=TH!H1163,OR(L1163="331",M1163="331")),"331",IF(AND(OR(L1163="131",M1163="131"),H1163='131-CT'!$E$7),"131",""))</f>
        <v/>
      </c>
      <c r="O1163" s="89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>x</v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09">
        <v>3</v>
      </c>
      <c r="AC1163" s="211" t="str">
        <f t="shared" si="326"/>
        <v/>
      </c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324"/>
        <v>7</v>
      </c>
      <c r="C1164" s="37">
        <f t="shared" si="325"/>
        <v>41830</v>
      </c>
      <c r="D1164" s="191" t="s">
        <v>1211</v>
      </c>
      <c r="E1164" s="724">
        <v>41830</v>
      </c>
      <c r="F1164" s="291" t="s">
        <v>1076</v>
      </c>
      <c r="G1164" s="463" t="s">
        <v>1084</v>
      </c>
      <c r="H1164" s="7" t="s">
        <v>1073</v>
      </c>
      <c r="I1164" s="251"/>
      <c r="J1164" s="251"/>
      <c r="K1164" s="563">
        <v>12959950</v>
      </c>
      <c r="L1164" s="39" t="s">
        <v>9</v>
      </c>
      <c r="M1164" s="39" t="s">
        <v>8</v>
      </c>
      <c r="N1164" s="52" t="str">
        <f>IF(AND('331-CT'!$E$7=TH!H1164,OR(L1164="331",M1164="331")),"331",IF(AND(OR(L1164="131",M1164="131"),H1164='131-CT'!$E$7),"131",""))</f>
        <v/>
      </c>
      <c r="O1164" s="89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09">
        <v>3</v>
      </c>
      <c r="AC1164" s="211" t="str">
        <f t="shared" si="326"/>
        <v/>
      </c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324"/>
        <v>7</v>
      </c>
      <c r="C1165" s="191">
        <f t="shared" si="325"/>
        <v>41832</v>
      </c>
      <c r="D1165" s="191" t="s">
        <v>1212</v>
      </c>
      <c r="E1165" s="191">
        <v>41832</v>
      </c>
      <c r="F1165" s="192" t="s">
        <v>1012</v>
      </c>
      <c r="G1165" s="463" t="s">
        <v>1011</v>
      </c>
      <c r="H1165" s="7" t="s">
        <v>1010</v>
      </c>
      <c r="I1165" s="251">
        <v>1777</v>
      </c>
      <c r="J1165" s="251">
        <v>9450</v>
      </c>
      <c r="K1165" s="563">
        <f>ROUND(I1165*J1165,0)</f>
        <v>16792650</v>
      </c>
      <c r="L1165" s="39" t="s">
        <v>159</v>
      </c>
      <c r="M1165" s="39" t="s">
        <v>8</v>
      </c>
      <c r="N1165" s="52" t="str">
        <f>IF(AND('331-CT'!$E$7=TH!H1165,OR(L1165="331",M1165="331")),"331",IF(AND(OR(L1165="131",M1165="131"),H1165='131-CT'!$E$7),"131",""))</f>
        <v>331</v>
      </c>
      <c r="O1165" s="89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09">
        <v>3</v>
      </c>
      <c r="AC1165" s="211" t="str">
        <f t="shared" si="326"/>
        <v/>
      </c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ref="B1166" si="327">IF(C1166&lt;&gt;"",MONTH(C1166),"")</f>
        <v>7</v>
      </c>
      <c r="C1166" s="191">
        <f t="shared" ref="C1166" si="328">E1166</f>
        <v>41832</v>
      </c>
      <c r="D1166" s="191" t="s">
        <v>1212</v>
      </c>
      <c r="E1166" s="191">
        <v>41832</v>
      </c>
      <c r="F1166" s="192" t="s">
        <v>1013</v>
      </c>
      <c r="G1166" s="463" t="s">
        <v>1011</v>
      </c>
      <c r="H1166" s="7" t="s">
        <v>1010</v>
      </c>
      <c r="I1166" s="251"/>
      <c r="J1166" s="251"/>
      <c r="K1166" s="563">
        <v>1679265</v>
      </c>
      <c r="L1166" s="39" t="s">
        <v>9</v>
      </c>
      <c r="M1166" s="39" t="s">
        <v>8</v>
      </c>
      <c r="N1166" s="52" t="str">
        <f>IF(AND('331-CT'!$E$7=TH!H1166,OR(L1166="331",M1166="331")),"331",IF(AND(OR(L1166="131",M1166="131"),H1166='131-CT'!$E$7),"131",""))</f>
        <v>331</v>
      </c>
      <c r="O1166" s="89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09">
        <v>3</v>
      </c>
      <c r="AC1166" s="211" t="str">
        <f t="shared" ref="AC1166" si="329">IF(H1166=VLOOKUP(H1166,DSKH,1,0),"","x")</f>
        <v/>
      </c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324"/>
        <v>7</v>
      </c>
      <c r="C1167" s="191">
        <f t="shared" si="325"/>
        <v>41832</v>
      </c>
      <c r="D1167" s="191"/>
      <c r="E1167" s="191">
        <v>41832</v>
      </c>
      <c r="F1167" s="192" t="s">
        <v>893</v>
      </c>
      <c r="G1167" s="463" t="s">
        <v>1011</v>
      </c>
      <c r="H1167" s="7" t="s">
        <v>1010</v>
      </c>
      <c r="I1167" s="251"/>
      <c r="J1167" s="251"/>
      <c r="K1167" s="563">
        <v>18471915</v>
      </c>
      <c r="L1167" s="39" t="s">
        <v>8</v>
      </c>
      <c r="M1167" s="39" t="s">
        <v>47</v>
      </c>
      <c r="N1167" s="52" t="str">
        <f>IF(AND('331-CT'!$E$7=TH!H1167,OR(L1167="331",M1167="331")),"331",IF(AND(OR(L1167="131",M1167="131"),H1167='131-CT'!$E$7),"131",""))</f>
        <v>331</v>
      </c>
      <c r="O1167" s="890" t="str">
        <f>IF(AND('341-CT'!$E$9=H1167,OR(LEFT(L1167,3)=$O$7,LEFT(M1167,3)=$O$7)),"x","")</f>
        <v/>
      </c>
      <c r="P1167" s="52" t="str">
        <f>IF(AND($B1167&gt;='111'!$N$11,$B1167&lt;='111'!$O$11,OR($L1167=$P$7,$M1167=$P$7)),"x","")</f>
        <v>x</v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09"/>
      <c r="AC1167" s="211" t="str">
        <f t="shared" si="326"/>
        <v/>
      </c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324"/>
        <v>7</v>
      </c>
      <c r="C1168" s="37">
        <f t="shared" si="325"/>
        <v>41834</v>
      </c>
      <c r="D1168" s="191" t="s">
        <v>1213</v>
      </c>
      <c r="E1168" s="724">
        <v>41834</v>
      </c>
      <c r="F1168" s="291" t="s">
        <v>1079</v>
      </c>
      <c r="G1168" s="462" t="s">
        <v>1082</v>
      </c>
      <c r="H1168" s="7" t="s">
        <v>1077</v>
      </c>
      <c r="I1168" s="251">
        <v>1629</v>
      </c>
      <c r="J1168" s="251">
        <v>9500</v>
      </c>
      <c r="K1168" s="563">
        <f>ROUND(I1168*J1168,0)</f>
        <v>15475500</v>
      </c>
      <c r="L1168" s="39" t="s">
        <v>159</v>
      </c>
      <c r="M1168" s="39" t="s">
        <v>8</v>
      </c>
      <c r="N1168" s="52" t="str">
        <f>IF(AND('331-CT'!$E$7=TH!H1168,OR(L1168="331",M1168="331")),"331",IF(AND(OR(L1168="131",M1168="131"),H1168='131-CT'!$E$7),"131",""))</f>
        <v/>
      </c>
      <c r="O1168" s="89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09">
        <v>3</v>
      </c>
      <c r="AC1168" s="211" t="str">
        <f t="shared" si="326"/>
        <v/>
      </c>
    </row>
    <row r="1169" spans="1:29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324"/>
        <v>7</v>
      </c>
      <c r="C1169" s="37">
        <f t="shared" si="325"/>
        <v>41834</v>
      </c>
      <c r="D1169" s="191" t="s">
        <v>1213</v>
      </c>
      <c r="E1169" s="724">
        <v>41834</v>
      </c>
      <c r="F1169" s="291" t="s">
        <v>1075</v>
      </c>
      <c r="G1169" s="462" t="s">
        <v>1082</v>
      </c>
      <c r="H1169" s="7" t="s">
        <v>1077</v>
      </c>
      <c r="I1169" s="251">
        <v>1663</v>
      </c>
      <c r="J1169" s="251">
        <v>7200</v>
      </c>
      <c r="K1169" s="563">
        <f>ROUND(I1169*J1169,0)</f>
        <v>11973600</v>
      </c>
      <c r="L1169" s="39" t="s">
        <v>159</v>
      </c>
      <c r="M1169" s="39" t="s">
        <v>8</v>
      </c>
      <c r="N1169" s="52" t="str">
        <f>IF(AND('331-CT'!$E$7=TH!H1169,OR(L1169="331",M1169="331")),"331",IF(AND(OR(L1169="131",M1169="131"),H1169='131-CT'!$E$7),"131",""))</f>
        <v/>
      </c>
      <c r="O1169" s="89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>x</v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09">
        <v>3</v>
      </c>
      <c r="AC1169" s="211" t="str">
        <f t="shared" si="326"/>
        <v/>
      </c>
    </row>
    <row r="1170" spans="1:29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324"/>
        <v>7</v>
      </c>
      <c r="C1170" s="37">
        <f t="shared" si="325"/>
        <v>41834</v>
      </c>
      <c r="D1170" s="191" t="s">
        <v>1213</v>
      </c>
      <c r="E1170" s="724">
        <v>41834</v>
      </c>
      <c r="F1170" s="291" t="s">
        <v>1075</v>
      </c>
      <c r="G1170" s="462" t="s">
        <v>1082</v>
      </c>
      <c r="H1170" s="7" t="s">
        <v>1077</v>
      </c>
      <c r="I1170" s="251">
        <v>1821</v>
      </c>
      <c r="J1170" s="251">
        <v>7500</v>
      </c>
      <c r="K1170" s="563">
        <f>ROUND(I1170*J1170,0)</f>
        <v>13657500</v>
      </c>
      <c r="L1170" s="39" t="s">
        <v>159</v>
      </c>
      <c r="M1170" s="39" t="s">
        <v>8</v>
      </c>
      <c r="N1170" s="52" t="str">
        <f>IF(AND('331-CT'!$E$7=TH!H1170,OR(L1170="331",M1170="331")),"331",IF(AND(OR(L1170="131",M1170="131"),H1170='131-CT'!$E$7),"131",""))</f>
        <v/>
      </c>
      <c r="O1170" s="89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>x</v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09">
        <v>3</v>
      </c>
      <c r="AC1170" s="211" t="str">
        <f t="shared" si="326"/>
        <v/>
      </c>
    </row>
    <row r="1171" spans="1:29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324"/>
        <v>7</v>
      </c>
      <c r="C1171" s="37">
        <f t="shared" si="325"/>
        <v>41834</v>
      </c>
      <c r="D1171" s="191" t="s">
        <v>1213</v>
      </c>
      <c r="E1171" s="724">
        <v>41834</v>
      </c>
      <c r="F1171" s="40" t="s">
        <v>678</v>
      </c>
      <c r="G1171" s="462" t="s">
        <v>1082</v>
      </c>
      <c r="H1171" s="7" t="s">
        <v>1077</v>
      </c>
      <c r="I1171" s="251"/>
      <c r="J1171" s="251"/>
      <c r="K1171" s="563">
        <v>4110660</v>
      </c>
      <c r="L1171" s="39" t="s">
        <v>9</v>
      </c>
      <c r="M1171" s="39" t="s">
        <v>8</v>
      </c>
      <c r="N1171" s="52" t="str">
        <f>IF(AND('331-CT'!$E$7=TH!H1171,OR(L1171="331",M1171="331")),"331",IF(AND(OR(L1171="131",M1171="131"),H1171='131-CT'!$E$7),"131",""))</f>
        <v/>
      </c>
      <c r="O1171" s="89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09">
        <v>3</v>
      </c>
      <c r="AC1171" s="211" t="str">
        <f t="shared" si="326"/>
        <v/>
      </c>
    </row>
    <row r="1172" spans="1:29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324"/>
        <v>7</v>
      </c>
      <c r="C1172" s="37">
        <f t="shared" si="325"/>
        <v>41834</v>
      </c>
      <c r="D1172" s="191" t="s">
        <v>1214</v>
      </c>
      <c r="E1172" s="724">
        <v>41834</v>
      </c>
      <c r="F1172" s="192" t="s">
        <v>1012</v>
      </c>
      <c r="G1172" s="463" t="s">
        <v>1085</v>
      </c>
      <c r="H1172" s="7" t="s">
        <v>1010</v>
      </c>
      <c r="I1172" s="251">
        <v>4879</v>
      </c>
      <c r="J1172" s="251">
        <v>9600</v>
      </c>
      <c r="K1172" s="563">
        <f>ROUND(I1172*J1172,0)</f>
        <v>46838400</v>
      </c>
      <c r="L1172" s="39" t="s">
        <v>159</v>
      </c>
      <c r="M1172" s="39" t="s">
        <v>8</v>
      </c>
      <c r="N1172" s="52" t="str">
        <f>IF(AND('331-CT'!$E$7=TH!H1172,OR(L1172="331",M1172="331")),"331",IF(AND(OR(L1172="131",M1172="131"),H1172='131-CT'!$E$7),"131",""))</f>
        <v>331</v>
      </c>
      <c r="O1172" s="89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09">
        <v>3</v>
      </c>
      <c r="AC1172" s="211" t="str">
        <f t="shared" si="326"/>
        <v/>
      </c>
    </row>
    <row r="1173" spans="1:29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324"/>
        <v>7</v>
      </c>
      <c r="C1173" s="37">
        <f t="shared" si="325"/>
        <v>41834</v>
      </c>
      <c r="D1173" s="191" t="s">
        <v>1214</v>
      </c>
      <c r="E1173" s="724">
        <v>41834</v>
      </c>
      <c r="F1173" s="192" t="s">
        <v>1013</v>
      </c>
      <c r="G1173" s="463" t="s">
        <v>1085</v>
      </c>
      <c r="H1173" s="7" t="s">
        <v>1010</v>
      </c>
      <c r="I1173" s="251"/>
      <c r="J1173" s="251"/>
      <c r="K1173" s="563">
        <v>4683840</v>
      </c>
      <c r="L1173" s="39" t="s">
        <v>9</v>
      </c>
      <c r="M1173" s="39" t="s">
        <v>8</v>
      </c>
      <c r="N1173" s="52" t="str">
        <f>IF(AND('331-CT'!$E$7=TH!H1173,OR(L1173="331",M1173="331")),"331",IF(AND(OR(L1173="131",M1173="131"),H1173='131-CT'!$E$7),"131",""))</f>
        <v>331</v>
      </c>
      <c r="O1173" s="89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09">
        <v>3</v>
      </c>
      <c r="AC1173" s="211" t="str">
        <f t="shared" si="326"/>
        <v/>
      </c>
    </row>
    <row r="1174" spans="1:29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324"/>
        <v>7</v>
      </c>
      <c r="C1174" s="37">
        <f t="shared" si="325"/>
        <v>41835</v>
      </c>
      <c r="D1174" s="191" t="s">
        <v>1215</v>
      </c>
      <c r="E1174" s="184">
        <v>41835</v>
      </c>
      <c r="F1174" s="291" t="s">
        <v>1075</v>
      </c>
      <c r="G1174" s="463" t="s">
        <v>1087</v>
      </c>
      <c r="H1174" s="7" t="s">
        <v>1073</v>
      </c>
      <c r="I1174" s="251">
        <v>9240</v>
      </c>
      <c r="J1174" s="251">
        <v>8500</v>
      </c>
      <c r="K1174" s="563">
        <f>ROUND(I1174*J1174,0)</f>
        <v>78540000</v>
      </c>
      <c r="L1174" s="39" t="s">
        <v>159</v>
      </c>
      <c r="M1174" s="39" t="s">
        <v>8</v>
      </c>
      <c r="N1174" s="52" t="str">
        <f>IF(AND('331-CT'!$E$7=TH!H1174,OR(L1174="331",M1174="331")),"331",IF(AND(OR(L1174="131",M1174="131"),H1174='131-CT'!$E$7),"131",""))</f>
        <v/>
      </c>
      <c r="O1174" s="89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>x</v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09">
        <v>3</v>
      </c>
      <c r="AC1174" s="211" t="str">
        <f t="shared" si="326"/>
        <v/>
      </c>
    </row>
    <row r="1175" spans="1:29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324"/>
        <v>7</v>
      </c>
      <c r="C1175" s="37">
        <f t="shared" si="325"/>
        <v>41835</v>
      </c>
      <c r="D1175" s="191" t="s">
        <v>1215</v>
      </c>
      <c r="E1175" s="184">
        <v>41835</v>
      </c>
      <c r="F1175" s="291" t="s">
        <v>1076</v>
      </c>
      <c r="G1175" s="463" t="s">
        <v>1087</v>
      </c>
      <c r="H1175" s="7" t="s">
        <v>1073</v>
      </c>
      <c r="I1175" s="251"/>
      <c r="J1175" s="251"/>
      <c r="K1175" s="563">
        <v>7854000</v>
      </c>
      <c r="L1175" s="39" t="s">
        <v>9</v>
      </c>
      <c r="M1175" s="39" t="s">
        <v>8</v>
      </c>
      <c r="N1175" s="52" t="str">
        <f>IF(AND('331-CT'!$E$7=TH!H1175,OR(L1175="331",M1175="331")),"331",IF(AND(OR(L1175="131",M1175="131"),H1175='131-CT'!$E$7),"131",""))</f>
        <v/>
      </c>
      <c r="O1175" s="89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09">
        <v>3</v>
      </c>
      <c r="AC1175" s="211" t="str">
        <f t="shared" si="326"/>
        <v/>
      </c>
    </row>
    <row r="1176" spans="1:29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324"/>
        <v>7</v>
      </c>
      <c r="C1176" s="191">
        <f t="shared" si="325"/>
        <v>41836</v>
      </c>
      <c r="D1176" s="191"/>
      <c r="E1176" s="191">
        <v>41836</v>
      </c>
      <c r="F1176" s="189" t="s">
        <v>989</v>
      </c>
      <c r="G1176" s="463" t="s">
        <v>1014</v>
      </c>
      <c r="H1176" s="7" t="s">
        <v>988</v>
      </c>
      <c r="I1176" s="251"/>
      <c r="J1176" s="251"/>
      <c r="K1176" s="563">
        <f>654373+201215+205950</f>
        <v>1061538</v>
      </c>
      <c r="L1176" s="39" t="s">
        <v>83</v>
      </c>
      <c r="M1176" s="39" t="s">
        <v>47</v>
      </c>
      <c r="N1176" s="52" t="str">
        <f>IF(AND('331-CT'!$E$7=TH!H1176,OR(L1176="331",M1176="331")),"331",IF(AND(OR(L1176="131",M1176="131"),H1176='131-CT'!$E$7),"131",""))</f>
        <v/>
      </c>
      <c r="O1176" s="890" t="str">
        <f>IF(AND('341-CT'!$E$9=H1176,OR(LEFT(L1176,3)=$O$7,LEFT(M1176,3)=$O$7)),"x","")</f>
        <v/>
      </c>
      <c r="P1176" s="52" t="str">
        <f>IF(AND($B1176&gt;='111'!$N$11,$B1176&lt;='111'!$O$11,OR($L1176=$P$7,$M1176=$P$7)),"x","")</f>
        <v>x</v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>x</v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09">
        <v>3</v>
      </c>
    </row>
    <row r="1177" spans="1:29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324"/>
        <v>7</v>
      </c>
      <c r="C1177" s="191">
        <f t="shared" si="325"/>
        <v>41836</v>
      </c>
      <c r="D1177" s="191"/>
      <c r="E1177" s="191">
        <v>41836</v>
      </c>
      <c r="F1177" s="189" t="s">
        <v>990</v>
      </c>
      <c r="G1177" s="463" t="s">
        <v>1014</v>
      </c>
      <c r="H1177" s="7" t="s">
        <v>988</v>
      </c>
      <c r="I1177" s="251"/>
      <c r="J1177" s="251"/>
      <c r="K1177" s="563">
        <f>65437+20122+20595</f>
        <v>106154</v>
      </c>
      <c r="L1177" s="39" t="s">
        <v>9</v>
      </c>
      <c r="M1177" s="39" t="s">
        <v>47</v>
      </c>
      <c r="N1177" s="52" t="str">
        <f>IF(AND('331-CT'!$E$7=TH!H1177,OR(L1177="331",M1177="331")),"331",IF(AND(OR(L1177="131",M1177="131"),H1177='131-CT'!$E$7),"131",""))</f>
        <v/>
      </c>
      <c r="O1177" s="890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09">
        <v>3</v>
      </c>
    </row>
    <row r="1178" spans="1:29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324"/>
        <v>7</v>
      </c>
      <c r="C1178" s="37">
        <f t="shared" si="325"/>
        <v>41836</v>
      </c>
      <c r="D1178" s="191" t="s">
        <v>1216</v>
      </c>
      <c r="E1178" s="184">
        <v>41836</v>
      </c>
      <c r="F1178" s="192" t="s">
        <v>1012</v>
      </c>
      <c r="G1178" s="463" t="s">
        <v>1086</v>
      </c>
      <c r="H1178" s="7" t="s">
        <v>1010</v>
      </c>
      <c r="I1178" s="251">
        <v>5508</v>
      </c>
      <c r="J1178" s="251">
        <v>9600</v>
      </c>
      <c r="K1178" s="563">
        <f>ROUND(I1178*J1178,0)</f>
        <v>52876800</v>
      </c>
      <c r="L1178" s="39" t="s">
        <v>159</v>
      </c>
      <c r="M1178" s="39" t="s">
        <v>8</v>
      </c>
      <c r="N1178" s="52" t="str">
        <f>IF(AND('331-CT'!$E$7=TH!H1178,OR(L1178="331",M1178="331")),"331",IF(AND(OR(L1178="131",M1178="131"),H1178='131-CT'!$E$7),"131",""))</f>
        <v>331</v>
      </c>
      <c r="O1178" s="89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09">
        <v>3</v>
      </c>
      <c r="AC1178" s="211" t="str">
        <f>IF(H1178=VLOOKUP(H1178,DSKH,1,0),"","x")</f>
        <v/>
      </c>
    </row>
    <row r="1179" spans="1:29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324"/>
        <v>7</v>
      </c>
      <c r="C1179" s="37">
        <f t="shared" si="325"/>
        <v>41836</v>
      </c>
      <c r="D1179" s="191" t="s">
        <v>1216</v>
      </c>
      <c r="E1179" s="184">
        <v>41836</v>
      </c>
      <c r="F1179" s="192" t="s">
        <v>1013</v>
      </c>
      <c r="G1179" s="463" t="s">
        <v>1086</v>
      </c>
      <c r="H1179" s="7" t="s">
        <v>1010</v>
      </c>
      <c r="I1179" s="251"/>
      <c r="J1179" s="251"/>
      <c r="K1179" s="563">
        <v>5287680</v>
      </c>
      <c r="L1179" s="39" t="s">
        <v>9</v>
      </c>
      <c r="M1179" s="39" t="s">
        <v>8</v>
      </c>
      <c r="N1179" s="52" t="str">
        <f>IF(AND('331-CT'!$E$7=TH!H1179,OR(L1179="331",M1179="331")),"331",IF(AND(OR(L1179="131",M1179="131"),H1179='131-CT'!$E$7),"131",""))</f>
        <v>331</v>
      </c>
      <c r="O1179" s="89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09">
        <v>3</v>
      </c>
      <c r="AC1179" s="211" t="str">
        <f>IF(H1179=VLOOKUP(H1179,DSKH,1,0),"","x")</f>
        <v/>
      </c>
    </row>
    <row r="1180" spans="1:29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324"/>
        <v>7</v>
      </c>
      <c r="C1180" s="37">
        <f t="shared" si="325"/>
        <v>41837</v>
      </c>
      <c r="D1180" s="191" t="s">
        <v>1217</v>
      </c>
      <c r="E1180" s="184">
        <v>41837</v>
      </c>
      <c r="F1180" s="192" t="s">
        <v>1012</v>
      </c>
      <c r="G1180" s="463" t="s">
        <v>1088</v>
      </c>
      <c r="H1180" s="7" t="s">
        <v>1010</v>
      </c>
      <c r="I1180" s="251">
        <v>5195</v>
      </c>
      <c r="J1180" s="251">
        <v>9600</v>
      </c>
      <c r="K1180" s="563">
        <f>ROUND(I1180*J1180,0)</f>
        <v>49872000</v>
      </c>
      <c r="L1180" s="39" t="s">
        <v>159</v>
      </c>
      <c r="M1180" s="39" t="s">
        <v>8</v>
      </c>
      <c r="N1180" s="52" t="str">
        <f>IF(AND('331-CT'!$E$7=TH!H1180,OR(L1180="331",M1180="331")),"331",IF(AND(OR(L1180="131",M1180="131"),H1180='131-CT'!$E$7),"131",""))</f>
        <v>331</v>
      </c>
      <c r="O1180" s="89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09">
        <v>3</v>
      </c>
      <c r="AC1180" s="211" t="str">
        <f>IF(H1180=VLOOKUP(H1180,DSKH,1,0),"","x")</f>
        <v/>
      </c>
    </row>
    <row r="1181" spans="1:29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324"/>
        <v>7</v>
      </c>
      <c r="C1181" s="37">
        <f t="shared" si="325"/>
        <v>41837</v>
      </c>
      <c r="D1181" s="191" t="s">
        <v>1217</v>
      </c>
      <c r="E1181" s="184">
        <v>41837</v>
      </c>
      <c r="F1181" s="192" t="s">
        <v>1013</v>
      </c>
      <c r="G1181" s="463" t="s">
        <v>1088</v>
      </c>
      <c r="H1181" s="7" t="s">
        <v>1010</v>
      </c>
      <c r="I1181" s="251"/>
      <c r="J1181" s="251"/>
      <c r="K1181" s="563">
        <v>4987200</v>
      </c>
      <c r="L1181" s="39" t="s">
        <v>9</v>
      </c>
      <c r="M1181" s="39" t="s">
        <v>8</v>
      </c>
      <c r="N1181" s="52" t="str">
        <f>IF(AND('331-CT'!$E$7=TH!H1181,OR(L1181="331",M1181="331")),"331",IF(AND(OR(L1181="131",M1181="131"),H1181='131-CT'!$E$7),"131",""))</f>
        <v>331</v>
      </c>
      <c r="O1181" s="89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09">
        <v>3</v>
      </c>
      <c r="AC1181" s="211" t="str">
        <f>IF(H1181=VLOOKUP(H1181,DSKH,1,0),"","x")</f>
        <v/>
      </c>
    </row>
    <row r="1182" spans="1:29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324"/>
        <v>7</v>
      </c>
      <c r="C1182" s="191">
        <f t="shared" si="325"/>
        <v>41838</v>
      </c>
      <c r="D1182" s="191"/>
      <c r="E1182" s="191">
        <v>41838</v>
      </c>
      <c r="F1182" s="192" t="s">
        <v>372</v>
      </c>
      <c r="G1182" s="463" t="s">
        <v>749</v>
      </c>
      <c r="H1182" s="7" t="s">
        <v>998</v>
      </c>
      <c r="I1182" s="251"/>
      <c r="J1182" s="251"/>
      <c r="K1182" s="563">
        <v>4070000</v>
      </c>
      <c r="L1182" s="39" t="s">
        <v>167</v>
      </c>
      <c r="M1182" s="39" t="s">
        <v>47</v>
      </c>
      <c r="N1182" s="52" t="str">
        <f>IF(AND('331-CT'!$E$7=TH!H1182,OR(L1182="331",M1182="331")),"331",IF(AND(OR(L1182="131",M1182="131"),H1182='131-CT'!$E$7),"131",""))</f>
        <v/>
      </c>
      <c r="O1182" s="890" t="str">
        <f>IF(AND('341-CT'!$E$9=H1182,OR(LEFT(L1182,3)=$O$7,LEFT(M1182,3)=$O$7)),"x","")</f>
        <v/>
      </c>
      <c r="P1182" s="52" t="str">
        <f>IF(AND($B1182&gt;='111'!$N$11,$B1182&lt;='111'!$O$11,OR($L1182=$P$7,$M1182=$P$7)),"x","")</f>
        <v>x</v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09">
        <v>3</v>
      </c>
    </row>
    <row r="1183" spans="1:29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324"/>
        <v>7</v>
      </c>
      <c r="C1183" s="191">
        <f t="shared" si="325"/>
        <v>41838</v>
      </c>
      <c r="D1183" s="191"/>
      <c r="E1183" s="191">
        <v>41838</v>
      </c>
      <c r="F1183" s="192" t="s">
        <v>999</v>
      </c>
      <c r="G1183" s="463" t="s">
        <v>749</v>
      </c>
      <c r="H1183" s="7" t="s">
        <v>998</v>
      </c>
      <c r="I1183" s="251"/>
      <c r="J1183" s="251"/>
      <c r="K1183" s="563">
        <v>407000</v>
      </c>
      <c r="L1183" s="39" t="s">
        <v>9</v>
      </c>
      <c r="M1183" s="39" t="s">
        <v>47</v>
      </c>
      <c r="N1183" s="52" t="str">
        <f>IF(AND('331-CT'!$E$7=TH!H1183,OR(L1183="331",M1183="331")),"331",IF(AND(OR(L1183="131",M1183="131"),H1183='131-CT'!$E$7),"131",""))</f>
        <v/>
      </c>
      <c r="O1183" s="890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09">
        <v>3</v>
      </c>
    </row>
    <row r="1184" spans="1:29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324"/>
        <v>7</v>
      </c>
      <c r="C1184" s="191">
        <f t="shared" si="325"/>
        <v>41841</v>
      </c>
      <c r="D1184" s="191" t="s">
        <v>1218</v>
      </c>
      <c r="E1184" s="37">
        <v>41841</v>
      </c>
      <c r="F1184" s="192" t="s">
        <v>1012</v>
      </c>
      <c r="G1184" s="463" t="s">
        <v>1072</v>
      </c>
      <c r="H1184" s="7" t="s">
        <v>1010</v>
      </c>
      <c r="I1184" s="251">
        <v>6242</v>
      </c>
      <c r="J1184" s="251">
        <v>9600</v>
      </c>
      <c r="K1184" s="563">
        <f>ROUND(I1184*J1184,0)</f>
        <v>59923200</v>
      </c>
      <c r="L1184" s="39" t="s">
        <v>159</v>
      </c>
      <c r="M1184" s="39" t="s">
        <v>8</v>
      </c>
      <c r="N1184" s="52" t="str">
        <f>IF(AND('331-CT'!$E$7=TH!H1184,OR(L1184="331",M1184="331")),"331",IF(AND(OR(L1184="131",M1184="131"),H1184='131-CT'!$E$7),"131",""))</f>
        <v>331</v>
      </c>
      <c r="O1184" s="89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09">
        <v>3</v>
      </c>
      <c r="AC1184" s="211" t="str">
        <f>IF(H1184=VLOOKUP(H1184,DSKH,1,0),"","x")</f>
        <v/>
      </c>
    </row>
    <row r="1185" spans="1:29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324"/>
        <v>7</v>
      </c>
      <c r="C1185" s="191">
        <f t="shared" si="325"/>
        <v>41841</v>
      </c>
      <c r="D1185" s="191" t="s">
        <v>1218</v>
      </c>
      <c r="E1185" s="37">
        <v>41841</v>
      </c>
      <c r="F1185" s="192" t="s">
        <v>1013</v>
      </c>
      <c r="G1185" s="463" t="s">
        <v>1072</v>
      </c>
      <c r="H1185" s="7" t="s">
        <v>1010</v>
      </c>
      <c r="I1185" s="251"/>
      <c r="J1185" s="251"/>
      <c r="K1185" s="563">
        <v>5992320</v>
      </c>
      <c r="L1185" s="39" t="s">
        <v>9</v>
      </c>
      <c r="M1185" s="39" t="s">
        <v>8</v>
      </c>
      <c r="N1185" s="52" t="str">
        <f>IF(AND('331-CT'!$E$7=TH!H1185,OR(L1185="331",M1185="331")),"331",IF(AND(OR(L1185="131",M1185="131"),H1185='131-CT'!$E$7),"131",""))</f>
        <v>331</v>
      </c>
      <c r="O1185" s="89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09">
        <v>3</v>
      </c>
      <c r="AC1185" s="211" t="str">
        <f>IF(H1185=VLOOKUP(H1185,DSKH,1,0),"","x")</f>
        <v/>
      </c>
    </row>
    <row r="1186" spans="1:29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324"/>
        <v>7</v>
      </c>
      <c r="C1186" s="37">
        <f t="shared" si="325"/>
        <v>41841</v>
      </c>
      <c r="D1186" s="191" t="s">
        <v>1219</v>
      </c>
      <c r="E1186" s="184">
        <v>41841</v>
      </c>
      <c r="F1186" s="192" t="s">
        <v>1012</v>
      </c>
      <c r="G1186" s="463" t="s">
        <v>1089</v>
      </c>
      <c r="H1186" s="7" t="s">
        <v>1010</v>
      </c>
      <c r="I1186" s="251">
        <v>3526</v>
      </c>
      <c r="J1186" s="251">
        <v>9600</v>
      </c>
      <c r="K1186" s="563">
        <f>ROUND(I1186*J1186,0)</f>
        <v>33849600</v>
      </c>
      <c r="L1186" s="39" t="s">
        <v>159</v>
      </c>
      <c r="M1186" s="39" t="s">
        <v>8</v>
      </c>
      <c r="N1186" s="52" t="str">
        <f>IF(AND('331-CT'!$E$7=TH!H1186,OR(L1186="331",M1186="331")),"331",IF(AND(OR(L1186="131",M1186="131"),H1186='131-CT'!$E$7),"131",""))</f>
        <v>331</v>
      </c>
      <c r="O1186" s="89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09">
        <v>3</v>
      </c>
      <c r="AC1186" s="211" t="str">
        <f>IF(H1186=VLOOKUP(H1186,DSKH,1,0),"","x")</f>
        <v/>
      </c>
    </row>
    <row r="1187" spans="1:29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324"/>
        <v>7</v>
      </c>
      <c r="C1187" s="37">
        <f t="shared" si="325"/>
        <v>41841</v>
      </c>
      <c r="D1187" s="191" t="s">
        <v>1219</v>
      </c>
      <c r="E1187" s="184">
        <v>41841</v>
      </c>
      <c r="F1187" s="192" t="s">
        <v>1013</v>
      </c>
      <c r="G1187" s="463" t="s">
        <v>1089</v>
      </c>
      <c r="H1187" s="7" t="s">
        <v>1010</v>
      </c>
      <c r="I1187" s="251"/>
      <c r="J1187" s="251"/>
      <c r="K1187" s="563">
        <v>3384960</v>
      </c>
      <c r="L1187" s="39" t="s">
        <v>9</v>
      </c>
      <c r="M1187" s="39" t="s">
        <v>8</v>
      </c>
      <c r="N1187" s="52" t="str">
        <f>IF(AND('331-CT'!$E$7=TH!H1187,OR(L1187="331",M1187="331")),"331",IF(AND(OR(L1187="131",M1187="131"),H1187='131-CT'!$E$7),"131",""))</f>
        <v>331</v>
      </c>
      <c r="O1187" s="89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09">
        <v>3</v>
      </c>
      <c r="AC1187" s="211" t="str">
        <f>IF(H1187=VLOOKUP(H1187,DSKH,1,0),"","x")</f>
        <v/>
      </c>
    </row>
    <row r="1188" spans="1:29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324"/>
        <v>7</v>
      </c>
      <c r="C1188" s="191">
        <f t="shared" si="325"/>
        <v>41842</v>
      </c>
      <c r="D1188" s="191" t="s">
        <v>1231</v>
      </c>
      <c r="E1188" s="191">
        <v>41842</v>
      </c>
      <c r="F1188" s="192" t="s">
        <v>1017</v>
      </c>
      <c r="G1188" s="463" t="s">
        <v>1016</v>
      </c>
      <c r="H1188" s="7" t="s">
        <v>1015</v>
      </c>
      <c r="I1188" s="251">
        <v>1500</v>
      </c>
      <c r="J1188" s="251">
        <v>11000</v>
      </c>
      <c r="K1188" s="563">
        <f>ROUND(I1188*J1188,0)</f>
        <v>16500000</v>
      </c>
      <c r="L1188" s="39" t="s">
        <v>161</v>
      </c>
      <c r="M1188" s="39" t="s">
        <v>8</v>
      </c>
      <c r="N1188" s="52" t="str">
        <f>IF(AND('331-CT'!$E$7=TH!H1188,OR(L1188="331",M1188="331")),"331",IF(AND(OR(L1188="131",M1188="131"),H1188='131-CT'!$E$7),"131",""))</f>
        <v/>
      </c>
      <c r="O1188" s="89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09">
        <v>3</v>
      </c>
    </row>
    <row r="1189" spans="1:29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324"/>
        <v>7</v>
      </c>
      <c r="C1189" s="191">
        <f t="shared" si="325"/>
        <v>41842</v>
      </c>
      <c r="D1189" s="191" t="s">
        <v>1231</v>
      </c>
      <c r="E1189" s="191">
        <v>41842</v>
      </c>
      <c r="F1189" s="192" t="s">
        <v>1018</v>
      </c>
      <c r="G1189" s="463" t="s">
        <v>1016</v>
      </c>
      <c r="H1189" s="7" t="s">
        <v>1015</v>
      </c>
      <c r="I1189" s="251"/>
      <c r="J1189" s="251"/>
      <c r="K1189" s="563">
        <v>1650000</v>
      </c>
      <c r="L1189" s="39" t="s">
        <v>9</v>
      </c>
      <c r="M1189" s="39" t="s">
        <v>8</v>
      </c>
      <c r="N1189" s="52" t="str">
        <f>IF(AND('331-CT'!$E$7=TH!H1189,OR(L1189="331",M1189="331")),"331",IF(AND(OR(L1189="131",M1189="131"),H1189='131-CT'!$E$7),"131",""))</f>
        <v/>
      </c>
      <c r="O1189" s="89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09">
        <v>3</v>
      </c>
    </row>
    <row r="1190" spans="1:29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ref="B1190" si="330">IF(C1190&lt;&gt;"",MONTH(C1190),"")</f>
        <v>7</v>
      </c>
      <c r="C1190" s="191">
        <f t="shared" ref="C1190" si="331">E1190</f>
        <v>41842</v>
      </c>
      <c r="D1190" s="191"/>
      <c r="E1190" s="191">
        <v>41842</v>
      </c>
      <c r="F1190" s="192" t="s">
        <v>893</v>
      </c>
      <c r="G1190" s="463" t="s">
        <v>1016</v>
      </c>
      <c r="H1190" s="7" t="s">
        <v>1015</v>
      </c>
      <c r="I1190" s="251"/>
      <c r="J1190" s="251"/>
      <c r="K1190" s="563">
        <v>18150000</v>
      </c>
      <c r="L1190" s="39" t="s">
        <v>8</v>
      </c>
      <c r="M1190" s="39" t="s">
        <v>47</v>
      </c>
      <c r="N1190" s="52" t="str">
        <f>IF(AND('331-CT'!$E$7=TH!H1190,OR(L1190="331",M1190="331")),"331",IF(AND(OR(L1190="131",M1190="131"),H1190='131-CT'!$E$7),"131",""))</f>
        <v/>
      </c>
      <c r="O1190" s="890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09"/>
    </row>
    <row r="1191" spans="1:29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324"/>
        <v>7</v>
      </c>
      <c r="C1191" s="191">
        <f t="shared" si="325"/>
        <v>41844</v>
      </c>
      <c r="D1191" s="191"/>
      <c r="E1191" s="191">
        <v>41844</v>
      </c>
      <c r="F1191" s="189" t="s">
        <v>991</v>
      </c>
      <c r="G1191" s="463" t="s">
        <v>1019</v>
      </c>
      <c r="H1191" s="7" t="s">
        <v>993</v>
      </c>
      <c r="I1191" s="251"/>
      <c r="J1191" s="251"/>
      <c r="K1191" s="563">
        <v>853620</v>
      </c>
      <c r="L1191" s="39" t="s">
        <v>83</v>
      </c>
      <c r="M1191" s="39" t="s">
        <v>47</v>
      </c>
      <c r="N1191" s="52" t="str">
        <f>IF(AND('331-CT'!$E$7=TH!H1191,OR(L1191="331",M1191="331")),"331",IF(AND(OR(L1191="131",M1191="131"),H1191='131-CT'!$E$7),"131",""))</f>
        <v/>
      </c>
      <c r="O1191" s="890" t="str">
        <f>IF(AND('341-CT'!$E$9=H1191,OR(LEFT(L1191,3)=$O$7,LEFT(M1191,3)=$O$7)),"x","")</f>
        <v/>
      </c>
      <c r="P1191" s="52" t="str">
        <f>IF(AND($B1191&gt;='111'!$N$11,$B1191&lt;='111'!$O$11,OR($L1191=$P$7,$M1191=$P$7)),"x","")</f>
        <v>x</v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>x</v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09">
        <v>3</v>
      </c>
    </row>
    <row r="1192" spans="1:29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324"/>
        <v>7</v>
      </c>
      <c r="C1192" s="191">
        <f t="shared" si="325"/>
        <v>41844</v>
      </c>
      <c r="D1192" s="191"/>
      <c r="E1192" s="191">
        <v>41844</v>
      </c>
      <c r="F1192" s="189" t="s">
        <v>992</v>
      </c>
      <c r="G1192" s="463" t="s">
        <v>1019</v>
      </c>
      <c r="H1192" s="7" t="s">
        <v>993</v>
      </c>
      <c r="I1192" s="251"/>
      <c r="J1192" s="251"/>
      <c r="K1192" s="563">
        <v>85362</v>
      </c>
      <c r="L1192" s="39" t="s">
        <v>9</v>
      </c>
      <c r="M1192" s="39" t="s">
        <v>47</v>
      </c>
      <c r="N1192" s="52" t="str">
        <f>IF(AND('331-CT'!$E$7=TH!H1192,OR(L1192="331",M1192="331")),"331",IF(AND(OR(L1192="131",M1192="131"),H1192='131-CT'!$E$7),"131",""))</f>
        <v/>
      </c>
      <c r="O1192" s="890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09">
        <v>3</v>
      </c>
    </row>
    <row r="1193" spans="1:29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324"/>
        <v>7</v>
      </c>
      <c r="C1193" s="191">
        <f t="shared" si="325"/>
        <v>41845</v>
      </c>
      <c r="D1193" s="191"/>
      <c r="E1193" s="184">
        <v>41845</v>
      </c>
      <c r="F1193" s="189" t="s">
        <v>1063</v>
      </c>
      <c r="G1193" s="463"/>
      <c r="H1193" s="45" t="s">
        <v>1061</v>
      </c>
      <c r="I1193" s="251"/>
      <c r="J1193" s="251"/>
      <c r="K1193" s="563">
        <v>3000000</v>
      </c>
      <c r="L1193" s="564" t="s">
        <v>17</v>
      </c>
      <c r="M1193" s="564" t="s">
        <v>47</v>
      </c>
      <c r="N1193" s="52" t="str">
        <f>IF(AND('331-CT'!$E$7=TH!H1193,OR(L1193="331",M1193="331")),"331",IF(AND(OR(L1193="131",M1193="131"),H1193='131-CT'!$E$7),"131",""))</f>
        <v/>
      </c>
      <c r="O1193" s="890" t="str">
        <f>IF(AND('341-CT'!$E$9=H1193,OR(LEFT(L1193,3)=$O$7,LEFT(M1193,3)=$O$7)),"x","")</f>
        <v/>
      </c>
      <c r="P1193" s="52" t="str">
        <f>IF(AND($B1193&gt;='111'!$N$11,$B1193&lt;='111'!$O$11,OR($L1193=$P$7,$M1193=$P$7)),"x","")</f>
        <v>x</v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09"/>
    </row>
    <row r="1194" spans="1:29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324"/>
        <v>7</v>
      </c>
      <c r="C1194" s="37">
        <f t="shared" si="325"/>
        <v>41847</v>
      </c>
      <c r="D1194" s="191" t="s">
        <v>1220</v>
      </c>
      <c r="E1194" s="184">
        <v>41847</v>
      </c>
      <c r="F1194" s="291" t="s">
        <v>1075</v>
      </c>
      <c r="G1194" s="463" t="s">
        <v>1101</v>
      </c>
      <c r="H1194" s="7" t="s">
        <v>1073</v>
      </c>
      <c r="I1194" s="251">
        <v>5880</v>
      </c>
      <c r="J1194" s="251">
        <v>8500</v>
      </c>
      <c r="K1194" s="563">
        <f>ROUND(I1194*J1194,0)</f>
        <v>49980000</v>
      </c>
      <c r="L1194" s="39" t="s">
        <v>159</v>
      </c>
      <c r="M1194" s="39" t="s">
        <v>8</v>
      </c>
      <c r="N1194" s="52" t="str">
        <f>IF(AND('331-CT'!$E$7=TH!H1194,OR(L1194="331",M1194="331")),"331",IF(AND(OR(L1194="131",M1194="131"),H1194='131-CT'!$E$7),"131",""))</f>
        <v/>
      </c>
      <c r="O1194" s="89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>x</v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09">
        <v>3</v>
      </c>
      <c r="AC1194" s="211" t="str">
        <f t="shared" ref="AC1194:AC1200" si="332">IF(H1194=VLOOKUP(H1194,DSKH,1,0),"","x")</f>
        <v/>
      </c>
    </row>
    <row r="1195" spans="1:29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324"/>
        <v>7</v>
      </c>
      <c r="C1195" s="37">
        <f t="shared" si="325"/>
        <v>41847</v>
      </c>
      <c r="D1195" s="191" t="s">
        <v>1220</v>
      </c>
      <c r="E1195" s="184">
        <v>41847</v>
      </c>
      <c r="F1195" s="291" t="s">
        <v>1076</v>
      </c>
      <c r="G1195" s="463" t="s">
        <v>1101</v>
      </c>
      <c r="H1195" s="7" t="s">
        <v>1073</v>
      </c>
      <c r="I1195" s="251"/>
      <c r="J1195" s="251"/>
      <c r="K1195" s="563">
        <v>4998000</v>
      </c>
      <c r="L1195" s="39" t="s">
        <v>9</v>
      </c>
      <c r="M1195" s="39" t="s">
        <v>8</v>
      </c>
      <c r="N1195" s="52" t="str">
        <f>IF(AND('331-CT'!$E$7=TH!H1195,OR(L1195="331",M1195="331")),"331",IF(AND(OR(L1195="131",M1195="131"),H1195='131-CT'!$E$7),"131",""))</f>
        <v/>
      </c>
      <c r="O1195" s="89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09">
        <v>3</v>
      </c>
      <c r="AC1195" s="211" t="str">
        <f t="shared" si="332"/>
        <v/>
      </c>
    </row>
    <row r="1196" spans="1:29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324"/>
        <v>7</v>
      </c>
      <c r="C1196" s="37">
        <f t="shared" si="325"/>
        <v>41848</v>
      </c>
      <c r="D1196" s="191" t="s">
        <v>1221</v>
      </c>
      <c r="E1196" s="184">
        <v>41848</v>
      </c>
      <c r="F1196" s="192" t="s">
        <v>1104</v>
      </c>
      <c r="G1196" s="463" t="s">
        <v>1103</v>
      </c>
      <c r="H1196" s="193" t="s">
        <v>1102</v>
      </c>
      <c r="I1196" s="251">
        <v>2032</v>
      </c>
      <c r="J1196" s="251">
        <v>11600</v>
      </c>
      <c r="K1196" s="563">
        <f>ROUND(I1196*J1196,0)</f>
        <v>23571200</v>
      </c>
      <c r="L1196" s="39" t="s">
        <v>159</v>
      </c>
      <c r="M1196" s="39" t="s">
        <v>8</v>
      </c>
      <c r="N1196" s="52" t="str">
        <f>IF(AND('331-CT'!$E$7=TH!H1196,OR(L1196="331",M1196="331")),"331",IF(AND(OR(L1196="131",M1196="131"),H1196='131-CT'!$E$7),"131",""))</f>
        <v/>
      </c>
      <c r="O1196" s="89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09">
        <v>3</v>
      </c>
      <c r="AC1196" s="211" t="str">
        <f t="shared" si="332"/>
        <v/>
      </c>
    </row>
    <row r="1197" spans="1:29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324"/>
        <v>7</v>
      </c>
      <c r="C1197" s="37">
        <f t="shared" si="325"/>
        <v>41848</v>
      </c>
      <c r="D1197" s="191" t="s">
        <v>1221</v>
      </c>
      <c r="E1197" s="184">
        <v>41848</v>
      </c>
      <c r="F1197" s="192" t="s">
        <v>1105</v>
      </c>
      <c r="G1197" s="463" t="s">
        <v>1103</v>
      </c>
      <c r="H1197" s="193" t="s">
        <v>1102</v>
      </c>
      <c r="I1197" s="251"/>
      <c r="J1197" s="251"/>
      <c r="K1197" s="563">
        <v>2357120</v>
      </c>
      <c r="L1197" s="39" t="s">
        <v>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9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09">
        <v>3</v>
      </c>
      <c r="AC1197" s="211" t="str">
        <f t="shared" si="332"/>
        <v/>
      </c>
    </row>
    <row r="1198" spans="1:29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333">IF(C1198&lt;&gt;"",MONTH(C1198),"")</f>
        <v>8</v>
      </c>
      <c r="C1198" s="37">
        <f t="shared" ref="C1198" si="334">E1198</f>
        <v>41882</v>
      </c>
      <c r="D1198" s="191"/>
      <c r="E1198" s="184">
        <v>41882</v>
      </c>
      <c r="F1198" s="192" t="s">
        <v>893</v>
      </c>
      <c r="G1198" s="463" t="s">
        <v>1103</v>
      </c>
      <c r="H1198" s="193" t="s">
        <v>1102</v>
      </c>
      <c r="I1198" s="251"/>
      <c r="J1198" s="251"/>
      <c r="K1198" s="563">
        <v>6928320</v>
      </c>
      <c r="L1198" s="39" t="s">
        <v>8</v>
      </c>
      <c r="M1198" s="39" t="s">
        <v>47</v>
      </c>
      <c r="N1198" s="52" t="str">
        <f>IF(AND('331-CT'!$E$7=TH!H1198,OR(L1198="331",M1198="331")),"331",IF(AND(OR(L1198="131",M1198="131"),H1198='131-CT'!$E$7),"131",""))</f>
        <v/>
      </c>
      <c r="O1198" s="890" t="str">
        <f>IF(AND('341-CT'!$E$9=H1198,OR(LEFT(L1198,3)=$O$7,LEFT(M1198,3)=$O$7)),"x","")</f>
        <v/>
      </c>
      <c r="P1198" s="52" t="str">
        <f>IF(AND($B1198&gt;='111'!$N$11,$B1198&lt;='111'!$O$11,OR($L1198=$P$7,$M1198=$P$7)),"x","")</f>
        <v>x</v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09"/>
      <c r="AC1198" s="211" t="str">
        <f t="shared" ref="AC1198" si="335">IF(H1198=VLOOKUP(H1198,DSKH,1,0),"","x")</f>
        <v/>
      </c>
    </row>
    <row r="1199" spans="1:29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324"/>
        <v>7</v>
      </c>
      <c r="C1199" s="37">
        <f t="shared" si="325"/>
        <v>41849</v>
      </c>
      <c r="D1199" s="191" t="s">
        <v>1222</v>
      </c>
      <c r="E1199" s="184">
        <v>41849</v>
      </c>
      <c r="F1199" s="192" t="s">
        <v>1012</v>
      </c>
      <c r="G1199" s="463" t="s">
        <v>1106</v>
      </c>
      <c r="H1199" s="7" t="s">
        <v>1010</v>
      </c>
      <c r="I1199" s="251">
        <v>1852</v>
      </c>
      <c r="J1199" s="251">
        <v>9600</v>
      </c>
      <c r="K1199" s="563">
        <f>ROUND(I1199*J1199,0)</f>
        <v>17779200</v>
      </c>
      <c r="L1199" s="39" t="s">
        <v>159</v>
      </c>
      <c r="M1199" s="39" t="s">
        <v>8</v>
      </c>
      <c r="N1199" s="52" t="str">
        <f>IF(AND('331-CT'!$E$7=TH!H1199,OR(L1199="331",M1199="331")),"331",IF(AND(OR(L1199="131",M1199="131"),H1199='131-CT'!$E$7),"131",""))</f>
        <v>331</v>
      </c>
      <c r="O1199" s="89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09">
        <v>3</v>
      </c>
      <c r="AC1199" s="211" t="str">
        <f t="shared" si="332"/>
        <v/>
      </c>
    </row>
    <row r="1200" spans="1:29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324"/>
        <v>7</v>
      </c>
      <c r="C1200" s="37">
        <f t="shared" si="325"/>
        <v>41849</v>
      </c>
      <c r="D1200" s="191" t="s">
        <v>1222</v>
      </c>
      <c r="E1200" s="184">
        <v>41849</v>
      </c>
      <c r="F1200" s="192" t="s">
        <v>1013</v>
      </c>
      <c r="G1200" s="463" t="s">
        <v>1106</v>
      </c>
      <c r="H1200" s="7" t="s">
        <v>1010</v>
      </c>
      <c r="I1200" s="251"/>
      <c r="J1200" s="251"/>
      <c r="K1200" s="563">
        <v>1777920</v>
      </c>
      <c r="L1200" s="39" t="s">
        <v>9</v>
      </c>
      <c r="M1200" s="39" t="s">
        <v>8</v>
      </c>
      <c r="N1200" s="52" t="str">
        <f>IF(AND('331-CT'!$E$7=TH!H1200,OR(L1200="331",M1200="331")),"331",IF(AND(OR(L1200="131",M1200="131"),H1200='131-CT'!$E$7),"131",""))</f>
        <v>331</v>
      </c>
      <c r="O1200" s="89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09">
        <v>3</v>
      </c>
      <c r="AC1200" s="211" t="str">
        <f t="shared" si="332"/>
        <v/>
      </c>
    </row>
    <row r="1201" spans="1:29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ref="B1201" si="336">IF(C1201&lt;&gt;"",MONTH(C1201),"")</f>
        <v>7</v>
      </c>
      <c r="C1201" s="37">
        <f t="shared" ref="C1201" si="337">E1201</f>
        <v>41849</v>
      </c>
      <c r="D1201" s="191"/>
      <c r="E1201" s="184">
        <v>41849</v>
      </c>
      <c r="F1201" s="192" t="s">
        <v>893</v>
      </c>
      <c r="G1201" s="463" t="s">
        <v>1106</v>
      </c>
      <c r="H1201" s="7" t="s">
        <v>1010</v>
      </c>
      <c r="I1201" s="251"/>
      <c r="J1201" s="251"/>
      <c r="K1201" s="563">
        <v>19557120</v>
      </c>
      <c r="L1201" s="39" t="s">
        <v>8</v>
      </c>
      <c r="M1201" s="39" t="s">
        <v>47</v>
      </c>
      <c r="N1201" s="52" t="str">
        <f>IF(AND('331-CT'!$E$7=TH!H1201,OR(L1201="331",M1201="331")),"331",IF(AND(OR(L1201="131",M1201="131"),H1201='131-CT'!$E$7),"131",""))</f>
        <v>331</v>
      </c>
      <c r="O1201" s="890" t="str">
        <f>IF(AND('341-CT'!$E$9=H1201,OR(LEFT(L1201,3)=$O$7,LEFT(M1201,3)=$O$7)),"x","")</f>
        <v/>
      </c>
      <c r="P1201" s="52" t="str">
        <f>IF(AND($B1201&gt;='111'!$N$11,$B1201&lt;='111'!$O$11,OR($L1201=$P$7,$M1201=$P$7)),"x","")</f>
        <v>x</v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09"/>
    </row>
    <row r="1202" spans="1:29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324"/>
        <v>7</v>
      </c>
      <c r="C1202" s="191">
        <f t="shared" si="325"/>
        <v>41850</v>
      </c>
      <c r="D1202" s="191" t="s">
        <v>1232</v>
      </c>
      <c r="E1202" s="37">
        <v>41850</v>
      </c>
      <c r="F1202" s="192" t="s">
        <v>1017</v>
      </c>
      <c r="G1202" s="463" t="s">
        <v>1020</v>
      </c>
      <c r="H1202" s="7" t="s">
        <v>1015</v>
      </c>
      <c r="I1202" s="251">
        <v>1500</v>
      </c>
      <c r="J1202" s="251">
        <v>11000</v>
      </c>
      <c r="K1202" s="563">
        <f>ROUND(I1202*J1202,0)</f>
        <v>16500000</v>
      </c>
      <c r="L1202" s="39" t="s">
        <v>161</v>
      </c>
      <c r="M1202" s="39" t="s">
        <v>8</v>
      </c>
      <c r="N1202" s="52" t="str">
        <f>IF(AND('331-CT'!$E$7=TH!H1202,OR(L1202="331",M1202="331")),"331",IF(AND(OR(L1202="131",M1202="131"),H1202='131-CT'!$E$7),"131",""))</f>
        <v/>
      </c>
      <c r="O1202" s="89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09">
        <v>3</v>
      </c>
    </row>
    <row r="1203" spans="1:29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324"/>
        <v>7</v>
      </c>
      <c r="C1203" s="191">
        <f t="shared" si="325"/>
        <v>41850</v>
      </c>
      <c r="D1203" s="191" t="s">
        <v>1232</v>
      </c>
      <c r="E1203" s="37">
        <v>41850</v>
      </c>
      <c r="F1203" s="192" t="s">
        <v>1018</v>
      </c>
      <c r="G1203" s="463" t="s">
        <v>1020</v>
      </c>
      <c r="H1203" s="7" t="s">
        <v>1015</v>
      </c>
      <c r="I1203" s="251"/>
      <c r="J1203" s="251"/>
      <c r="K1203" s="563">
        <v>1650000</v>
      </c>
      <c r="L1203" s="39" t="s">
        <v>9</v>
      </c>
      <c r="M1203" s="39" t="s">
        <v>8</v>
      </c>
      <c r="N1203" s="52" t="str">
        <f>IF(AND('331-CT'!$E$7=TH!H1203,OR(L1203="331",M1203="331")),"331",IF(AND(OR(L1203="131",M1203="131"),H1203='131-CT'!$E$7),"131",""))</f>
        <v/>
      </c>
      <c r="O1203" s="89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09">
        <v>3</v>
      </c>
    </row>
    <row r="1204" spans="1:29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ref="B1204" si="338">IF(C1204&lt;&gt;"",MONTH(C1204),"")</f>
        <v>7</v>
      </c>
      <c r="C1204" s="191">
        <f t="shared" ref="C1204" si="339">E1204</f>
        <v>41850</v>
      </c>
      <c r="D1204" s="191"/>
      <c r="E1204" s="37">
        <v>41850</v>
      </c>
      <c r="F1204" s="192" t="s">
        <v>893</v>
      </c>
      <c r="G1204" s="463" t="s">
        <v>1020</v>
      </c>
      <c r="H1204" s="7" t="s">
        <v>1015</v>
      </c>
      <c r="I1204" s="251"/>
      <c r="J1204" s="251"/>
      <c r="K1204" s="563">
        <v>18150000</v>
      </c>
      <c r="L1204" s="39" t="s">
        <v>8</v>
      </c>
      <c r="M1204" s="39" t="s">
        <v>47</v>
      </c>
      <c r="N1204" s="52" t="str">
        <f>IF(AND('331-CT'!$E$7=TH!H1204,OR(L1204="331",M1204="331")),"331",IF(AND(OR(L1204="131",M1204="131"),H1204='131-CT'!$E$7),"131",""))</f>
        <v/>
      </c>
      <c r="O1204" s="890" t="str">
        <f>IF(AND('341-CT'!$E$9=H1204,OR(LEFT(L1204,3)=$O$7,LEFT(M1204,3)=$O$7)),"x","")</f>
        <v/>
      </c>
      <c r="P1204" s="52" t="str">
        <f>IF(AND($B1204&gt;='111'!$N$11,$B1204&lt;='111'!$O$11,OR($L1204=$P$7,$M1204=$P$7)),"x","")</f>
        <v>x</v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09"/>
    </row>
    <row r="1205" spans="1:29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324"/>
        <v>7</v>
      </c>
      <c r="C1205" s="37">
        <f t="shared" si="325"/>
        <v>41850</v>
      </c>
      <c r="D1205" s="191" t="s">
        <v>1223</v>
      </c>
      <c r="E1205" s="184">
        <v>41850</v>
      </c>
      <c r="F1205" s="192" t="s">
        <v>1012</v>
      </c>
      <c r="G1205" s="463" t="s">
        <v>1109</v>
      </c>
      <c r="H1205" s="7" t="s">
        <v>1010</v>
      </c>
      <c r="I1205" s="254">
        <v>4756</v>
      </c>
      <c r="J1205" s="254">
        <v>9600</v>
      </c>
      <c r="K1205" s="563">
        <f>ROUND(I1205*J1205,0)</f>
        <v>45657600</v>
      </c>
      <c r="L1205" s="39" t="s">
        <v>159</v>
      </c>
      <c r="M1205" s="39" t="s">
        <v>8</v>
      </c>
      <c r="N1205" s="52" t="str">
        <f>IF(AND('331-CT'!$E$7=TH!H1205,OR(L1205="331",M1205="331")),"331",IF(AND(OR(L1205="131",M1205="131"),H1205='131-CT'!$E$7),"131",""))</f>
        <v>331</v>
      </c>
      <c r="O1205" s="89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09">
        <v>3</v>
      </c>
      <c r="AC1205" s="211" t="str">
        <f t="shared" ref="AC1205:AC1219" si="340">IF(H1205=VLOOKUP(H1205,DSKH,1,0),"","x")</f>
        <v/>
      </c>
    </row>
    <row r="1206" spans="1:29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324"/>
        <v>7</v>
      </c>
      <c r="C1206" s="37">
        <f t="shared" si="325"/>
        <v>41850</v>
      </c>
      <c r="D1206" s="191" t="s">
        <v>1223</v>
      </c>
      <c r="E1206" s="184">
        <v>41850</v>
      </c>
      <c r="F1206" s="192" t="s">
        <v>1108</v>
      </c>
      <c r="G1206" s="463" t="s">
        <v>1109</v>
      </c>
      <c r="H1206" s="7" t="s">
        <v>1010</v>
      </c>
      <c r="I1206" s="254">
        <v>1305</v>
      </c>
      <c r="J1206" s="254">
        <v>9600</v>
      </c>
      <c r="K1206" s="563">
        <f>ROUND(I1206*J1206,0)</f>
        <v>12528000</v>
      </c>
      <c r="L1206" s="39" t="s">
        <v>159</v>
      </c>
      <c r="M1206" s="39" t="s">
        <v>8</v>
      </c>
      <c r="N1206" s="52" t="str">
        <f>IF(AND('331-CT'!$E$7=TH!H1206,OR(L1206="331",M1206="331")),"331",IF(AND(OR(L1206="131",M1206="131"),H1206='131-CT'!$E$7),"131",""))</f>
        <v>331</v>
      </c>
      <c r="O1206" s="89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09">
        <v>3</v>
      </c>
      <c r="AC1206" s="211" t="str">
        <f t="shared" si="340"/>
        <v/>
      </c>
    </row>
    <row r="1207" spans="1:29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324"/>
        <v>7</v>
      </c>
      <c r="C1207" s="37">
        <f t="shared" si="325"/>
        <v>41850</v>
      </c>
      <c r="D1207" s="191" t="s">
        <v>1223</v>
      </c>
      <c r="E1207" s="184">
        <v>41850</v>
      </c>
      <c r="F1207" s="192" t="s">
        <v>1107</v>
      </c>
      <c r="G1207" s="463" t="s">
        <v>1109</v>
      </c>
      <c r="H1207" s="7" t="s">
        <v>1010</v>
      </c>
      <c r="I1207" s="251"/>
      <c r="J1207" s="251"/>
      <c r="K1207" s="563">
        <v>5818560</v>
      </c>
      <c r="L1207" s="39" t="s">
        <v>9</v>
      </c>
      <c r="M1207" s="39" t="s">
        <v>8</v>
      </c>
      <c r="N1207" s="52" t="str">
        <f>IF(AND('331-CT'!$E$7=TH!H1207,OR(L1207="331",M1207="331")),"331",IF(AND(OR(L1207="131",M1207="131"),H1207='131-CT'!$E$7),"131",""))</f>
        <v>331</v>
      </c>
      <c r="O1207" s="89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09">
        <v>3</v>
      </c>
      <c r="AC1207" s="211" t="str">
        <f t="shared" si="340"/>
        <v/>
      </c>
    </row>
    <row r="1208" spans="1:29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324"/>
        <v>7</v>
      </c>
      <c r="C1208" s="191">
        <f t="shared" si="325"/>
        <v>41851</v>
      </c>
      <c r="D1208" s="191" t="s">
        <v>1233</v>
      </c>
      <c r="E1208" s="37">
        <v>41851</v>
      </c>
      <c r="F1208" s="192" t="s">
        <v>1017</v>
      </c>
      <c r="G1208" s="462" t="s">
        <v>1021</v>
      </c>
      <c r="H1208" s="7" t="s">
        <v>1015</v>
      </c>
      <c r="I1208" s="748">
        <v>500</v>
      </c>
      <c r="J1208" s="748">
        <v>11000</v>
      </c>
      <c r="K1208" s="563">
        <f>ROUND(I1208*J1208,0)</f>
        <v>5500000</v>
      </c>
      <c r="L1208" s="39" t="s">
        <v>161</v>
      </c>
      <c r="M1208" s="39" t="s">
        <v>8</v>
      </c>
      <c r="N1208" s="52" t="str">
        <f>IF(AND('331-CT'!$E$7=TH!H1208,OR(L1208="331",M1208="331")),"331",IF(AND(OR(L1208="131",M1208="131"),H1208='131-CT'!$E$7),"131",""))</f>
        <v/>
      </c>
      <c r="O1208" s="89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>x</v>
      </c>
      <c r="AB1208" s="809">
        <v>3</v>
      </c>
      <c r="AC1208" s="211" t="str">
        <f t="shared" si="340"/>
        <v/>
      </c>
    </row>
    <row r="1209" spans="1:29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324"/>
        <v>7</v>
      </c>
      <c r="C1209" s="191">
        <f t="shared" si="325"/>
        <v>41851</v>
      </c>
      <c r="D1209" s="191" t="s">
        <v>1233</v>
      </c>
      <c r="E1209" s="37">
        <v>41851</v>
      </c>
      <c r="F1209" s="291" t="s">
        <v>1022</v>
      </c>
      <c r="G1209" s="462" t="s">
        <v>1021</v>
      </c>
      <c r="H1209" s="7" t="s">
        <v>1015</v>
      </c>
      <c r="I1209" s="748">
        <v>25</v>
      </c>
      <c r="J1209" s="748">
        <v>20000</v>
      </c>
      <c r="K1209" s="563">
        <f>ROUND(I1209*J1209,0)</f>
        <v>500000</v>
      </c>
      <c r="L1209" s="39" t="s">
        <v>161</v>
      </c>
      <c r="M1209" s="39" t="s">
        <v>8</v>
      </c>
      <c r="N1209" s="52" t="str">
        <f>IF(AND('331-CT'!$E$7=TH!H1209,OR(L1209="331",M1209="331")),"331",IF(AND(OR(L1209="131",M1209="131"),H1209='131-CT'!$E$7),"131",""))</f>
        <v/>
      </c>
      <c r="O1209" s="89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>x</v>
      </c>
      <c r="AB1209" s="809">
        <v>3</v>
      </c>
      <c r="AC1209" s="211" t="str">
        <f t="shared" si="340"/>
        <v/>
      </c>
    </row>
    <row r="1210" spans="1:29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324"/>
        <v>7</v>
      </c>
      <c r="C1210" s="191">
        <f t="shared" si="325"/>
        <v>41851</v>
      </c>
      <c r="D1210" s="191" t="s">
        <v>1233</v>
      </c>
      <c r="E1210" s="37">
        <v>41851</v>
      </c>
      <c r="F1210" s="189" t="s">
        <v>1023</v>
      </c>
      <c r="G1210" s="462" t="s">
        <v>1021</v>
      </c>
      <c r="H1210" s="7" t="s">
        <v>1015</v>
      </c>
      <c r="I1210" s="748">
        <v>100</v>
      </c>
      <c r="J1210" s="748">
        <v>20000</v>
      </c>
      <c r="K1210" s="563">
        <f>ROUND(I1210*J1210,0)</f>
        <v>2000000</v>
      </c>
      <c r="L1210" s="39" t="s">
        <v>161</v>
      </c>
      <c r="M1210" s="39" t="s">
        <v>8</v>
      </c>
      <c r="N1210" s="52" t="str">
        <f>IF(AND('331-CT'!$E$7=TH!H1210,OR(L1210="331",M1210="331")),"331",IF(AND(OR(L1210="131",M1210="131"),H1210='131-CT'!$E$7),"131",""))</f>
        <v/>
      </c>
      <c r="O1210" s="89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>x</v>
      </c>
      <c r="AB1210" s="809">
        <v>3</v>
      </c>
      <c r="AC1210" s="211" t="str">
        <f t="shared" si="340"/>
        <v/>
      </c>
    </row>
    <row r="1211" spans="1:29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324"/>
        <v>7</v>
      </c>
      <c r="C1211" s="191">
        <f t="shared" si="325"/>
        <v>41851</v>
      </c>
      <c r="D1211" s="191" t="s">
        <v>1233</v>
      </c>
      <c r="E1211" s="37">
        <v>41851</v>
      </c>
      <c r="F1211" s="192" t="s">
        <v>1018</v>
      </c>
      <c r="G1211" s="462" t="s">
        <v>1021</v>
      </c>
      <c r="H1211" s="7" t="s">
        <v>1015</v>
      </c>
      <c r="I1211" s="748"/>
      <c r="J1211" s="748"/>
      <c r="K1211" s="563">
        <v>800000</v>
      </c>
      <c r="L1211" s="39" t="s">
        <v>9</v>
      </c>
      <c r="M1211" s="39" t="s">
        <v>8</v>
      </c>
      <c r="N1211" s="52" t="str">
        <f>IF(AND('331-CT'!$E$7=TH!H1211,OR(L1211="331",M1211="331")),"331",IF(AND(OR(L1211="131",M1211="131"),H1211='131-CT'!$E$7),"131",""))</f>
        <v/>
      </c>
      <c r="O1211" s="89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>x</v>
      </c>
      <c r="AB1211" s="809">
        <v>3</v>
      </c>
      <c r="AC1211" s="211" t="str">
        <f t="shared" si="340"/>
        <v/>
      </c>
    </row>
    <row r="1212" spans="1:29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ref="B1212" si="341">IF(C1212&lt;&gt;"",MONTH(C1212),"")</f>
        <v>7</v>
      </c>
      <c r="C1212" s="191">
        <f t="shared" ref="C1212" si="342">E1212</f>
        <v>41851</v>
      </c>
      <c r="D1212" s="191"/>
      <c r="E1212" s="37">
        <v>41851</v>
      </c>
      <c r="F1212" s="192" t="s">
        <v>893</v>
      </c>
      <c r="G1212" s="462" t="s">
        <v>1021</v>
      </c>
      <c r="H1212" s="7" t="s">
        <v>1015</v>
      </c>
      <c r="I1212" s="748"/>
      <c r="J1212" s="748"/>
      <c r="K1212" s="563">
        <v>8800000</v>
      </c>
      <c r="L1212" s="39" t="s">
        <v>8</v>
      </c>
      <c r="M1212" s="39" t="s">
        <v>47</v>
      </c>
      <c r="N1212" s="52" t="str">
        <f>IF(AND('331-CT'!$E$7=TH!H1212,OR(L1212="331",M1212="331")),"331",IF(AND(OR(L1212="131",M1212="131"),H1212='131-CT'!$E$7),"131",""))</f>
        <v/>
      </c>
      <c r="O1212" s="890" t="str">
        <f>IF(AND('341-CT'!$E$9=H1212,OR(LEFT(L1212,3)=$O$7,LEFT(M1212,3)=$O$7)),"x","")</f>
        <v/>
      </c>
      <c r="P1212" s="52" t="str">
        <f>IF(AND($B1212&gt;='111'!$N$11,$B1212&lt;='111'!$O$11,OR($L1212=$P$7,$M1212=$P$7)),"x","")</f>
        <v>x</v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>x</v>
      </c>
      <c r="AB1212" s="809"/>
      <c r="AC1212" s="211" t="str">
        <f t="shared" ref="AC1212" si="343">IF(H1212=VLOOKUP(H1212,DSKH,1,0),"","x")</f>
        <v/>
      </c>
    </row>
    <row r="1213" spans="1:29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324"/>
        <v>8</v>
      </c>
      <c r="C1213" s="37">
        <f t="shared" si="325"/>
        <v>41852</v>
      </c>
      <c r="D1213" s="191" t="s">
        <v>1224</v>
      </c>
      <c r="E1213" s="191">
        <v>41852</v>
      </c>
      <c r="F1213" s="291" t="s">
        <v>1075</v>
      </c>
      <c r="G1213" s="463" t="s">
        <v>1110</v>
      </c>
      <c r="H1213" s="7" t="s">
        <v>1073</v>
      </c>
      <c r="I1213" s="251">
        <v>5710</v>
      </c>
      <c r="J1213" s="251">
        <v>8500</v>
      </c>
      <c r="K1213" s="563">
        <f>ROUND(I1213*J1213,0)</f>
        <v>48535000</v>
      </c>
      <c r="L1213" s="39" t="s">
        <v>159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9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>x</v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>x</v>
      </c>
      <c r="AB1213" s="809">
        <v>3</v>
      </c>
      <c r="AC1213" s="211" t="str">
        <f t="shared" si="340"/>
        <v/>
      </c>
    </row>
    <row r="1214" spans="1:29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324"/>
        <v>8</v>
      </c>
      <c r="C1214" s="37">
        <f t="shared" si="325"/>
        <v>41852</v>
      </c>
      <c r="D1214" s="191" t="s">
        <v>1224</v>
      </c>
      <c r="E1214" s="191">
        <v>41852</v>
      </c>
      <c r="F1214" s="291" t="s">
        <v>1076</v>
      </c>
      <c r="G1214" s="463" t="s">
        <v>1110</v>
      </c>
      <c r="H1214" s="7" t="s">
        <v>1073</v>
      </c>
      <c r="I1214" s="251"/>
      <c r="J1214" s="251"/>
      <c r="K1214" s="563">
        <v>4853500</v>
      </c>
      <c r="L1214" s="39" t="s">
        <v>9</v>
      </c>
      <c r="M1214" s="39" t="s">
        <v>8</v>
      </c>
      <c r="N1214" s="52" t="str">
        <f>IF(AND('331-CT'!$E$7=TH!H1214,OR(L1214="331",M1214="331")),"331",IF(AND(OR(L1214="131",M1214="131"),H1214='131-CT'!$E$7),"131",""))</f>
        <v/>
      </c>
      <c r="O1214" s="89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>x</v>
      </c>
      <c r="AB1214" s="809">
        <v>3</v>
      </c>
      <c r="AC1214" s="211" t="str">
        <f t="shared" si="340"/>
        <v/>
      </c>
    </row>
    <row r="1215" spans="1:29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324"/>
        <v>8</v>
      </c>
      <c r="C1215" s="37">
        <f t="shared" si="325"/>
        <v>41853</v>
      </c>
      <c r="D1215" s="191" t="s">
        <v>1225</v>
      </c>
      <c r="E1215" s="191">
        <v>41853</v>
      </c>
      <c r="F1215" s="291" t="s">
        <v>1075</v>
      </c>
      <c r="G1215" s="462" t="s">
        <v>538</v>
      </c>
      <c r="H1215" s="7" t="s">
        <v>1050</v>
      </c>
      <c r="I1215" s="251">
        <v>11999</v>
      </c>
      <c r="J1215" s="251">
        <v>7600</v>
      </c>
      <c r="K1215" s="563">
        <f>ROUND(I1215*J1215,0)</f>
        <v>91192400</v>
      </c>
      <c r="L1215" s="39" t="s">
        <v>159</v>
      </c>
      <c r="M1215" s="39" t="s">
        <v>8</v>
      </c>
      <c r="N1215" s="52" t="str">
        <f>IF(AND('331-CT'!$E$7=TH!H1215,OR(L1215="331",M1215="331")),"331",IF(AND(OR(L1215="131",M1215="131"),H1215='131-CT'!$E$7),"131",""))</f>
        <v/>
      </c>
      <c r="O1215" s="89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>x</v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>x</v>
      </c>
      <c r="AB1215" s="809">
        <v>3</v>
      </c>
      <c r="AC1215" s="211" t="str">
        <f t="shared" si="340"/>
        <v/>
      </c>
    </row>
    <row r="1216" spans="1:29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324"/>
        <v>8</v>
      </c>
      <c r="C1216" s="37">
        <f t="shared" si="325"/>
        <v>41853</v>
      </c>
      <c r="D1216" s="191" t="s">
        <v>1225</v>
      </c>
      <c r="E1216" s="191">
        <v>41853</v>
      </c>
      <c r="F1216" s="40" t="s">
        <v>1049</v>
      </c>
      <c r="G1216" s="462" t="s">
        <v>538</v>
      </c>
      <c r="H1216" s="7" t="s">
        <v>1050</v>
      </c>
      <c r="I1216" s="251"/>
      <c r="J1216" s="251"/>
      <c r="K1216" s="563">
        <v>9119240</v>
      </c>
      <c r="L1216" s="39" t="s">
        <v>9</v>
      </c>
      <c r="M1216" s="39" t="s">
        <v>8</v>
      </c>
      <c r="N1216" s="52" t="str">
        <f>IF(AND('331-CT'!$E$7=TH!H1216,OR(L1216="331",M1216="331")),"331",IF(AND(OR(L1216="131",M1216="131"),H1216='131-CT'!$E$7),"131",""))</f>
        <v/>
      </c>
      <c r="O1216" s="89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>x</v>
      </c>
      <c r="AB1216" s="809">
        <v>3</v>
      </c>
      <c r="AC1216" s="211" t="str">
        <f t="shared" si="340"/>
        <v/>
      </c>
    </row>
    <row r="1217" spans="1:29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ref="B1217:B1288" si="344">IF(C1217&lt;&gt;"",MONTH(C1217),"")</f>
        <v>8</v>
      </c>
      <c r="C1217" s="37">
        <f t="shared" ref="C1217:C1288" si="345">E1217</f>
        <v>41853</v>
      </c>
      <c r="D1217" s="191" t="s">
        <v>1226</v>
      </c>
      <c r="E1217" s="191">
        <v>41853</v>
      </c>
      <c r="F1217" s="291" t="s">
        <v>1075</v>
      </c>
      <c r="G1217" s="462" t="s">
        <v>1111</v>
      </c>
      <c r="H1217" s="7" t="s">
        <v>1010</v>
      </c>
      <c r="I1217" s="251">
        <v>1320</v>
      </c>
      <c r="J1217" s="251">
        <v>9000</v>
      </c>
      <c r="K1217" s="563">
        <f>ROUND(I1217*J1217,0)</f>
        <v>11880000</v>
      </c>
      <c r="L1217" s="39" t="s">
        <v>159</v>
      </c>
      <c r="M1217" s="39" t="s">
        <v>8</v>
      </c>
      <c r="N1217" s="52" t="str">
        <f>IF(AND('331-CT'!$E$7=TH!H1217,OR(L1217="331",M1217="331")),"331",IF(AND(OR(L1217="131",M1217="131"),H1217='131-CT'!$E$7),"131",""))</f>
        <v>331</v>
      </c>
      <c r="O1217" s="89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>x</v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>x</v>
      </c>
      <c r="AB1217" s="809">
        <v>3</v>
      </c>
      <c r="AC1217" s="211" t="str">
        <f t="shared" si="340"/>
        <v/>
      </c>
    </row>
    <row r="1218" spans="1:29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344"/>
        <v>8</v>
      </c>
      <c r="C1218" s="37">
        <f t="shared" si="345"/>
        <v>41853</v>
      </c>
      <c r="D1218" s="191" t="s">
        <v>1226</v>
      </c>
      <c r="E1218" s="191">
        <v>41853</v>
      </c>
      <c r="F1218" s="192" t="s">
        <v>1012</v>
      </c>
      <c r="G1218" s="462" t="s">
        <v>1111</v>
      </c>
      <c r="H1218" s="7" t="s">
        <v>1010</v>
      </c>
      <c r="I1218" s="251">
        <v>4926</v>
      </c>
      <c r="J1218" s="251">
        <v>9600</v>
      </c>
      <c r="K1218" s="563">
        <f>ROUND(I1218*J1218,0)</f>
        <v>47289600</v>
      </c>
      <c r="L1218" s="39" t="s">
        <v>159</v>
      </c>
      <c r="M1218" s="39" t="s">
        <v>8</v>
      </c>
      <c r="N1218" s="52" t="str">
        <f>IF(AND('331-CT'!$E$7=TH!H1218,OR(L1218="331",M1218="331")),"331",IF(AND(OR(L1218="131",M1218="131"),H1218='131-CT'!$E$7),"131",""))</f>
        <v>331</v>
      </c>
      <c r="O1218" s="89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>x</v>
      </c>
      <c r="AB1218" s="809">
        <v>3</v>
      </c>
      <c r="AC1218" s="211" t="str">
        <f t="shared" si="340"/>
        <v/>
      </c>
    </row>
    <row r="1219" spans="1:29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344"/>
        <v>8</v>
      </c>
      <c r="C1219" s="37">
        <f t="shared" si="345"/>
        <v>41853</v>
      </c>
      <c r="D1219" s="191" t="s">
        <v>1226</v>
      </c>
      <c r="E1219" s="191">
        <v>41853</v>
      </c>
      <c r="F1219" s="192" t="s">
        <v>1107</v>
      </c>
      <c r="G1219" s="462" t="s">
        <v>1111</v>
      </c>
      <c r="H1219" s="7" t="s">
        <v>1010</v>
      </c>
      <c r="I1219" s="251"/>
      <c r="J1219" s="251"/>
      <c r="K1219" s="563">
        <v>5916960</v>
      </c>
      <c r="L1219" s="39" t="s">
        <v>9</v>
      </c>
      <c r="M1219" s="39" t="s">
        <v>8</v>
      </c>
      <c r="N1219" s="52" t="str">
        <f>IF(AND('331-CT'!$E$7=TH!H1219,OR(L1219="331",M1219="331")),"331",IF(AND(OR(L1219="131",M1219="131"),H1219='131-CT'!$E$7),"131",""))</f>
        <v>331</v>
      </c>
      <c r="O1219" s="89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>x</v>
      </c>
      <c r="AB1219" s="809">
        <v>3</v>
      </c>
      <c r="AC1219" s="211" t="str">
        <f t="shared" si="340"/>
        <v/>
      </c>
    </row>
    <row r="1220" spans="1:29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344"/>
        <v>8</v>
      </c>
      <c r="C1220" s="191">
        <f t="shared" si="345"/>
        <v>41857</v>
      </c>
      <c r="D1220" s="191"/>
      <c r="E1220" s="37">
        <v>41857</v>
      </c>
      <c r="F1220" s="189" t="s">
        <v>989</v>
      </c>
      <c r="G1220" s="463" t="s">
        <v>1024</v>
      </c>
      <c r="H1220" s="7" t="s">
        <v>988</v>
      </c>
      <c r="I1220" s="251"/>
      <c r="J1220" s="251"/>
      <c r="K1220" s="563">
        <f>119081+402027</f>
        <v>521108</v>
      </c>
      <c r="L1220" s="39" t="s">
        <v>83</v>
      </c>
      <c r="M1220" s="39" t="s">
        <v>47</v>
      </c>
      <c r="N1220" s="52" t="str">
        <f>IF(AND('331-CT'!$E$7=TH!H1220,OR(L1220="331",M1220="331")),"331",IF(AND(OR(L1220="131",M1220="131"),H1220='131-CT'!$E$7),"131",""))</f>
        <v/>
      </c>
      <c r="O1220" s="890" t="str">
        <f>IF(AND('341-CT'!$E$9=H1220,OR(LEFT(L1220,3)=$O$7,LEFT(M1220,3)=$O$7)),"x","")</f>
        <v/>
      </c>
      <c r="P1220" s="52" t="str">
        <f>IF(AND($B1220&gt;='111'!$N$11,$B1220&lt;='111'!$O$11,OR($L1220=$P$7,$M1220=$P$7)),"x","")</f>
        <v>x</v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>x</v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>x</v>
      </c>
      <c r="AB1220" s="809">
        <v>3</v>
      </c>
    </row>
    <row r="1221" spans="1:29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344"/>
        <v>8</v>
      </c>
      <c r="C1221" s="191">
        <f t="shared" si="345"/>
        <v>41857</v>
      </c>
      <c r="D1221" s="191"/>
      <c r="E1221" s="37">
        <v>41857</v>
      </c>
      <c r="F1221" s="189" t="s">
        <v>990</v>
      </c>
      <c r="G1221" s="463" t="s">
        <v>1024</v>
      </c>
      <c r="H1221" s="7" t="s">
        <v>988</v>
      </c>
      <c r="I1221" s="251"/>
      <c r="J1221" s="251"/>
      <c r="K1221" s="563">
        <f>11908+40203</f>
        <v>52111</v>
      </c>
      <c r="L1221" s="39" t="s">
        <v>9</v>
      </c>
      <c r="M1221" s="39" t="s">
        <v>47</v>
      </c>
      <c r="N1221" s="52" t="str">
        <f>IF(AND('331-CT'!$E$7=TH!H1221,OR(L1221="331",M1221="331")),"331",IF(AND(OR(L1221="131",M1221="131"),H1221='131-CT'!$E$7),"131",""))</f>
        <v/>
      </c>
      <c r="O1221" s="890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>x</v>
      </c>
      <c r="AB1221" s="809">
        <v>3</v>
      </c>
    </row>
    <row r="1222" spans="1:29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344"/>
        <v>8</v>
      </c>
      <c r="C1222" s="191">
        <f t="shared" si="345"/>
        <v>41857</v>
      </c>
      <c r="D1222" s="191" t="s">
        <v>1234</v>
      </c>
      <c r="E1222" s="37">
        <v>41857</v>
      </c>
      <c r="F1222" s="192" t="s">
        <v>1017</v>
      </c>
      <c r="G1222" s="463" t="s">
        <v>1025</v>
      </c>
      <c r="H1222" s="7" t="s">
        <v>1015</v>
      </c>
      <c r="I1222" s="251">
        <v>1500</v>
      </c>
      <c r="J1222" s="251">
        <v>11000</v>
      </c>
      <c r="K1222" s="563">
        <f>ROUND(I1222*J1222,0)</f>
        <v>16500000</v>
      </c>
      <c r="L1222" s="39" t="s">
        <v>161</v>
      </c>
      <c r="M1222" s="39" t="s">
        <v>8</v>
      </c>
      <c r="N1222" s="52" t="str">
        <f>IF(AND('331-CT'!$E$7=TH!H1222,OR(L1222="331",M1222="331")),"331",IF(AND(OR(L1222="131",M1222="131"),H1222='131-CT'!$E$7),"131",""))</f>
        <v/>
      </c>
      <c r="O1222" s="89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>x</v>
      </c>
      <c r="AB1222" s="809">
        <v>3</v>
      </c>
    </row>
    <row r="1223" spans="1:29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344"/>
        <v>8</v>
      </c>
      <c r="C1223" s="191">
        <f t="shared" si="345"/>
        <v>41857</v>
      </c>
      <c r="D1223" s="191" t="s">
        <v>1234</v>
      </c>
      <c r="E1223" s="37">
        <v>41857</v>
      </c>
      <c r="F1223" s="192" t="s">
        <v>1018</v>
      </c>
      <c r="G1223" s="463" t="s">
        <v>1025</v>
      </c>
      <c r="H1223" s="7" t="s">
        <v>1015</v>
      </c>
      <c r="I1223" s="251"/>
      <c r="J1223" s="251"/>
      <c r="K1223" s="563">
        <v>1650000</v>
      </c>
      <c r="L1223" s="39" t="s">
        <v>9</v>
      </c>
      <c r="M1223" s="39" t="s">
        <v>8</v>
      </c>
      <c r="N1223" s="52" t="str">
        <f>IF(AND('331-CT'!$E$7=TH!H1223,OR(L1223="331",M1223="331")),"331",IF(AND(OR(L1223="131",M1223="131"),H1223='131-CT'!$E$7),"131",""))</f>
        <v/>
      </c>
      <c r="O1223" s="89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>x</v>
      </c>
      <c r="AB1223" s="809">
        <v>3</v>
      </c>
    </row>
    <row r="1224" spans="1:29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ref="B1224" si="346">IF(C1224&lt;&gt;"",MONTH(C1224),"")</f>
        <v>8</v>
      </c>
      <c r="C1224" s="191">
        <f t="shared" ref="C1224" si="347">E1224</f>
        <v>41857</v>
      </c>
      <c r="D1224" s="191"/>
      <c r="E1224" s="37">
        <v>41857</v>
      </c>
      <c r="F1224" s="192" t="s">
        <v>893</v>
      </c>
      <c r="G1224" s="463" t="s">
        <v>1025</v>
      </c>
      <c r="H1224" s="7" t="s">
        <v>1015</v>
      </c>
      <c r="I1224" s="251"/>
      <c r="J1224" s="251"/>
      <c r="K1224" s="563">
        <v>18150000</v>
      </c>
      <c r="L1224" s="39" t="s">
        <v>8</v>
      </c>
      <c r="M1224" s="39" t="s">
        <v>47</v>
      </c>
      <c r="N1224" s="52" t="str">
        <f>IF(AND('331-CT'!$E$7=TH!H1224,OR(L1224="331",M1224="331")),"331",IF(AND(OR(L1224="131",M1224="131"),H1224='131-CT'!$E$7),"131",""))</f>
        <v/>
      </c>
      <c r="O1224" s="890" t="str">
        <f>IF(AND('341-CT'!$E$9=H1224,OR(LEFT(L1224,3)=$O$7,LEFT(M1224,3)=$O$7)),"x","")</f>
        <v/>
      </c>
      <c r="P1224" s="52" t="str">
        <f>IF(AND($B1224&gt;='111'!$N$11,$B1224&lt;='111'!$O$11,OR($L1224=$P$7,$M1224=$P$7)),"x","")</f>
        <v>x</v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>x</v>
      </c>
      <c r="AB1224" s="809"/>
    </row>
    <row r="1225" spans="1:29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344"/>
        <v>8</v>
      </c>
      <c r="C1225" s="37">
        <f t="shared" si="345"/>
        <v>41858</v>
      </c>
      <c r="D1225" s="191" t="s">
        <v>1227</v>
      </c>
      <c r="E1225" s="724">
        <v>41858</v>
      </c>
      <c r="F1225" s="291" t="s">
        <v>1075</v>
      </c>
      <c r="G1225" s="462" t="s">
        <v>1112</v>
      </c>
      <c r="H1225" s="7" t="s">
        <v>1010</v>
      </c>
      <c r="I1225" s="251">
        <v>4253</v>
      </c>
      <c r="J1225" s="251">
        <v>9200</v>
      </c>
      <c r="K1225" s="563">
        <f>ROUND(I1225*J1225,0)</f>
        <v>39127600</v>
      </c>
      <c r="L1225" s="39" t="s">
        <v>159</v>
      </c>
      <c r="M1225" s="39" t="s">
        <v>8</v>
      </c>
      <c r="N1225" s="52" t="str">
        <f>IF(AND('331-CT'!$E$7=TH!H1225,OR(L1225="331",M1225="331")),"331",IF(AND(OR(L1225="131",M1225="131"),H1225='131-CT'!$E$7),"131",""))</f>
        <v>331</v>
      </c>
      <c r="O1225" s="89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>x</v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>x</v>
      </c>
      <c r="AB1225" s="809">
        <v>3</v>
      </c>
      <c r="AC1225" s="211" t="str">
        <f t="shared" ref="AC1225:AC1235" si="348">IF(H1225=VLOOKUP(H1225,DSKH,1,0),"","x")</f>
        <v/>
      </c>
    </row>
    <row r="1226" spans="1:29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344"/>
        <v>8</v>
      </c>
      <c r="C1226" s="37">
        <f t="shared" si="345"/>
        <v>41858</v>
      </c>
      <c r="D1226" s="191" t="s">
        <v>1227</v>
      </c>
      <c r="E1226" s="724">
        <v>41858</v>
      </c>
      <c r="F1226" s="40" t="s">
        <v>1049</v>
      </c>
      <c r="G1226" s="462" t="s">
        <v>1112</v>
      </c>
      <c r="H1226" s="7" t="s">
        <v>1010</v>
      </c>
      <c r="I1226" s="251"/>
      <c r="J1226" s="251"/>
      <c r="K1226" s="563">
        <v>3912760</v>
      </c>
      <c r="L1226" s="39" t="s">
        <v>9</v>
      </c>
      <c r="M1226" s="39" t="s">
        <v>8</v>
      </c>
      <c r="N1226" s="52" t="str">
        <f>IF(AND('331-CT'!$E$7=TH!H1226,OR(L1226="331",M1226="331")),"331",IF(AND(OR(L1226="131",M1226="131"),H1226='131-CT'!$E$7),"131",""))</f>
        <v>331</v>
      </c>
      <c r="O1226" s="89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>x</v>
      </c>
      <c r="AB1226" s="809">
        <v>3</v>
      </c>
      <c r="AC1226" s="211" t="str">
        <f t="shared" si="348"/>
        <v/>
      </c>
    </row>
    <row r="1227" spans="1:29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344"/>
        <v>8</v>
      </c>
      <c r="C1227" s="37">
        <f t="shared" si="345"/>
        <v>41858</v>
      </c>
      <c r="D1227" s="191" t="s">
        <v>1235</v>
      </c>
      <c r="E1227" s="37">
        <v>41858</v>
      </c>
      <c r="F1227" s="40" t="s">
        <v>1127</v>
      </c>
      <c r="G1227" s="462" t="s">
        <v>829</v>
      </c>
      <c r="H1227" s="7" t="s">
        <v>1126</v>
      </c>
      <c r="I1227" s="251">
        <v>55</v>
      </c>
      <c r="J1227" s="251">
        <v>360000</v>
      </c>
      <c r="K1227" s="563">
        <f>ROUND(I1227*J1227,0)</f>
        <v>19800000</v>
      </c>
      <c r="L1227" s="39" t="s">
        <v>161</v>
      </c>
      <c r="M1227" s="39" t="s">
        <v>8</v>
      </c>
      <c r="N1227" s="52" t="str">
        <f>IF(AND('331-CT'!$E$7=TH!H1227,OR(L1227="331",M1227="331")),"331",IF(AND(OR(L1227="131",M1227="131"),H1227='131-CT'!$E$7),"131",""))</f>
        <v/>
      </c>
      <c r="O1227" s="89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>x</v>
      </c>
      <c r="AB1227" s="809">
        <v>3</v>
      </c>
      <c r="AC1227" s="211" t="str">
        <f t="shared" si="348"/>
        <v/>
      </c>
    </row>
    <row r="1228" spans="1:29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ref="B1228" si="349">IF(C1228&lt;&gt;"",MONTH(C1228),"")</f>
        <v>8</v>
      </c>
      <c r="C1228" s="37">
        <f t="shared" ref="C1228" si="350">E1228</f>
        <v>41858</v>
      </c>
      <c r="D1228" s="37"/>
      <c r="E1228" s="37">
        <v>41858</v>
      </c>
      <c r="F1228" s="192" t="s">
        <v>893</v>
      </c>
      <c r="G1228" s="462" t="s">
        <v>829</v>
      </c>
      <c r="H1228" s="7" t="s">
        <v>1126</v>
      </c>
      <c r="I1228" s="251"/>
      <c r="J1228" s="251"/>
      <c r="K1228" s="563">
        <v>19800000</v>
      </c>
      <c r="L1228" s="39" t="s">
        <v>8</v>
      </c>
      <c r="M1228" s="39" t="s">
        <v>47</v>
      </c>
      <c r="N1228" s="52" t="str">
        <f>IF(AND('331-CT'!$E$7=TH!H1228,OR(L1228="331",M1228="331")),"331",IF(AND(OR(L1228="131",M1228="131"),H1228='131-CT'!$E$7),"131",""))</f>
        <v/>
      </c>
      <c r="O1228" s="890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>x</v>
      </c>
      <c r="AB1228" s="809"/>
    </row>
    <row r="1229" spans="1:29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344"/>
        <v>8</v>
      </c>
      <c r="C1229" s="37">
        <f t="shared" si="345"/>
        <v>41859</v>
      </c>
      <c r="D1229" s="191" t="s">
        <v>1228</v>
      </c>
      <c r="E1229" s="724">
        <v>41859</v>
      </c>
      <c r="F1229" s="192" t="s">
        <v>1012</v>
      </c>
      <c r="G1229" s="462" t="s">
        <v>1113</v>
      </c>
      <c r="H1229" s="7" t="s">
        <v>1010</v>
      </c>
      <c r="I1229" s="251">
        <v>5274</v>
      </c>
      <c r="J1229" s="251">
        <v>9600</v>
      </c>
      <c r="K1229" s="563">
        <f>ROUND(I1229*J1229,0)</f>
        <v>50630400</v>
      </c>
      <c r="L1229" s="39" t="s">
        <v>159</v>
      </c>
      <c r="M1229" s="39" t="s">
        <v>8</v>
      </c>
      <c r="N1229" s="52" t="str">
        <f>IF(AND('331-CT'!$E$7=TH!H1229,OR(L1229="331",M1229="331")),"331",IF(AND(OR(L1229="131",M1229="131"),H1229='131-CT'!$E$7),"131",""))</f>
        <v>331</v>
      </c>
      <c r="O1229" s="89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>x</v>
      </c>
      <c r="AB1229" s="809">
        <v>3</v>
      </c>
      <c r="AC1229" s="211" t="str">
        <f t="shared" si="348"/>
        <v/>
      </c>
    </row>
    <row r="1230" spans="1:29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344"/>
        <v>8</v>
      </c>
      <c r="C1230" s="37">
        <f t="shared" si="345"/>
        <v>41859</v>
      </c>
      <c r="D1230" s="191" t="s">
        <v>1228</v>
      </c>
      <c r="E1230" s="724">
        <v>41859</v>
      </c>
      <c r="F1230" s="192" t="s">
        <v>1107</v>
      </c>
      <c r="G1230" s="462" t="s">
        <v>1113</v>
      </c>
      <c r="H1230" s="7" t="s">
        <v>1010</v>
      </c>
      <c r="I1230" s="251"/>
      <c r="J1230" s="251"/>
      <c r="K1230" s="563">
        <v>5063040</v>
      </c>
      <c r="L1230" s="39" t="s">
        <v>9</v>
      </c>
      <c r="M1230" s="39" t="s">
        <v>8</v>
      </c>
      <c r="N1230" s="52" t="str">
        <f>IF(AND('331-CT'!$E$7=TH!H1230,OR(L1230="331",M1230="331")),"331",IF(AND(OR(L1230="131",M1230="131"),H1230='131-CT'!$E$7),"131",""))</f>
        <v>331</v>
      </c>
      <c r="O1230" s="89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>x</v>
      </c>
      <c r="AB1230" s="809">
        <v>3</v>
      </c>
      <c r="AC1230" s="211" t="str">
        <f t="shared" si="348"/>
        <v/>
      </c>
    </row>
    <row r="1231" spans="1:29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344"/>
        <v>8</v>
      </c>
      <c r="C1231" s="37">
        <f t="shared" si="345"/>
        <v>41864</v>
      </c>
      <c r="D1231" s="191" t="s">
        <v>1229</v>
      </c>
      <c r="E1231" s="724">
        <v>41864</v>
      </c>
      <c r="F1231" s="192" t="s">
        <v>1012</v>
      </c>
      <c r="G1231" s="462" t="s">
        <v>1114</v>
      </c>
      <c r="H1231" s="7" t="s">
        <v>1010</v>
      </c>
      <c r="I1231" s="251">
        <v>1694</v>
      </c>
      <c r="J1231" s="251">
        <v>9600</v>
      </c>
      <c r="K1231" s="563">
        <f>ROUND(I1231*J1231,0)</f>
        <v>16262400</v>
      </c>
      <c r="L1231" s="39" t="s">
        <v>159</v>
      </c>
      <c r="M1231" s="39" t="s">
        <v>8</v>
      </c>
      <c r="N1231" s="52" t="str">
        <f>IF(AND('331-CT'!$E$7=TH!H1231,OR(L1231="331",M1231="331")),"331",IF(AND(OR(L1231="131",M1231="131"),H1231='131-CT'!$E$7),"131",""))</f>
        <v>331</v>
      </c>
      <c r="O1231" s="89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>x</v>
      </c>
      <c r="AB1231" s="809">
        <v>3</v>
      </c>
      <c r="AC1231" s="211" t="str">
        <f t="shared" si="348"/>
        <v/>
      </c>
    </row>
    <row r="1232" spans="1:29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344"/>
        <v>8</v>
      </c>
      <c r="C1232" s="37">
        <f t="shared" si="345"/>
        <v>41864</v>
      </c>
      <c r="D1232" s="191" t="s">
        <v>1229</v>
      </c>
      <c r="E1232" s="724">
        <v>41864</v>
      </c>
      <c r="F1232" s="291" t="s">
        <v>1075</v>
      </c>
      <c r="G1232" s="462" t="s">
        <v>1114</v>
      </c>
      <c r="H1232" s="7" t="s">
        <v>1010</v>
      </c>
      <c r="I1232" s="251">
        <v>3430</v>
      </c>
      <c r="J1232" s="251">
        <v>9200</v>
      </c>
      <c r="K1232" s="563">
        <f>ROUND(I1232*J1232,0)</f>
        <v>31556000</v>
      </c>
      <c r="L1232" s="39" t="s">
        <v>159</v>
      </c>
      <c r="M1232" s="39" t="s">
        <v>8</v>
      </c>
      <c r="N1232" s="52" t="str">
        <f>IF(AND('331-CT'!$E$7=TH!H1232,OR(L1232="331",M1232="331")),"331",IF(AND(OR(L1232="131",M1232="131"),H1232='131-CT'!$E$7),"131",""))</f>
        <v>331</v>
      </c>
      <c r="O1232" s="89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>x</v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>x</v>
      </c>
      <c r="AB1232" s="809">
        <v>3</v>
      </c>
      <c r="AC1232" s="211" t="str">
        <f t="shared" si="348"/>
        <v/>
      </c>
    </row>
    <row r="1233" spans="1:29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344"/>
        <v>8</v>
      </c>
      <c r="C1233" s="37">
        <f t="shared" si="345"/>
        <v>41864</v>
      </c>
      <c r="D1233" s="191" t="s">
        <v>1229</v>
      </c>
      <c r="E1233" s="724">
        <v>41864</v>
      </c>
      <c r="F1233" s="192" t="s">
        <v>1107</v>
      </c>
      <c r="G1233" s="462" t="s">
        <v>1114</v>
      </c>
      <c r="H1233" s="7" t="s">
        <v>1010</v>
      </c>
      <c r="I1233" s="251"/>
      <c r="J1233" s="251"/>
      <c r="K1233" s="563">
        <v>4781840</v>
      </c>
      <c r="L1233" s="39" t="s">
        <v>9</v>
      </c>
      <c r="M1233" s="39" t="s">
        <v>8</v>
      </c>
      <c r="N1233" s="52" t="str">
        <f>IF(AND('331-CT'!$E$7=TH!H1233,OR(L1233="331",M1233="331")),"331",IF(AND(OR(L1233="131",M1233="131"),H1233='131-CT'!$E$7),"131",""))</f>
        <v>331</v>
      </c>
      <c r="O1233" s="89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>x</v>
      </c>
      <c r="AB1233" s="809">
        <v>3</v>
      </c>
      <c r="AC1233" s="211" t="str">
        <f t="shared" si="348"/>
        <v/>
      </c>
    </row>
    <row r="1234" spans="1:29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344"/>
        <v>8</v>
      </c>
      <c r="C1234" s="191">
        <f t="shared" si="345"/>
        <v>41870</v>
      </c>
      <c r="D1234" s="191" t="s">
        <v>1366</v>
      </c>
      <c r="E1234" s="37">
        <v>41870</v>
      </c>
      <c r="F1234" s="189" t="s">
        <v>330</v>
      </c>
      <c r="G1234" s="463" t="s">
        <v>1026</v>
      </c>
      <c r="H1234" s="7" t="s">
        <v>351</v>
      </c>
      <c r="I1234" s="251">
        <v>24</v>
      </c>
      <c r="J1234" s="251">
        <v>45000</v>
      </c>
      <c r="K1234" s="563">
        <f>ROUND(I1234*J1234,0)</f>
        <v>1080000</v>
      </c>
      <c r="L1234" s="39" t="s">
        <v>161</v>
      </c>
      <c r="M1234" s="39" t="s">
        <v>8</v>
      </c>
      <c r="N1234" s="52" t="str">
        <f>IF(AND('331-CT'!$E$7=TH!H1234,OR(L1234="331",M1234="331")),"331",IF(AND(OR(L1234="131",M1234="131"),H1234='131-CT'!$E$7),"131",""))</f>
        <v/>
      </c>
      <c r="O1234" s="89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>x</v>
      </c>
      <c r="AB1234" s="809">
        <v>3</v>
      </c>
      <c r="AC1234" s="211" t="str">
        <f t="shared" si="348"/>
        <v/>
      </c>
    </row>
    <row r="1235" spans="1:29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344"/>
        <v>8</v>
      </c>
      <c r="C1235" s="191">
        <f t="shared" si="345"/>
        <v>41870</v>
      </c>
      <c r="D1235" s="191" t="s">
        <v>1366</v>
      </c>
      <c r="E1235" s="37">
        <v>41870</v>
      </c>
      <c r="F1235" s="189" t="s">
        <v>1008</v>
      </c>
      <c r="G1235" s="463" t="s">
        <v>1026</v>
      </c>
      <c r="H1235" s="7" t="s">
        <v>351</v>
      </c>
      <c r="I1235" s="251"/>
      <c r="J1235" s="251"/>
      <c r="K1235" s="563">
        <v>108000</v>
      </c>
      <c r="L1235" s="39" t="s">
        <v>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9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>x</v>
      </c>
      <c r="AB1235" s="809">
        <v>3</v>
      </c>
      <c r="AC1235" s="211" t="str">
        <f t="shared" si="348"/>
        <v/>
      </c>
    </row>
    <row r="1236" spans="1:29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344"/>
        <v>8</v>
      </c>
      <c r="C1236" s="191">
        <f t="shared" si="345"/>
        <v>41870</v>
      </c>
      <c r="D1236" s="191"/>
      <c r="E1236" s="37">
        <v>41870</v>
      </c>
      <c r="F1236" s="192" t="s">
        <v>893</v>
      </c>
      <c r="G1236" s="463" t="s">
        <v>1026</v>
      </c>
      <c r="H1236" s="7" t="s">
        <v>351</v>
      </c>
      <c r="I1236" s="251"/>
      <c r="J1236" s="251"/>
      <c r="K1236" s="563">
        <v>1188000</v>
      </c>
      <c r="L1236" s="39" t="s">
        <v>8</v>
      </c>
      <c r="M1236" s="39" t="s">
        <v>47</v>
      </c>
      <c r="N1236" s="52" t="str">
        <f>IF(AND('331-CT'!$E$7=TH!H1236,OR(L1236="331",M1236="331")),"331",IF(AND(OR(L1236="131",M1236="131"),H1236='131-CT'!$E$7),"131",""))</f>
        <v/>
      </c>
      <c r="O1236" s="890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>x</v>
      </c>
      <c r="AB1236" s="809"/>
    </row>
    <row r="1237" spans="1:29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344"/>
        <v>8</v>
      </c>
      <c r="C1237" s="191">
        <f t="shared" si="345"/>
        <v>41872</v>
      </c>
      <c r="D1237" s="191"/>
      <c r="E1237" s="37">
        <v>41872</v>
      </c>
      <c r="F1237" s="40" t="s">
        <v>1029</v>
      </c>
      <c r="G1237" s="462" t="s">
        <v>1031</v>
      </c>
      <c r="H1237" s="7" t="s">
        <v>1028</v>
      </c>
      <c r="I1237" s="748"/>
      <c r="J1237" s="748"/>
      <c r="K1237" s="563">
        <f>6762+850873</f>
        <v>857635</v>
      </c>
      <c r="L1237" s="39" t="s">
        <v>83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90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>x</v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>x</v>
      </c>
      <c r="AB1237" s="809">
        <v>3</v>
      </c>
    </row>
    <row r="1238" spans="1:29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344"/>
        <v>8</v>
      </c>
      <c r="C1238" s="191">
        <f t="shared" si="345"/>
        <v>41872</v>
      </c>
      <c r="D1238" s="191"/>
      <c r="E1238" s="37">
        <v>41872</v>
      </c>
      <c r="F1238" s="40" t="s">
        <v>1030</v>
      </c>
      <c r="G1238" s="462" t="s">
        <v>1027</v>
      </c>
      <c r="H1238" s="7" t="s">
        <v>1028</v>
      </c>
      <c r="I1238" s="748"/>
      <c r="J1238" s="748"/>
      <c r="K1238" s="563">
        <f>338+85087</f>
        <v>85425</v>
      </c>
      <c r="L1238" s="39" t="s">
        <v>9</v>
      </c>
      <c r="M1238" s="39" t="s">
        <v>47</v>
      </c>
      <c r="N1238" s="52" t="str">
        <f>IF(AND('331-CT'!$E$7=TH!H1238,OR(L1238="331",M1238="331")),"331",IF(AND(OR(L1238="131",M1238="131"),H1238='131-CT'!$E$7),"131",""))</f>
        <v/>
      </c>
      <c r="O1238" s="890" t="str">
        <f>IF(AND('341-CT'!$E$9=H1238,OR(LEFT(L1238,3)=$O$7,LEFT(M1238,3)=$O$7)),"x","")</f>
        <v/>
      </c>
      <c r="P1238" s="52" t="str">
        <f>IF(AND($B1238&gt;='111'!$N$11,$B1238&lt;='111'!$O$11,OR($L1238=$P$7,$M1238=$P$7)),"x","")</f>
        <v>x</v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>x</v>
      </c>
      <c r="AB1238" s="809">
        <v>3</v>
      </c>
    </row>
    <row r="1239" spans="1:29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344"/>
        <v>8</v>
      </c>
      <c r="C1239" s="191">
        <f t="shared" si="345"/>
        <v>41873</v>
      </c>
      <c r="D1239" s="191" t="s">
        <v>1367</v>
      </c>
      <c r="E1239" s="37">
        <v>41873</v>
      </c>
      <c r="F1239" s="192" t="s">
        <v>1017</v>
      </c>
      <c r="G1239" s="463" t="s">
        <v>1032</v>
      </c>
      <c r="H1239" s="7" t="s">
        <v>1015</v>
      </c>
      <c r="I1239" s="251">
        <v>1500</v>
      </c>
      <c r="J1239" s="251">
        <v>11000</v>
      </c>
      <c r="K1239" s="563">
        <f>ROUND(I1239*J1239,0)</f>
        <v>16500000</v>
      </c>
      <c r="L1239" s="39" t="s">
        <v>161</v>
      </c>
      <c r="M1239" s="39" t="s">
        <v>8</v>
      </c>
      <c r="N1239" s="52" t="str">
        <f>IF(AND('331-CT'!$E$7=TH!H1239,OR(L1239="331",M1239="331")),"331",IF(AND(OR(L1239="131",M1239="131"),H1239='131-CT'!$E$7),"131",""))</f>
        <v/>
      </c>
      <c r="O1239" s="89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>x</v>
      </c>
      <c r="AB1239" s="809">
        <v>3</v>
      </c>
    </row>
    <row r="1240" spans="1:29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344"/>
        <v>8</v>
      </c>
      <c r="C1240" s="191">
        <f t="shared" si="345"/>
        <v>41873</v>
      </c>
      <c r="D1240" s="191" t="s">
        <v>1367</v>
      </c>
      <c r="E1240" s="37">
        <v>41873</v>
      </c>
      <c r="F1240" s="192" t="s">
        <v>1018</v>
      </c>
      <c r="G1240" s="463" t="s">
        <v>1032</v>
      </c>
      <c r="H1240" s="7" t="s">
        <v>1015</v>
      </c>
      <c r="I1240" s="251"/>
      <c r="J1240" s="251"/>
      <c r="K1240" s="563">
        <v>1650000</v>
      </c>
      <c r="L1240" s="39" t="s">
        <v>9</v>
      </c>
      <c r="M1240" s="39" t="s">
        <v>8</v>
      </c>
      <c r="N1240" s="52" t="str">
        <f>IF(AND('331-CT'!$E$7=TH!H1240,OR(L1240="331",M1240="331")),"331",IF(AND(OR(L1240="131",M1240="131"),H1240='131-CT'!$E$7),"131",""))</f>
        <v/>
      </c>
      <c r="O1240" s="89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>x</v>
      </c>
      <c r="AB1240" s="809">
        <v>3</v>
      </c>
    </row>
    <row r="1241" spans="1:29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ref="B1241" si="351">IF(C1241&lt;&gt;"",MONTH(C1241),"")</f>
        <v>8</v>
      </c>
      <c r="C1241" s="191">
        <f t="shared" ref="C1241" si="352">E1241</f>
        <v>41873</v>
      </c>
      <c r="D1241" s="191"/>
      <c r="E1241" s="37">
        <v>41873</v>
      </c>
      <c r="F1241" s="192" t="s">
        <v>893</v>
      </c>
      <c r="G1241" s="463" t="s">
        <v>1032</v>
      </c>
      <c r="H1241" s="7" t="s">
        <v>1015</v>
      </c>
      <c r="I1241" s="251"/>
      <c r="J1241" s="251"/>
      <c r="K1241" s="563">
        <v>18150000</v>
      </c>
      <c r="L1241" s="39" t="s">
        <v>8</v>
      </c>
      <c r="M1241" s="39" t="s">
        <v>47</v>
      </c>
      <c r="N1241" s="52" t="str">
        <f>IF(AND('331-CT'!$E$7=TH!H1241,OR(L1241="331",M1241="331")),"331",IF(AND(OR(L1241="131",M1241="131"),H1241='131-CT'!$E$7),"131",""))</f>
        <v/>
      </c>
      <c r="O1241" s="890" t="str">
        <f>IF(AND('341-CT'!$E$9=H1241,OR(LEFT(L1241,3)=$O$7,LEFT(M1241,3)=$O$7)),"x","")</f>
        <v/>
      </c>
      <c r="P1241" s="52" t="str">
        <f>IF(AND($B1241&gt;='111'!$N$11,$B1241&lt;='111'!$O$11,OR($L1241=$P$7,$M1241=$P$7)),"x","")</f>
        <v>x</v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>x</v>
      </c>
      <c r="AB1241" s="809"/>
    </row>
    <row r="1242" spans="1:29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344"/>
        <v>8</v>
      </c>
      <c r="C1242" s="191">
        <f t="shared" si="345"/>
        <v>41875</v>
      </c>
      <c r="D1242" s="191"/>
      <c r="E1242" s="37">
        <v>41875</v>
      </c>
      <c r="F1242" s="189" t="s">
        <v>991</v>
      </c>
      <c r="G1242" s="463" t="s">
        <v>1033</v>
      </c>
      <c r="H1242" s="7" t="s">
        <v>993</v>
      </c>
      <c r="I1242" s="251"/>
      <c r="J1242" s="251"/>
      <c r="K1242" s="563">
        <v>966048</v>
      </c>
      <c r="L1242" s="39" t="s">
        <v>83</v>
      </c>
      <c r="M1242" s="39" t="s">
        <v>47</v>
      </c>
      <c r="N1242" s="52" t="str">
        <f>IF(AND('331-CT'!$E$7=TH!H1242,OR(L1242="331",M1242="331")),"331",IF(AND(OR(L1242="131",M1242="131"),H1242='131-CT'!$E$7),"131",""))</f>
        <v/>
      </c>
      <c r="O1242" s="890" t="str">
        <f>IF(AND('341-CT'!$E$9=H1242,OR(LEFT(L1242,3)=$O$7,LEFT(M1242,3)=$O$7)),"x","")</f>
        <v/>
      </c>
      <c r="P1242" s="52" t="str">
        <f>IF(AND($B1242&gt;='111'!$N$11,$B1242&lt;='111'!$O$11,OR($L1242=$P$7,$M1242=$P$7)),"x","")</f>
        <v>x</v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>x</v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>x</v>
      </c>
      <c r="AB1242" s="809">
        <v>3</v>
      </c>
    </row>
    <row r="1243" spans="1:29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344"/>
        <v>8</v>
      </c>
      <c r="C1243" s="191">
        <f t="shared" si="345"/>
        <v>41875</v>
      </c>
      <c r="D1243" s="191"/>
      <c r="E1243" s="37">
        <v>41875</v>
      </c>
      <c r="F1243" s="189" t="s">
        <v>992</v>
      </c>
      <c r="G1243" s="463" t="s">
        <v>1033</v>
      </c>
      <c r="H1243" s="7" t="s">
        <v>993</v>
      </c>
      <c r="I1243" s="251"/>
      <c r="J1243" s="251"/>
      <c r="K1243" s="563">
        <v>96605</v>
      </c>
      <c r="L1243" s="39" t="s">
        <v>9</v>
      </c>
      <c r="M1243" s="39" t="s">
        <v>47</v>
      </c>
      <c r="N1243" s="52" t="str">
        <f>IF(AND('331-CT'!$E$7=TH!H1243,OR(L1243="331",M1243="331")),"331",IF(AND(OR(L1243="131",M1243="131"),H1243='131-CT'!$E$7),"131",""))</f>
        <v/>
      </c>
      <c r="O1243" s="890" t="str">
        <f>IF(AND('341-CT'!$E$9=H1243,OR(LEFT(L1243,3)=$O$7,LEFT(M1243,3)=$O$7)),"x","")</f>
        <v/>
      </c>
      <c r="P1243" s="52" t="str">
        <f>IF(AND($B1243&gt;='111'!$N$11,$B1243&lt;='111'!$O$11,OR($L1243=$P$7,$M1243=$P$7)),"x","")</f>
        <v>x</v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>x</v>
      </c>
      <c r="AB1243" s="809">
        <v>3</v>
      </c>
    </row>
    <row r="1244" spans="1:29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344"/>
        <v>8</v>
      </c>
      <c r="C1244" s="191">
        <f t="shared" si="345"/>
        <v>41881</v>
      </c>
      <c r="D1244" s="191"/>
      <c r="E1244" s="37">
        <v>41881</v>
      </c>
      <c r="F1244" s="192" t="s">
        <v>372</v>
      </c>
      <c r="G1244" s="463" t="s">
        <v>837</v>
      </c>
      <c r="H1244" s="7" t="s">
        <v>998</v>
      </c>
      <c r="I1244" s="251"/>
      <c r="J1244" s="251"/>
      <c r="K1244" s="563">
        <v>2420000</v>
      </c>
      <c r="L1244" s="39" t="s">
        <v>167</v>
      </c>
      <c r="M1244" s="39" t="s">
        <v>47</v>
      </c>
      <c r="N1244" s="52" t="str">
        <f>IF(AND('331-CT'!$E$7=TH!H1244,OR(L1244="331",M1244="331")),"331",IF(AND(OR(L1244="131",M1244="131"),H1244='131-CT'!$E$7),"131",""))</f>
        <v/>
      </c>
      <c r="O1244" s="890" t="str">
        <f>IF(AND('341-CT'!$E$9=H1244,OR(LEFT(L1244,3)=$O$7,LEFT(M1244,3)=$O$7)),"x","")</f>
        <v/>
      </c>
      <c r="P1244" s="52" t="str">
        <f>IF(AND($B1244&gt;='111'!$N$11,$B1244&lt;='111'!$O$11,OR($L1244=$P$7,$M1244=$P$7)),"x","")</f>
        <v>x</v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>x</v>
      </c>
      <c r="AB1244" s="809">
        <v>3</v>
      </c>
    </row>
    <row r="1245" spans="1:29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344"/>
        <v>8</v>
      </c>
      <c r="C1245" s="191">
        <f t="shared" si="345"/>
        <v>41881</v>
      </c>
      <c r="D1245" s="191"/>
      <c r="E1245" s="37">
        <v>41881</v>
      </c>
      <c r="F1245" s="192" t="s">
        <v>999</v>
      </c>
      <c r="G1245" s="463" t="s">
        <v>837</v>
      </c>
      <c r="H1245" s="7" t="s">
        <v>998</v>
      </c>
      <c r="I1245" s="251"/>
      <c r="J1245" s="251"/>
      <c r="K1245" s="563">
        <v>242000</v>
      </c>
      <c r="L1245" s="39" t="s">
        <v>9</v>
      </c>
      <c r="M1245" s="39" t="s">
        <v>47</v>
      </c>
      <c r="N1245" s="52" t="str">
        <f>IF(AND('331-CT'!$E$7=TH!H1245,OR(L1245="331",M1245="331")),"331",IF(AND(OR(L1245="131",M1245="131"),H1245='131-CT'!$E$7),"131",""))</f>
        <v/>
      </c>
      <c r="O1245" s="890" t="str">
        <f>IF(AND('341-CT'!$E$9=H1245,OR(LEFT(L1245,3)=$O$7,LEFT(M1245,3)=$O$7)),"x","")</f>
        <v/>
      </c>
      <c r="P1245" s="52" t="str">
        <f>IF(AND($B1245&gt;='111'!$N$11,$B1245&lt;='111'!$O$11,OR($L1245=$P$7,$M1245=$P$7)),"x","")</f>
        <v>x</v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>x</v>
      </c>
      <c r="AB1245" s="809">
        <v>3</v>
      </c>
    </row>
    <row r="1246" spans="1:29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344"/>
        <v>9</v>
      </c>
      <c r="C1246" s="191">
        <f t="shared" si="345"/>
        <v>41889</v>
      </c>
      <c r="D1246" s="191"/>
      <c r="E1246" s="37">
        <v>41889</v>
      </c>
      <c r="F1246" s="189" t="s">
        <v>989</v>
      </c>
      <c r="G1246" s="463" t="s">
        <v>1034</v>
      </c>
      <c r="H1246" s="7" t="s">
        <v>988</v>
      </c>
      <c r="I1246" s="251"/>
      <c r="J1246" s="251"/>
      <c r="K1246" s="563">
        <f>156281+118949+332641</f>
        <v>607871</v>
      </c>
      <c r="L1246" s="39" t="s">
        <v>83</v>
      </c>
      <c r="M1246" s="39" t="s">
        <v>47</v>
      </c>
      <c r="N1246" s="52" t="str">
        <f>IF(AND('331-CT'!$E$7=TH!H1246,OR(L1246="331",M1246="331")),"331",IF(AND(OR(L1246="131",M1246="131"),H1246='131-CT'!$E$7),"131",""))</f>
        <v/>
      </c>
      <c r="O1246" s="890" t="str">
        <f>IF(AND('341-CT'!$E$9=H1246,OR(LEFT(L1246,3)=$O$7,LEFT(M1246,3)=$O$7)),"x","")</f>
        <v/>
      </c>
      <c r="P1246" s="52" t="str">
        <f>IF(AND($B1246&gt;='111'!$N$11,$B1246&lt;='111'!$O$11,OR($L1246=$P$7,$M1246=$P$7)),"x","")</f>
        <v>x</v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>x</v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>x</v>
      </c>
      <c r="AB1246" s="809">
        <v>3</v>
      </c>
    </row>
    <row r="1247" spans="1:29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344"/>
        <v>9</v>
      </c>
      <c r="C1247" s="191">
        <f t="shared" si="345"/>
        <v>41889</v>
      </c>
      <c r="D1247" s="191"/>
      <c r="E1247" s="37">
        <v>41889</v>
      </c>
      <c r="F1247" s="189" t="s">
        <v>990</v>
      </c>
      <c r="G1247" s="463" t="s">
        <v>1034</v>
      </c>
      <c r="H1247" s="7" t="s">
        <v>988</v>
      </c>
      <c r="I1247" s="251"/>
      <c r="J1247" s="251"/>
      <c r="K1247" s="563">
        <f>15628+11895+33264</f>
        <v>60787</v>
      </c>
      <c r="L1247" s="39" t="s">
        <v>9</v>
      </c>
      <c r="M1247" s="39" t="s">
        <v>47</v>
      </c>
      <c r="N1247" s="52" t="str">
        <f>IF(AND('331-CT'!$E$7=TH!H1247,OR(L1247="331",M1247="331")),"331",IF(AND(OR(L1247="131",M1247="131"),H1247='131-CT'!$E$7),"131",""))</f>
        <v/>
      </c>
      <c r="O1247" s="890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>x</v>
      </c>
      <c r="AB1247" s="809">
        <v>3</v>
      </c>
    </row>
    <row r="1248" spans="1:29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344"/>
        <v>9</v>
      </c>
      <c r="C1248" s="191">
        <f t="shared" si="345"/>
        <v>41897</v>
      </c>
      <c r="D1248" s="191"/>
      <c r="E1248" s="37">
        <v>41897</v>
      </c>
      <c r="F1248" s="192" t="s">
        <v>372</v>
      </c>
      <c r="G1248" s="463" t="s">
        <v>861</v>
      </c>
      <c r="H1248" s="7" t="s">
        <v>998</v>
      </c>
      <c r="I1248" s="251"/>
      <c r="J1248" s="251"/>
      <c r="K1248" s="563">
        <v>4665000</v>
      </c>
      <c r="L1248" s="39" t="s">
        <v>167</v>
      </c>
      <c r="M1248" s="39" t="s">
        <v>47</v>
      </c>
      <c r="N1248" s="52" t="str">
        <f>IF(AND('331-CT'!$E$7=TH!H1248,OR(L1248="331",M1248="331")),"331",IF(AND(OR(L1248="131",M1248="131"),H1248='131-CT'!$E$7),"131",""))</f>
        <v/>
      </c>
      <c r="O1248" s="890" t="str">
        <f>IF(AND('341-CT'!$E$9=H1248,OR(LEFT(L1248,3)=$O$7,LEFT(M1248,3)=$O$7)),"x","")</f>
        <v/>
      </c>
      <c r="P1248" s="52" t="str">
        <f>IF(AND($B1248&gt;='111'!$N$11,$B1248&lt;='111'!$O$11,OR($L1248=$P$7,$M1248=$P$7)),"x","")</f>
        <v>x</v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>x</v>
      </c>
      <c r="AB1248" s="809">
        <v>3</v>
      </c>
    </row>
    <row r="1249" spans="1:29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344"/>
        <v>9</v>
      </c>
      <c r="C1249" s="191">
        <f t="shared" si="345"/>
        <v>41897</v>
      </c>
      <c r="D1249" s="191"/>
      <c r="E1249" s="37">
        <v>41897</v>
      </c>
      <c r="F1249" s="192" t="s">
        <v>999</v>
      </c>
      <c r="G1249" s="463" t="s">
        <v>861</v>
      </c>
      <c r="H1249" s="7" t="s">
        <v>998</v>
      </c>
      <c r="I1249" s="251"/>
      <c r="J1249" s="251"/>
      <c r="K1249" s="563">
        <v>466500</v>
      </c>
      <c r="L1249" s="39" t="s">
        <v>9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90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>x</v>
      </c>
      <c r="AB1249" s="809">
        <v>3</v>
      </c>
    </row>
    <row r="1250" spans="1:29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344"/>
        <v>9</v>
      </c>
      <c r="C1250" s="37">
        <f t="shared" si="345"/>
        <v>41900</v>
      </c>
      <c r="D1250" s="191" t="s">
        <v>1230</v>
      </c>
      <c r="E1250" s="37">
        <v>41900</v>
      </c>
      <c r="F1250" s="291" t="s">
        <v>1075</v>
      </c>
      <c r="G1250" s="462" t="s">
        <v>599</v>
      </c>
      <c r="H1250" s="7" t="s">
        <v>1050</v>
      </c>
      <c r="I1250" s="251">
        <v>5276</v>
      </c>
      <c r="J1250" s="251">
        <v>7600</v>
      </c>
      <c r="K1250" s="563">
        <f>ROUND(I1250*J1250,0)</f>
        <v>40097600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9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>x</v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>x</v>
      </c>
      <c r="AB1250" s="809">
        <v>3</v>
      </c>
      <c r="AC1250" s="211" t="str">
        <f t="shared" ref="AC1250:AC1257" si="353">IF(H1250=VLOOKUP(H1250,DSKH,1,0),"","x")</f>
        <v/>
      </c>
    </row>
    <row r="1251" spans="1:29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344"/>
        <v>9</v>
      </c>
      <c r="C1251" s="37">
        <f t="shared" si="345"/>
        <v>41900</v>
      </c>
      <c r="D1251" s="191" t="s">
        <v>1230</v>
      </c>
      <c r="E1251" s="37">
        <v>41900</v>
      </c>
      <c r="F1251" s="40" t="s">
        <v>1049</v>
      </c>
      <c r="G1251" s="462" t="s">
        <v>599</v>
      </c>
      <c r="H1251" s="7" t="s">
        <v>1050</v>
      </c>
      <c r="I1251" s="251"/>
      <c r="J1251" s="251"/>
      <c r="K1251" s="563">
        <v>4009760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9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>x</v>
      </c>
      <c r="AB1251" s="809">
        <v>3</v>
      </c>
      <c r="AC1251" s="211" t="str">
        <f t="shared" si="353"/>
        <v/>
      </c>
    </row>
    <row r="1252" spans="1:29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344"/>
        <v>9</v>
      </c>
      <c r="C1252" s="37">
        <f t="shared" si="345"/>
        <v>41900</v>
      </c>
      <c r="D1252" s="191" t="s">
        <v>1368</v>
      </c>
      <c r="E1252" s="37">
        <v>41900</v>
      </c>
      <c r="F1252" s="40" t="s">
        <v>1127</v>
      </c>
      <c r="G1252" s="462" t="s">
        <v>831</v>
      </c>
      <c r="H1252" s="7" t="s">
        <v>1126</v>
      </c>
      <c r="I1252" s="251">
        <v>55</v>
      </c>
      <c r="J1252" s="251">
        <v>360000</v>
      </c>
      <c r="K1252" s="563">
        <f>ROUND(I1252*J1252,0)</f>
        <v>19800000</v>
      </c>
      <c r="L1252" s="39" t="s">
        <v>161</v>
      </c>
      <c r="M1252" s="39" t="s">
        <v>8</v>
      </c>
      <c r="N1252" s="52" t="str">
        <f>IF(AND('331-CT'!$E$7=TH!H1252,OR(L1252="331",M1252="331")),"331",IF(AND(OR(L1252="131",M1252="131"),H1252='131-CT'!$E$7),"131",""))</f>
        <v/>
      </c>
      <c r="O1252" s="89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>x</v>
      </c>
      <c r="AB1252" s="809">
        <v>3</v>
      </c>
      <c r="AC1252" s="211" t="str">
        <f t="shared" si="353"/>
        <v/>
      </c>
    </row>
    <row r="1253" spans="1:29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ref="B1253" si="354">IF(C1253&lt;&gt;"",MONTH(C1253),"")</f>
        <v>9</v>
      </c>
      <c r="C1253" s="37">
        <f t="shared" ref="C1253" si="355">E1253</f>
        <v>41900</v>
      </c>
      <c r="D1253" s="37"/>
      <c r="E1253" s="37">
        <v>41900</v>
      </c>
      <c r="F1253" s="192" t="s">
        <v>893</v>
      </c>
      <c r="G1253" s="462" t="s">
        <v>831</v>
      </c>
      <c r="H1253" s="7" t="s">
        <v>1126</v>
      </c>
      <c r="I1253" s="251"/>
      <c r="J1253" s="251"/>
      <c r="K1253" s="563">
        <v>19800000</v>
      </c>
      <c r="L1253" s="39" t="s">
        <v>8</v>
      </c>
      <c r="M1253" s="39" t="s">
        <v>47</v>
      </c>
      <c r="N1253" s="52" t="str">
        <f>IF(AND('331-CT'!$E$7=TH!H1253,OR(L1253="331",M1253="331")),"331",IF(AND(OR(L1253="131",M1253="131"),H1253='131-CT'!$E$7),"131",""))</f>
        <v/>
      </c>
      <c r="O1253" s="890" t="str">
        <f>IF(AND('341-CT'!$E$9=H1253,OR(LEFT(L1253,3)=$O$7,LEFT(M1253,3)=$O$7)),"x","")</f>
        <v/>
      </c>
      <c r="P1253" s="52" t="str">
        <f>IF(AND($B1253&gt;='111'!$N$11,$B1253&lt;='111'!$O$11,OR($L1253=$P$7,$M1253=$P$7)),"x","")</f>
        <v>x</v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>x</v>
      </c>
      <c r="AB1253" s="809"/>
    </row>
    <row r="1254" spans="1:29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344"/>
        <v>9</v>
      </c>
      <c r="C1254" s="37">
        <f t="shared" si="345"/>
        <v>41901</v>
      </c>
      <c r="D1254" s="191" t="s">
        <v>1369</v>
      </c>
      <c r="E1254" s="37">
        <v>41901</v>
      </c>
      <c r="F1254" s="40" t="s">
        <v>1127</v>
      </c>
      <c r="G1254" s="462" t="s">
        <v>835</v>
      </c>
      <c r="H1254" s="7" t="s">
        <v>1126</v>
      </c>
      <c r="I1254" s="251">
        <v>55</v>
      </c>
      <c r="J1254" s="251">
        <v>360000</v>
      </c>
      <c r="K1254" s="563">
        <f>ROUND(I1254*J1254,0)</f>
        <v>19800000</v>
      </c>
      <c r="L1254" s="39" t="s">
        <v>161</v>
      </c>
      <c r="M1254" s="39" t="s">
        <v>8</v>
      </c>
      <c r="N1254" s="52" t="str">
        <f>IF(AND('331-CT'!$E$7=TH!H1254,OR(L1254="331",M1254="331")),"331",IF(AND(OR(L1254="131",M1254="131"),H1254='131-CT'!$E$7),"131",""))</f>
        <v/>
      </c>
      <c r="O1254" s="89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>x</v>
      </c>
      <c r="AB1254" s="809">
        <v>3</v>
      </c>
      <c r="AC1254" s="211" t="str">
        <f t="shared" si="353"/>
        <v/>
      </c>
    </row>
    <row r="1255" spans="1:29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ref="B1255" si="356">IF(C1255&lt;&gt;"",MONTH(C1255),"")</f>
        <v>9</v>
      </c>
      <c r="C1255" s="37">
        <f t="shared" ref="C1255" si="357">E1255</f>
        <v>41901</v>
      </c>
      <c r="D1255" s="37"/>
      <c r="E1255" s="37">
        <v>41901</v>
      </c>
      <c r="F1255" s="192" t="s">
        <v>893</v>
      </c>
      <c r="G1255" s="462" t="s">
        <v>835</v>
      </c>
      <c r="H1255" s="7" t="s">
        <v>1126</v>
      </c>
      <c r="I1255" s="251"/>
      <c r="J1255" s="251"/>
      <c r="K1255" s="563">
        <v>19800000</v>
      </c>
      <c r="L1255" s="39" t="s">
        <v>8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90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>x</v>
      </c>
      <c r="AB1255" s="809"/>
    </row>
    <row r="1256" spans="1:29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344"/>
        <v>9</v>
      </c>
      <c r="C1256" s="191">
        <f t="shared" si="345"/>
        <v>41902</v>
      </c>
      <c r="D1256" s="191" t="s">
        <v>1370</v>
      </c>
      <c r="E1256" s="37">
        <v>41902</v>
      </c>
      <c r="F1256" s="189" t="s">
        <v>330</v>
      </c>
      <c r="G1256" s="463" t="s">
        <v>1035</v>
      </c>
      <c r="H1256" s="7" t="s">
        <v>351</v>
      </c>
      <c r="I1256" s="251">
        <v>24</v>
      </c>
      <c r="J1256" s="251">
        <v>45000</v>
      </c>
      <c r="K1256" s="563">
        <f>ROUND(I1256*J1256,0)</f>
        <v>1080000</v>
      </c>
      <c r="L1256" s="39" t="s">
        <v>161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9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>x</v>
      </c>
      <c r="AB1256" s="809">
        <v>3</v>
      </c>
      <c r="AC1256" s="211" t="str">
        <f t="shared" si="353"/>
        <v/>
      </c>
    </row>
    <row r="1257" spans="1:29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344"/>
        <v>9</v>
      </c>
      <c r="C1257" s="191">
        <f t="shared" si="345"/>
        <v>41902</v>
      </c>
      <c r="D1257" s="191" t="s">
        <v>1370</v>
      </c>
      <c r="E1257" s="37">
        <v>41902</v>
      </c>
      <c r="F1257" s="189" t="s">
        <v>1008</v>
      </c>
      <c r="G1257" s="463" t="s">
        <v>1035</v>
      </c>
      <c r="H1257" s="7" t="s">
        <v>351</v>
      </c>
      <c r="I1257" s="251"/>
      <c r="J1257" s="251"/>
      <c r="K1257" s="563">
        <v>108000</v>
      </c>
      <c r="L1257" s="39" t="s">
        <v>9</v>
      </c>
      <c r="M1257" s="39" t="s">
        <v>8</v>
      </c>
      <c r="N1257" s="52" t="str">
        <f>IF(AND('331-CT'!$E$7=TH!H1257,OR(L1257="331",M1257="331")),"331",IF(AND(OR(L1257="131",M1257="131"),H1257='131-CT'!$E$7),"131",""))</f>
        <v/>
      </c>
      <c r="O1257" s="89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>x</v>
      </c>
      <c r="AB1257" s="809">
        <v>3</v>
      </c>
      <c r="AC1257" s="211" t="str">
        <f t="shared" si="353"/>
        <v/>
      </c>
    </row>
    <row r="1258" spans="1:29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344"/>
        <v>9</v>
      </c>
      <c r="C1258" s="191">
        <f t="shared" si="345"/>
        <v>41902</v>
      </c>
      <c r="D1258" s="191"/>
      <c r="E1258" s="37">
        <v>41902</v>
      </c>
      <c r="F1258" s="192" t="s">
        <v>893</v>
      </c>
      <c r="G1258" s="463" t="s">
        <v>1035</v>
      </c>
      <c r="H1258" s="7" t="s">
        <v>351</v>
      </c>
      <c r="I1258" s="251"/>
      <c r="J1258" s="251"/>
      <c r="K1258" s="563">
        <v>1188000</v>
      </c>
      <c r="L1258" s="39" t="s">
        <v>8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90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>x</v>
      </c>
      <c r="AB1258" s="809"/>
    </row>
    <row r="1259" spans="1:29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344"/>
        <v>9</v>
      </c>
      <c r="C1259" s="191">
        <f t="shared" si="345"/>
        <v>41907</v>
      </c>
      <c r="D1259" s="191"/>
      <c r="E1259" s="37">
        <v>41907</v>
      </c>
      <c r="F1259" s="192" t="s">
        <v>372</v>
      </c>
      <c r="G1259" s="463" t="s">
        <v>1036</v>
      </c>
      <c r="H1259" s="7" t="s">
        <v>998</v>
      </c>
      <c r="I1259" s="251"/>
      <c r="J1259" s="251"/>
      <c r="K1259" s="563">
        <v>3535000</v>
      </c>
      <c r="L1259" s="39" t="s">
        <v>167</v>
      </c>
      <c r="M1259" s="39" t="s">
        <v>47</v>
      </c>
      <c r="N1259" s="52" t="str">
        <f>IF(AND('331-CT'!$E$7=TH!H1259,OR(L1259="331",M1259="331")),"331",IF(AND(OR(L1259="131",M1259="131"),H1259='131-CT'!$E$7),"131",""))</f>
        <v/>
      </c>
      <c r="O1259" s="890" t="str">
        <f>IF(AND('341-CT'!$E$9=H1259,OR(LEFT(L1259,3)=$O$7,LEFT(M1259,3)=$O$7)),"x","")</f>
        <v/>
      </c>
      <c r="P1259" s="52" t="str">
        <f>IF(AND($B1259&gt;='111'!$N$11,$B1259&lt;='111'!$O$11,OR($L1259=$P$7,$M1259=$P$7)),"x","")</f>
        <v>x</v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>x</v>
      </c>
      <c r="AB1259" s="809">
        <v>3</v>
      </c>
    </row>
    <row r="1260" spans="1:29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344"/>
        <v>9</v>
      </c>
      <c r="C1260" s="191">
        <f t="shared" si="345"/>
        <v>41907</v>
      </c>
      <c r="D1260" s="191"/>
      <c r="E1260" s="37">
        <v>41907</v>
      </c>
      <c r="F1260" s="192" t="s">
        <v>999</v>
      </c>
      <c r="G1260" s="463" t="s">
        <v>1036</v>
      </c>
      <c r="H1260" s="7" t="s">
        <v>998</v>
      </c>
      <c r="I1260" s="251"/>
      <c r="J1260" s="251"/>
      <c r="K1260" s="563">
        <v>353500</v>
      </c>
      <c r="L1260" s="39" t="s">
        <v>9</v>
      </c>
      <c r="M1260" s="39" t="s">
        <v>47</v>
      </c>
      <c r="N1260" s="52" t="str">
        <f>IF(AND('331-CT'!$E$7=TH!H1260,OR(L1260="331",M1260="331")),"331",IF(AND(OR(L1260="131",M1260="131"),H1260='131-CT'!$E$7),"131",""))</f>
        <v/>
      </c>
      <c r="O1260" s="890" t="str">
        <f>IF(AND('341-CT'!$E$9=H1260,OR(LEFT(L1260,3)=$O$7,LEFT(M1260,3)=$O$7)),"x","")</f>
        <v/>
      </c>
      <c r="P1260" s="52" t="str">
        <f>IF(AND($B1260&gt;='111'!$N$11,$B1260&lt;='111'!$O$11,OR($L1260=$P$7,$M1260=$P$7)),"x","")</f>
        <v>x</v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>x</v>
      </c>
      <c r="AB1260" s="809">
        <v>3</v>
      </c>
    </row>
    <row r="1261" spans="1:29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344"/>
        <v>10</v>
      </c>
      <c r="C1261" s="37">
        <f t="shared" si="345"/>
        <v>41913</v>
      </c>
      <c r="D1261" s="191" t="s">
        <v>1207</v>
      </c>
      <c r="E1261" s="37">
        <v>41913</v>
      </c>
      <c r="F1261" s="40" t="s">
        <v>1127</v>
      </c>
      <c r="G1261" s="462" t="s">
        <v>837</v>
      </c>
      <c r="H1261" s="7" t="s">
        <v>1126</v>
      </c>
      <c r="I1261" s="251">
        <v>55</v>
      </c>
      <c r="J1261" s="251">
        <v>360000</v>
      </c>
      <c r="K1261" s="563">
        <f>ROUND(I1261*J1261,0)</f>
        <v>19800000</v>
      </c>
      <c r="L1261" s="39" t="s">
        <v>161</v>
      </c>
      <c r="M1261" s="39" t="s">
        <v>8</v>
      </c>
      <c r="N1261" s="52" t="str">
        <f>IF(AND('331-CT'!$E$7=TH!H1261,OR(L1261="331",M1261="331")),"331",IF(AND(OR(L1261="131",M1261="131"),H1261='131-CT'!$E$7),"131",""))</f>
        <v/>
      </c>
      <c r="O1261" s="89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09">
        <v>4</v>
      </c>
    </row>
    <row r="1262" spans="1:29" s="211" customFormat="1" ht="15.75" customHeight="1">
      <c r="A1262" s="204">
        <f>IF(B1262&lt;&gt;"",IF(AND(B1262&gt;=_TM1,B1262&lt;=_TM2,OR(TH!L1262="1111",TH!M1262="1111")),TH!D1262,""),"")</f>
        <v>0</v>
      </c>
      <c r="B1262" s="36">
        <f t="shared" ref="B1262" si="358">IF(C1262&lt;&gt;"",MONTH(C1262),"")</f>
        <v>10</v>
      </c>
      <c r="C1262" s="37">
        <f t="shared" ref="C1262" si="359">E1262</f>
        <v>41913</v>
      </c>
      <c r="D1262" s="37"/>
      <c r="E1262" s="37">
        <v>41913</v>
      </c>
      <c r="F1262" s="192" t="s">
        <v>893</v>
      </c>
      <c r="G1262" s="462" t="s">
        <v>837</v>
      </c>
      <c r="H1262" s="7" t="s">
        <v>1126</v>
      </c>
      <c r="I1262" s="251"/>
      <c r="J1262" s="251"/>
      <c r="K1262" s="563">
        <v>19800000</v>
      </c>
      <c r="L1262" s="39" t="s">
        <v>8</v>
      </c>
      <c r="M1262" s="39" t="s">
        <v>47</v>
      </c>
      <c r="N1262" s="52" t="str">
        <f>IF(AND('331-CT'!$E$7=TH!H1262,OR(L1262="331",M1262="331")),"331",IF(AND(OR(L1262="131",M1262="131"),H1262='131-CT'!$E$7),"131",""))</f>
        <v/>
      </c>
      <c r="O1262" s="89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09"/>
    </row>
    <row r="1263" spans="1:29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344"/>
        <v>10</v>
      </c>
      <c r="C1263" s="37">
        <f t="shared" si="345"/>
        <v>41914</v>
      </c>
      <c r="D1263" s="191" t="s">
        <v>1231</v>
      </c>
      <c r="E1263" s="37">
        <v>41914</v>
      </c>
      <c r="F1263" s="40" t="s">
        <v>1127</v>
      </c>
      <c r="G1263" s="462" t="s">
        <v>839</v>
      </c>
      <c r="H1263" s="7" t="s">
        <v>1126</v>
      </c>
      <c r="I1263" s="251">
        <v>55</v>
      </c>
      <c r="J1263" s="251">
        <v>360000</v>
      </c>
      <c r="K1263" s="563">
        <f>ROUND(I1263*J1263,0)</f>
        <v>19800000</v>
      </c>
      <c r="L1263" s="39" t="s">
        <v>161</v>
      </c>
      <c r="M1263" s="39" t="s">
        <v>8</v>
      </c>
      <c r="N1263" s="52" t="str">
        <f>IF(AND('331-CT'!$E$7=TH!H1263,OR(L1263="331",M1263="331")),"331",IF(AND(OR(L1263="131",M1263="131"),H1263='131-CT'!$E$7),"131",""))</f>
        <v/>
      </c>
      <c r="O1263" s="89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09">
        <v>4</v>
      </c>
    </row>
    <row r="1264" spans="1:29" s="211" customFormat="1" ht="15.75" customHeight="1">
      <c r="A1264" s="204">
        <f>IF(B1264&lt;&gt;"",IF(AND(B1264&gt;=_TM1,B1264&lt;=_TM2,OR(TH!L1264="1111",TH!M1264="1111")),TH!D1264,""),"")</f>
        <v>0</v>
      </c>
      <c r="B1264" s="36">
        <f t="shared" ref="B1264" si="360">IF(C1264&lt;&gt;"",MONTH(C1264),"")</f>
        <v>10</v>
      </c>
      <c r="C1264" s="37">
        <f t="shared" ref="C1264" si="361">E1264</f>
        <v>41914</v>
      </c>
      <c r="D1264" s="37"/>
      <c r="E1264" s="37">
        <v>41914</v>
      </c>
      <c r="F1264" s="192" t="s">
        <v>893</v>
      </c>
      <c r="G1264" s="462" t="s">
        <v>839</v>
      </c>
      <c r="H1264" s="7" t="s">
        <v>1126</v>
      </c>
      <c r="I1264" s="251"/>
      <c r="J1264" s="251"/>
      <c r="K1264" s="563">
        <v>19800000</v>
      </c>
      <c r="L1264" s="39" t="s">
        <v>8</v>
      </c>
      <c r="M1264" s="39" t="s">
        <v>47</v>
      </c>
      <c r="N1264" s="52" t="str">
        <f>IF(AND('331-CT'!$E$7=TH!H1264,OR(L1264="331",M1264="331")),"331",IF(AND(OR(L1264="131",M1264="131"),H1264='131-CT'!$E$7),"131",""))</f>
        <v/>
      </c>
      <c r="O1264" s="89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09"/>
    </row>
    <row r="1265" spans="1:29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344"/>
        <v>10</v>
      </c>
      <c r="C1265" s="191">
        <f t="shared" si="345"/>
        <v>41919</v>
      </c>
      <c r="D1265" s="191" t="s">
        <v>1232</v>
      </c>
      <c r="E1265" s="37">
        <v>41919</v>
      </c>
      <c r="F1265" s="189" t="s">
        <v>1322</v>
      </c>
      <c r="G1265" s="462" t="s">
        <v>1037</v>
      </c>
      <c r="H1265" s="7" t="s">
        <v>1038</v>
      </c>
      <c r="I1265" s="748">
        <v>100</v>
      </c>
      <c r="J1265" s="748">
        <v>17500</v>
      </c>
      <c r="K1265" s="563">
        <f>ROUND(I1265*J1265,0)</f>
        <v>1750000</v>
      </c>
      <c r="L1265" s="39" t="s">
        <v>161</v>
      </c>
      <c r="M1265" s="39" t="s">
        <v>8</v>
      </c>
      <c r="N1265" s="52" t="str">
        <f>IF(AND('331-CT'!$E$7=TH!H1265,OR(L1265="331",M1265="331")),"331",IF(AND(OR(L1265="131",M1265="131"),H1265='131-CT'!$E$7),"131",""))</f>
        <v/>
      </c>
      <c r="O1265" s="89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09">
        <v>4</v>
      </c>
    </row>
    <row r="1266" spans="1:29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344"/>
        <v>10</v>
      </c>
      <c r="C1266" s="191">
        <f t="shared" si="345"/>
        <v>41919</v>
      </c>
      <c r="D1266" s="191" t="s">
        <v>1232</v>
      </c>
      <c r="E1266" s="37">
        <v>41919</v>
      </c>
      <c r="F1266" s="189" t="s">
        <v>1039</v>
      </c>
      <c r="G1266" s="462" t="s">
        <v>1037</v>
      </c>
      <c r="H1266" s="7" t="s">
        <v>1038</v>
      </c>
      <c r="I1266" s="748"/>
      <c r="J1266" s="748"/>
      <c r="K1266" s="563">
        <v>175000</v>
      </c>
      <c r="L1266" s="39" t="s">
        <v>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9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09">
        <v>4</v>
      </c>
    </row>
    <row r="1267" spans="1:29" s="211" customFormat="1" ht="15.75" customHeight="1">
      <c r="A1267" s="204">
        <f>IF(B1267&lt;&gt;"",IF(AND(B1267&gt;=_TM1,B1267&lt;=_TM2,OR(TH!L1267="1111",TH!M1267="1111")),TH!D1267,""),"")</f>
        <v>0</v>
      </c>
      <c r="B1267" s="36">
        <f t="shared" ref="B1267" si="362">IF(C1267&lt;&gt;"",MONTH(C1267),"")</f>
        <v>10</v>
      </c>
      <c r="C1267" s="191">
        <f t="shared" ref="C1267" si="363">E1267</f>
        <v>41919</v>
      </c>
      <c r="D1267" s="191"/>
      <c r="E1267" s="37">
        <v>41919</v>
      </c>
      <c r="F1267" s="192" t="s">
        <v>893</v>
      </c>
      <c r="G1267" s="462" t="s">
        <v>1037</v>
      </c>
      <c r="H1267" s="7" t="s">
        <v>1038</v>
      </c>
      <c r="I1267" s="748"/>
      <c r="J1267" s="748"/>
      <c r="K1267" s="563">
        <v>1925000</v>
      </c>
      <c r="L1267" s="39" t="s">
        <v>8</v>
      </c>
      <c r="M1267" s="39" t="s">
        <v>47</v>
      </c>
      <c r="N1267" s="52" t="str">
        <f>IF(AND('331-CT'!$E$7=TH!H1267,OR(L1267="331",M1267="331")),"331",IF(AND(OR(L1267="131",M1267="131"),H1267='131-CT'!$E$7),"131",""))</f>
        <v/>
      </c>
      <c r="O1267" s="89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09"/>
    </row>
    <row r="1268" spans="1:29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344"/>
        <v>10</v>
      </c>
      <c r="C1268" s="191">
        <f t="shared" si="345"/>
        <v>41922</v>
      </c>
      <c r="D1268" s="191" t="s">
        <v>1233</v>
      </c>
      <c r="E1268" s="37">
        <v>41922</v>
      </c>
      <c r="F1268" s="189" t="s">
        <v>350</v>
      </c>
      <c r="G1268" s="462" t="s">
        <v>489</v>
      </c>
      <c r="H1268" s="7" t="s">
        <v>1040</v>
      </c>
      <c r="I1268" s="748">
        <v>150</v>
      </c>
      <c r="J1268" s="748">
        <v>20454</v>
      </c>
      <c r="K1268" s="563">
        <f>ROUND(I1268*J1268,0)</f>
        <v>3068100</v>
      </c>
      <c r="L1268" s="39" t="s">
        <v>161</v>
      </c>
      <c r="M1268" s="39" t="s">
        <v>8</v>
      </c>
      <c r="N1268" s="52" t="str">
        <f>IF(AND('331-CT'!$E$7=TH!H1268,OR(L1268="331",M1268="331")),"331",IF(AND(OR(L1268="131",M1268="131"),H1268='131-CT'!$E$7),"131",""))</f>
        <v/>
      </c>
      <c r="O1268" s="89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>x</v>
      </c>
      <c r="AA1268" s="52" t="str">
        <f>IF(AND(B1268&lt;=NKC!$N$8,B1268&gt;=NKC!$M$8),"x","")</f>
        <v/>
      </c>
      <c r="AB1268" s="809">
        <v>4</v>
      </c>
      <c r="AC1268" s="211" t="str">
        <f>IF(H1268=VLOOKUP(H1268,DSKH,1,0),"","x")</f>
        <v/>
      </c>
    </row>
    <row r="1269" spans="1:29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344"/>
        <v>10</v>
      </c>
      <c r="C1269" s="191">
        <f t="shared" si="345"/>
        <v>41922</v>
      </c>
      <c r="D1269" s="191" t="s">
        <v>1233</v>
      </c>
      <c r="E1269" s="37">
        <v>41922</v>
      </c>
      <c r="F1269" s="291" t="s">
        <v>1041</v>
      </c>
      <c r="G1269" s="462" t="s">
        <v>489</v>
      </c>
      <c r="H1269" s="7" t="s">
        <v>1040</v>
      </c>
      <c r="I1269" s="748"/>
      <c r="J1269" s="251"/>
      <c r="K1269" s="563">
        <v>306810</v>
      </c>
      <c r="L1269" s="39" t="s">
        <v>9</v>
      </c>
      <c r="M1269" s="39" t="s">
        <v>8</v>
      </c>
      <c r="N1269" s="52" t="str">
        <f>IF(AND('331-CT'!$E$7=TH!H1269,OR(L1269="331",M1269="331")),"331",IF(AND(OR(L1269="131",M1269="131"),H1269='131-CT'!$E$7),"131",""))</f>
        <v/>
      </c>
      <c r="O1269" s="89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09">
        <v>4</v>
      </c>
      <c r="AC1269" s="211" t="str">
        <f>IF(H1269=VLOOKUP(H1269,DSKH,1,0),"","x")</f>
        <v/>
      </c>
    </row>
    <row r="1270" spans="1:29" s="211" customFormat="1" ht="15.75" customHeight="1">
      <c r="A1270" s="204">
        <f>IF(B1270&lt;&gt;"",IF(AND(B1270&gt;=_TM1,B1270&lt;=_TM2,OR(TH!L1270="1111",TH!M1270="1111")),TH!D1270,""),"")</f>
        <v>0</v>
      </c>
      <c r="B1270" s="36">
        <f t="shared" si="344"/>
        <v>10</v>
      </c>
      <c r="C1270" s="191">
        <f t="shared" si="345"/>
        <v>41922</v>
      </c>
      <c r="D1270" s="191"/>
      <c r="E1270" s="37">
        <v>41922</v>
      </c>
      <c r="F1270" s="192" t="s">
        <v>893</v>
      </c>
      <c r="G1270" s="462" t="s">
        <v>489</v>
      </c>
      <c r="H1270" s="7" t="s">
        <v>1040</v>
      </c>
      <c r="I1270" s="748"/>
      <c r="J1270" s="251"/>
      <c r="K1270" s="563">
        <v>3374910</v>
      </c>
      <c r="L1270" s="39" t="s">
        <v>8</v>
      </c>
      <c r="M1270" s="39" t="s">
        <v>47</v>
      </c>
      <c r="N1270" s="52" t="str">
        <f>IF(AND('331-CT'!$E$7=TH!H1270,OR(L1270="331",M1270="331")),"331",IF(AND(OR(L1270="131",M1270="131"),H1270='131-CT'!$E$7),"131",""))</f>
        <v/>
      </c>
      <c r="O1270" s="89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09"/>
    </row>
    <row r="1271" spans="1:29" s="211" customFormat="1" ht="15.75" customHeight="1">
      <c r="A1271" s="204">
        <f>IF(B1271&lt;&gt;"",IF(AND(B1271&gt;=_TM1,B1271&lt;=_TM2,OR(TH!L1271="1111",TH!M1271="1111")),TH!D1271,""),"")</f>
        <v>0</v>
      </c>
      <c r="B1271" s="36">
        <f t="shared" si="344"/>
        <v>10</v>
      </c>
      <c r="C1271" s="191">
        <f t="shared" si="345"/>
        <v>41924</v>
      </c>
      <c r="D1271" s="191"/>
      <c r="E1271" s="37">
        <v>41924</v>
      </c>
      <c r="F1271" s="189" t="s">
        <v>989</v>
      </c>
      <c r="G1271" s="463" t="s">
        <v>1056</v>
      </c>
      <c r="H1271" s="7" t="s">
        <v>988</v>
      </c>
      <c r="I1271" s="251"/>
      <c r="J1271" s="251"/>
      <c r="K1271" s="563">
        <f>619595+152992+197907</f>
        <v>970494</v>
      </c>
      <c r="L1271" s="39" t="s">
        <v>83</v>
      </c>
      <c r="M1271" s="39" t="s">
        <v>47</v>
      </c>
      <c r="N1271" s="52" t="str">
        <f>IF(AND('331-CT'!$E$7=TH!H1271,OR(L1271="331",M1271="331")),"331",IF(AND(OR(L1271="131",M1271="131"),H1271='131-CT'!$E$7),"131",""))</f>
        <v/>
      </c>
      <c r="O1271" s="89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>x</v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09">
        <v>4</v>
      </c>
    </row>
    <row r="1272" spans="1:29" s="211" customFormat="1" ht="15.75" customHeight="1">
      <c r="A1272" s="204">
        <f>IF(B1272&lt;&gt;"",IF(AND(B1272&gt;=_TM1,B1272&lt;=_TM2,OR(TH!L1272="1111",TH!M1272="1111")),TH!D1272,""),"")</f>
        <v>0</v>
      </c>
      <c r="B1272" s="36">
        <f t="shared" si="344"/>
        <v>10</v>
      </c>
      <c r="C1272" s="191">
        <f t="shared" si="345"/>
        <v>41924</v>
      </c>
      <c r="D1272" s="191"/>
      <c r="E1272" s="37">
        <v>41924</v>
      </c>
      <c r="F1272" s="189" t="s">
        <v>990</v>
      </c>
      <c r="G1272" s="463" t="s">
        <v>1056</v>
      </c>
      <c r="H1272" s="7" t="s">
        <v>988</v>
      </c>
      <c r="I1272" s="251"/>
      <c r="J1272" s="251"/>
      <c r="K1272" s="563">
        <f>61959+15299+19791</f>
        <v>97049</v>
      </c>
      <c r="L1272" s="837" t="s">
        <v>9</v>
      </c>
      <c r="M1272" s="39" t="s">
        <v>47</v>
      </c>
      <c r="N1272" s="52" t="str">
        <f>IF(AND('331-CT'!$E$7=TH!H1272,OR(L1272="331",M1272="331")),"331",IF(AND(OR(L1272="131",M1272="131"),H1272='131-CT'!$E$7),"131",""))</f>
        <v/>
      </c>
      <c r="O1272" s="89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09">
        <v>4</v>
      </c>
    </row>
    <row r="1273" spans="1:29" s="211" customFormat="1" ht="15.75" customHeight="1">
      <c r="A1273" s="204">
        <f>IF(B1273&lt;&gt;"",IF(AND(B1273&gt;=_TM1,B1273&lt;=_TM2,OR(TH!L1273="1111",TH!M1273="1111")),TH!D1273,""),"")</f>
        <v>0</v>
      </c>
      <c r="B1273" s="36">
        <f t="shared" si="344"/>
        <v>10</v>
      </c>
      <c r="C1273" s="191">
        <f t="shared" si="345"/>
        <v>41925</v>
      </c>
      <c r="D1273" s="191"/>
      <c r="E1273" s="37">
        <v>41925</v>
      </c>
      <c r="F1273" s="40" t="s">
        <v>1042</v>
      </c>
      <c r="G1273" s="462" t="s">
        <v>1044</v>
      </c>
      <c r="H1273" s="7" t="s">
        <v>1045</v>
      </c>
      <c r="I1273" s="748"/>
      <c r="J1273" s="748"/>
      <c r="K1273" s="563">
        <v>1800000</v>
      </c>
      <c r="L1273" s="39" t="s">
        <v>83</v>
      </c>
      <c r="M1273" s="39" t="s">
        <v>47</v>
      </c>
      <c r="N1273" s="52" t="str">
        <f>IF(AND('331-CT'!$E$7=TH!H1273,OR(L1273="331",M1273="331")),"331",IF(AND(OR(L1273="131",M1273="131"),H1273='131-CT'!$E$7),"131",""))</f>
        <v/>
      </c>
      <c r="O1273" s="89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>x</v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09">
        <v>4</v>
      </c>
    </row>
    <row r="1274" spans="1:29" s="211" customFormat="1" ht="15.75" customHeight="1">
      <c r="A1274" s="204">
        <f>IF(B1274&lt;&gt;"",IF(AND(B1274&gt;=_TM1,B1274&lt;=_TM2,OR(TH!L1274="1111",TH!M1274="1111")),TH!D1274,""),"")</f>
        <v>0</v>
      </c>
      <c r="B1274" s="36">
        <f t="shared" si="344"/>
        <v>10</v>
      </c>
      <c r="C1274" s="191">
        <f t="shared" si="345"/>
        <v>41925</v>
      </c>
      <c r="D1274" s="191"/>
      <c r="E1274" s="37">
        <v>41925</v>
      </c>
      <c r="F1274" s="40" t="s">
        <v>1043</v>
      </c>
      <c r="G1274" s="462" t="s">
        <v>1044</v>
      </c>
      <c r="H1274" s="7" t="s">
        <v>1045</v>
      </c>
      <c r="I1274" s="748"/>
      <c r="J1274" s="748"/>
      <c r="K1274" s="563">
        <v>180000</v>
      </c>
      <c r="L1274" s="39" t="s">
        <v>9</v>
      </c>
      <c r="M1274" s="39" t="s">
        <v>47</v>
      </c>
      <c r="N1274" s="52" t="str">
        <f>IF(AND('331-CT'!$E$7=TH!H1274,OR(L1274="331",M1274="331")),"331",IF(AND(OR(L1274="131",M1274="131"),H1274='131-CT'!$E$7),"131",""))</f>
        <v/>
      </c>
      <c r="O1274" s="89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09">
        <v>4</v>
      </c>
    </row>
    <row r="1275" spans="1:29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344"/>
        <v>10</v>
      </c>
      <c r="C1275" s="37">
        <f t="shared" si="345"/>
        <v>41928</v>
      </c>
      <c r="D1275" s="191" t="s">
        <v>1208</v>
      </c>
      <c r="E1275" s="37">
        <v>41928</v>
      </c>
      <c r="F1275" s="291" t="s">
        <v>1075</v>
      </c>
      <c r="G1275" s="462" t="s">
        <v>1115</v>
      </c>
      <c r="H1275" s="7" t="s">
        <v>1116</v>
      </c>
      <c r="I1275" s="251">
        <v>2160</v>
      </c>
      <c r="J1275" s="251">
        <v>7200</v>
      </c>
      <c r="K1275" s="563">
        <f>ROUND(I1275*J1275,0)</f>
        <v>15552000</v>
      </c>
      <c r="L1275" s="39" t="s">
        <v>159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9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>x</v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09">
        <v>4</v>
      </c>
      <c r="AC1275" s="211" t="str">
        <f>IF(H1275=VLOOKUP(H1275,DSKH,1,0),"","x")</f>
        <v/>
      </c>
    </row>
    <row r="1276" spans="1:29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ref="B1276" si="364">IF(C1276&lt;&gt;"",MONTH(C1276),"")</f>
        <v>10</v>
      </c>
      <c r="C1276" s="37">
        <f t="shared" ref="C1276" si="365">E1276</f>
        <v>41928</v>
      </c>
      <c r="D1276" s="191" t="s">
        <v>1208</v>
      </c>
      <c r="E1276" s="37">
        <v>41928</v>
      </c>
      <c r="F1276" s="40" t="s">
        <v>1049</v>
      </c>
      <c r="G1276" s="462" t="s">
        <v>1115</v>
      </c>
      <c r="H1276" s="7" t="s">
        <v>1116</v>
      </c>
      <c r="I1276" s="251"/>
      <c r="J1276" s="251"/>
      <c r="K1276" s="563">
        <v>1555200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9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09">
        <v>4</v>
      </c>
      <c r="AC1276" s="211" t="str">
        <f>IF(H1276=VLOOKUP(H1276,DSKH,1,0),"","x")</f>
        <v/>
      </c>
    </row>
    <row r="1277" spans="1:29" s="211" customFormat="1" ht="15.75" customHeight="1">
      <c r="A1277" s="204">
        <f>IF(B1277&lt;&gt;"",IF(AND(B1277&gt;=_TM1,B1277&lt;=_TM2,OR(TH!L1277="1111",TH!M1277="1111")),TH!D1277,""),"")</f>
        <v>0</v>
      </c>
      <c r="B1277" s="36">
        <f t="shared" si="344"/>
        <v>10</v>
      </c>
      <c r="C1277" s="37">
        <f t="shared" si="345"/>
        <v>41928</v>
      </c>
      <c r="D1277" s="191"/>
      <c r="E1277" s="37">
        <v>41928</v>
      </c>
      <c r="F1277" s="192" t="s">
        <v>893</v>
      </c>
      <c r="G1277" s="462" t="s">
        <v>1115</v>
      </c>
      <c r="H1277" s="7" t="s">
        <v>1116</v>
      </c>
      <c r="I1277" s="251"/>
      <c r="J1277" s="251"/>
      <c r="K1277" s="563">
        <v>17107200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9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09"/>
      <c r="AC1277" s="211" t="str">
        <f>IF(H1277=VLOOKUP(H1277,DSKH,1,0),"","x")</f>
        <v/>
      </c>
    </row>
    <row r="1278" spans="1:29" s="211" customFormat="1" ht="15.75" customHeight="1">
      <c r="A1278" s="204">
        <f>IF(B1278&lt;&gt;"",IF(AND(B1278&gt;=_TM1,B1278&lt;=_TM2,OR(TH!L1278="1111",TH!M1278="1111")),TH!D1278,""),"")</f>
        <v>0</v>
      </c>
      <c r="B1278" s="36">
        <f t="shared" si="344"/>
        <v>10</v>
      </c>
      <c r="C1278" s="191">
        <f t="shared" si="345"/>
        <v>41936</v>
      </c>
      <c r="D1278" s="191"/>
      <c r="E1278" s="37">
        <v>41936</v>
      </c>
      <c r="F1278" s="192" t="s">
        <v>372</v>
      </c>
      <c r="G1278" s="463" t="s">
        <v>1046</v>
      </c>
      <c r="H1278" s="7" t="s">
        <v>998</v>
      </c>
      <c r="I1278" s="251"/>
      <c r="J1278" s="251"/>
      <c r="K1278" s="563">
        <v>2260000</v>
      </c>
      <c r="L1278" s="39" t="s">
        <v>167</v>
      </c>
      <c r="M1278" s="39" t="s">
        <v>47</v>
      </c>
      <c r="N1278" s="52" t="str">
        <f>IF(AND('331-CT'!$E$7=TH!H1278,OR(L1278="331",M1278="331")),"331",IF(AND(OR(L1278="131",M1278="131"),H1278='131-CT'!$E$7),"131",""))</f>
        <v/>
      </c>
      <c r="O1278" s="89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09">
        <v>4</v>
      </c>
    </row>
    <row r="1279" spans="1:29" s="211" customFormat="1" ht="15.75" customHeight="1">
      <c r="A1279" s="204">
        <f>IF(B1279&lt;&gt;"",IF(AND(B1279&gt;=_TM1,B1279&lt;=_TM2,OR(TH!L1279="1111",TH!M1279="1111")),TH!D1279,""),"")</f>
        <v>0</v>
      </c>
      <c r="B1279" s="36">
        <f t="shared" si="344"/>
        <v>10</v>
      </c>
      <c r="C1279" s="191">
        <f t="shared" si="345"/>
        <v>41936</v>
      </c>
      <c r="D1279" s="191"/>
      <c r="E1279" s="37">
        <v>41936</v>
      </c>
      <c r="F1279" s="192" t="s">
        <v>999</v>
      </c>
      <c r="G1279" s="463" t="s">
        <v>1046</v>
      </c>
      <c r="H1279" s="7" t="s">
        <v>998</v>
      </c>
      <c r="I1279" s="251"/>
      <c r="J1279" s="251"/>
      <c r="K1279" s="563">
        <v>226000</v>
      </c>
      <c r="L1279" s="39" t="s">
        <v>9</v>
      </c>
      <c r="M1279" s="39" t="s">
        <v>47</v>
      </c>
      <c r="N1279" s="52" t="str">
        <f>IF(AND('331-CT'!$E$7=TH!H1279,OR(L1279="331",M1279="331")),"331",IF(AND(OR(L1279="131",M1279="131"),H1279='131-CT'!$E$7),"131",""))</f>
        <v/>
      </c>
      <c r="O1279" s="89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09">
        <v>4</v>
      </c>
    </row>
    <row r="1280" spans="1:29" s="211" customFormat="1" ht="15.75" customHeight="1">
      <c r="A1280" s="204">
        <f>IF(B1280&lt;&gt;"",IF(AND(B1280&gt;=_TM1,B1280&lt;=_TM2,OR(TH!L1280="1111",TH!M1280="1111")),TH!D1280,""),"")</f>
        <v>0</v>
      </c>
      <c r="B1280" s="36">
        <f t="shared" si="344"/>
        <v>10</v>
      </c>
      <c r="C1280" s="191">
        <f t="shared" si="345"/>
        <v>41940</v>
      </c>
      <c r="D1280" s="191"/>
      <c r="E1280" s="37">
        <v>41940</v>
      </c>
      <c r="F1280" s="40" t="s">
        <v>1029</v>
      </c>
      <c r="G1280" s="462" t="s">
        <v>822</v>
      </c>
      <c r="H1280" s="7" t="s">
        <v>1047</v>
      </c>
      <c r="I1280" s="748"/>
      <c r="J1280" s="748"/>
      <c r="K1280" s="563">
        <v>788636</v>
      </c>
      <c r="L1280" s="39" t="s">
        <v>83</v>
      </c>
      <c r="M1280" s="39" t="s">
        <v>47</v>
      </c>
      <c r="N1280" s="52" t="str">
        <f>IF(AND('331-CT'!$E$7=TH!H1280,OR(L1280="331",M1280="331")),"331",IF(AND(OR(L1280="131",M1280="131"),H1280='131-CT'!$E$7),"131",""))</f>
        <v/>
      </c>
      <c r="O1280" s="89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>x</v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09">
        <v>4</v>
      </c>
    </row>
    <row r="1281" spans="1:31" s="211" customFormat="1" ht="15.75" customHeight="1">
      <c r="A1281" s="204">
        <f>IF(B1281&lt;&gt;"",IF(AND(B1281&gt;=_TM1,B1281&lt;=_TM2,OR(TH!L1281="1111",TH!M1281="1111")),TH!D1281,""),"")</f>
        <v>0</v>
      </c>
      <c r="B1281" s="36">
        <f t="shared" si="344"/>
        <v>10</v>
      </c>
      <c r="C1281" s="191">
        <f t="shared" si="345"/>
        <v>41940</v>
      </c>
      <c r="D1281" s="191"/>
      <c r="E1281" s="37">
        <v>41940</v>
      </c>
      <c r="F1281" s="40" t="s">
        <v>1030</v>
      </c>
      <c r="G1281" s="462" t="s">
        <v>822</v>
      </c>
      <c r="H1281" s="7" t="s">
        <v>1047</v>
      </c>
      <c r="I1281" s="748"/>
      <c r="J1281" s="748"/>
      <c r="K1281" s="563">
        <v>78864</v>
      </c>
      <c r="L1281" s="39" t="s">
        <v>9</v>
      </c>
      <c r="M1281" s="39" t="s">
        <v>47</v>
      </c>
      <c r="N1281" s="52" t="str">
        <f>IF(AND('331-CT'!$E$7=TH!H1281,OR(L1281="331",M1281="331")),"331",IF(AND(OR(L1281="131",M1281="131"),H1281='131-CT'!$E$7),"131",""))</f>
        <v/>
      </c>
      <c r="O1281" s="89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09">
        <v>4</v>
      </c>
    </row>
    <row r="1282" spans="1:31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344"/>
        <v>10</v>
      </c>
      <c r="C1282" s="37">
        <f t="shared" si="345"/>
        <v>41941</v>
      </c>
      <c r="D1282" s="191" t="s">
        <v>1209</v>
      </c>
      <c r="E1282" s="37">
        <v>41941</v>
      </c>
      <c r="F1282" s="291" t="s">
        <v>1075</v>
      </c>
      <c r="G1282" s="462" t="s">
        <v>1117</v>
      </c>
      <c r="H1282" s="7" t="s">
        <v>1116</v>
      </c>
      <c r="I1282" s="251">
        <v>2342</v>
      </c>
      <c r="J1282" s="251">
        <v>7200</v>
      </c>
      <c r="K1282" s="563">
        <f>ROUND(I1282*J1282,0)</f>
        <v>16862400</v>
      </c>
      <c r="L1282" s="39" t="s">
        <v>159</v>
      </c>
      <c r="M1282" s="39" t="s">
        <v>8</v>
      </c>
      <c r="N1282" s="52" t="str">
        <f>IF(AND('331-CT'!$E$7=TH!H1282,OR(L1282="331",M1282="331")),"331",IF(AND(OR(L1282="131",M1282="131"),H1282='131-CT'!$E$7),"131",""))</f>
        <v/>
      </c>
      <c r="O1282" s="89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>x</v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09">
        <v>4</v>
      </c>
      <c r="AC1282" s="211" t="str">
        <f>IF(H1282=VLOOKUP(H1282,DSKH,1,0),"","x")</f>
        <v/>
      </c>
    </row>
    <row r="1283" spans="1:31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ref="B1283" si="366">IF(C1283&lt;&gt;"",MONTH(C1283),"")</f>
        <v>10</v>
      </c>
      <c r="C1283" s="37">
        <f t="shared" ref="C1283" si="367">E1283</f>
        <v>41941</v>
      </c>
      <c r="D1283" s="191" t="s">
        <v>1209</v>
      </c>
      <c r="E1283" s="37">
        <v>41941</v>
      </c>
      <c r="F1283" s="40" t="s">
        <v>1049</v>
      </c>
      <c r="G1283" s="462" t="s">
        <v>1117</v>
      </c>
      <c r="H1283" s="7" t="s">
        <v>1116</v>
      </c>
      <c r="I1283" s="251"/>
      <c r="J1283" s="251"/>
      <c r="K1283" s="563">
        <v>1686240</v>
      </c>
      <c r="L1283" s="39" t="s">
        <v>9</v>
      </c>
      <c r="M1283" s="39" t="s">
        <v>8</v>
      </c>
      <c r="N1283" s="52" t="str">
        <f>IF(AND('331-CT'!$E$7=TH!H1283,OR(L1283="331",M1283="331")),"331",IF(AND(OR(L1283="131",M1283="131"),H1283='131-CT'!$E$7),"131",""))</f>
        <v/>
      </c>
      <c r="O1283" s="89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09">
        <v>4</v>
      </c>
      <c r="AC1283" s="211" t="str">
        <f>IF(H1283=VLOOKUP(H1283,DSKH,1,0),"","x")</f>
        <v/>
      </c>
    </row>
    <row r="1284" spans="1:31" s="211" customFormat="1" ht="15.75" customHeight="1">
      <c r="A1284" s="204">
        <f>IF(B1284&lt;&gt;"",IF(AND(B1284&gt;=_TM1,B1284&lt;=_TM2,OR(TH!L1284="1111",TH!M1284="1111")),TH!D1284,""),"")</f>
        <v>0</v>
      </c>
      <c r="B1284" s="36">
        <f t="shared" si="344"/>
        <v>10</v>
      </c>
      <c r="C1284" s="37">
        <f t="shared" si="345"/>
        <v>41941</v>
      </c>
      <c r="D1284" s="191"/>
      <c r="E1284" s="37">
        <v>41941</v>
      </c>
      <c r="F1284" s="192" t="s">
        <v>893</v>
      </c>
      <c r="G1284" s="462" t="s">
        <v>1117</v>
      </c>
      <c r="H1284" s="7" t="s">
        <v>1116</v>
      </c>
      <c r="I1284" s="251"/>
      <c r="J1284" s="251"/>
      <c r="K1284" s="563">
        <v>18548640</v>
      </c>
      <c r="L1284" s="39" t="s">
        <v>8</v>
      </c>
      <c r="M1284" s="39" t="s">
        <v>47</v>
      </c>
      <c r="N1284" s="52" t="str">
        <f>IF(AND('331-CT'!$E$7=TH!H1284,OR(L1284="331",M1284="331")),"331",IF(AND(OR(L1284="131",M1284="131"),H1284='131-CT'!$E$7),"131",""))</f>
        <v/>
      </c>
      <c r="O1284" s="89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09"/>
      <c r="AC1284" s="211" t="str">
        <f>IF(H1284=VLOOKUP(H1284,DSKH,1,0),"","x")</f>
        <v/>
      </c>
    </row>
    <row r="1285" spans="1:31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344"/>
        <v>10</v>
      </c>
      <c r="C1285" s="191">
        <f t="shared" si="345"/>
        <v>41943</v>
      </c>
      <c r="D1285" s="191" t="s">
        <v>1234</v>
      </c>
      <c r="E1285" s="37">
        <v>41943</v>
      </c>
      <c r="F1285" s="189" t="s">
        <v>330</v>
      </c>
      <c r="G1285" s="463" t="s">
        <v>1048</v>
      </c>
      <c r="H1285" s="7" t="s">
        <v>351</v>
      </c>
      <c r="I1285" s="251">
        <v>24</v>
      </c>
      <c r="J1285" s="251">
        <v>45000</v>
      </c>
      <c r="K1285" s="563">
        <f>ROUND(I1285*J1285,0)</f>
        <v>1080000</v>
      </c>
      <c r="L1285" s="39" t="s">
        <v>161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9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09">
        <v>4</v>
      </c>
      <c r="AC1285" s="211" t="str">
        <f>IF(H1285=VLOOKUP(H1285,DSKH,1,0),"","x")</f>
        <v/>
      </c>
    </row>
    <row r="1286" spans="1:31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344"/>
        <v>10</v>
      </c>
      <c r="C1286" s="191">
        <f t="shared" si="345"/>
        <v>41943</v>
      </c>
      <c r="D1286" s="191" t="s">
        <v>1234</v>
      </c>
      <c r="E1286" s="37">
        <v>41943</v>
      </c>
      <c r="F1286" s="189" t="s">
        <v>1008</v>
      </c>
      <c r="G1286" s="463" t="s">
        <v>1048</v>
      </c>
      <c r="H1286" s="7" t="s">
        <v>351</v>
      </c>
      <c r="I1286" s="251"/>
      <c r="J1286" s="251"/>
      <c r="K1286" s="563">
        <v>108000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9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09">
        <v>4</v>
      </c>
      <c r="AC1286" s="211" t="str">
        <f>IF(H1286=VLOOKUP(H1286,DSKH,1,0),"","x")</f>
        <v/>
      </c>
    </row>
    <row r="1287" spans="1:31" s="211" customFormat="1" ht="15.75" customHeight="1">
      <c r="A1287" s="204">
        <f>IF(B1287&lt;&gt;"",IF(AND(B1287&gt;=_TM1,B1287&lt;=_TM2,OR(TH!L1287="1111",TH!M1287="1111")),TH!D1287,""),"")</f>
        <v>0</v>
      </c>
      <c r="B1287" s="36">
        <f t="shared" si="344"/>
        <v>10</v>
      </c>
      <c r="C1287" s="191">
        <f t="shared" si="345"/>
        <v>41943</v>
      </c>
      <c r="D1287" s="191"/>
      <c r="E1287" s="37">
        <v>41943</v>
      </c>
      <c r="F1287" s="192" t="s">
        <v>893</v>
      </c>
      <c r="G1287" s="463" t="s">
        <v>1048</v>
      </c>
      <c r="H1287" s="7" t="s">
        <v>351</v>
      </c>
      <c r="I1287" s="251"/>
      <c r="J1287" s="251"/>
      <c r="K1287" s="563">
        <v>1188000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9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09"/>
    </row>
    <row r="1288" spans="1:31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344"/>
        <v>11</v>
      </c>
      <c r="C1288" s="191">
        <f t="shared" si="345"/>
        <v>41946</v>
      </c>
      <c r="D1288" s="191" t="s">
        <v>1210</v>
      </c>
      <c r="E1288" s="37">
        <v>41946</v>
      </c>
      <c r="F1288" s="291" t="s">
        <v>1075</v>
      </c>
      <c r="G1288" s="462" t="s">
        <v>661</v>
      </c>
      <c r="H1288" s="7" t="s">
        <v>1050</v>
      </c>
      <c r="I1288" s="748">
        <v>2300</v>
      </c>
      <c r="J1288" s="748">
        <v>7800</v>
      </c>
      <c r="K1288" s="563">
        <f>ROUND(I1288*J1288,0)</f>
        <v>17940000</v>
      </c>
      <c r="L1288" s="39" t="s">
        <v>159</v>
      </c>
      <c r="M1288" s="39" t="s">
        <v>8</v>
      </c>
      <c r="N1288" s="52" t="str">
        <f>IF(AND('331-CT'!$E$7=TH!H1288,OR(L1288="331",M1288="331")),"331",IF(AND(OR(L1288="131",M1288="131"),H1288='131-CT'!$E$7),"131",""))</f>
        <v/>
      </c>
      <c r="O1288" s="89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>x</v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09">
        <v>4</v>
      </c>
      <c r="AC1288" s="211" t="str">
        <f>IF(H1288=VLOOKUP(H1288,DSKH,1,0),"","x")</f>
        <v/>
      </c>
    </row>
    <row r="1289" spans="1:31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ref="B1289" si="368">IF(C1289&lt;&gt;"",MONTH(C1289),"")</f>
        <v>11</v>
      </c>
      <c r="C1289" s="191">
        <f t="shared" ref="C1289" si="369">E1289</f>
        <v>41946</v>
      </c>
      <c r="D1289" s="191" t="s">
        <v>1210</v>
      </c>
      <c r="E1289" s="37">
        <v>41946</v>
      </c>
      <c r="F1289" s="291" t="s">
        <v>1049</v>
      </c>
      <c r="G1289" s="462" t="s">
        <v>661</v>
      </c>
      <c r="H1289" s="7" t="s">
        <v>1050</v>
      </c>
      <c r="I1289" s="748"/>
      <c r="J1289" s="748"/>
      <c r="K1289" s="563">
        <v>1794000</v>
      </c>
      <c r="L1289" s="39" t="s">
        <v>9</v>
      </c>
      <c r="M1289" s="39" t="s">
        <v>8</v>
      </c>
      <c r="N1289" s="52" t="str">
        <f>IF(AND('331-CT'!$E$7=TH!H1289,OR(L1289="331",M1289="331")),"331",IF(AND(OR(L1289="131",M1289="131"),H1289='131-CT'!$E$7),"131",""))</f>
        <v/>
      </c>
      <c r="O1289" s="89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09">
        <v>4</v>
      </c>
      <c r="AC1289" s="211" t="str">
        <f>IF(H1289=VLOOKUP(H1289,DSKH,1,0),"","x")</f>
        <v/>
      </c>
    </row>
    <row r="1290" spans="1:31" s="211" customFormat="1" ht="15.75" customHeight="1">
      <c r="A1290" s="204">
        <f>IF(B1290&lt;&gt;"",IF(AND(B1290&gt;=_TM1,B1290&lt;=_TM2,OR(TH!L1290="1111",TH!M1290="1111")),TH!D1290,""),"")</f>
        <v>0</v>
      </c>
      <c r="B1290" s="36">
        <f t="shared" ref="B1290:B1343" si="370">IF(C1290&lt;&gt;"",MONTH(C1290),"")</f>
        <v>11</v>
      </c>
      <c r="C1290" s="191">
        <f t="shared" ref="C1290:C1343" si="371">E1290</f>
        <v>41946</v>
      </c>
      <c r="D1290" s="191"/>
      <c r="E1290" s="37">
        <v>41946</v>
      </c>
      <c r="F1290" s="192" t="s">
        <v>893</v>
      </c>
      <c r="G1290" s="462" t="s">
        <v>661</v>
      </c>
      <c r="H1290" s="7" t="s">
        <v>1050</v>
      </c>
      <c r="I1290" s="748"/>
      <c r="J1290" s="748"/>
      <c r="K1290" s="563">
        <v>19734000</v>
      </c>
      <c r="L1290" s="39" t="s">
        <v>8</v>
      </c>
      <c r="M1290" s="39" t="s">
        <v>47</v>
      </c>
      <c r="N1290" s="52" t="str">
        <f>IF(AND('331-CT'!$E$7=TH!H1290,OR(L1290="331",M1290="331")),"331",IF(AND(OR(L1290="131",M1290="131"),H1290='131-CT'!$E$7),"131",""))</f>
        <v/>
      </c>
      <c r="O1290" s="89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09"/>
    </row>
    <row r="1291" spans="1:31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370"/>
        <v>11</v>
      </c>
      <c r="C1291" s="37">
        <f t="shared" si="371"/>
        <v>41949</v>
      </c>
      <c r="D1291" s="191" t="s">
        <v>1211</v>
      </c>
      <c r="E1291" s="817">
        <v>41949</v>
      </c>
      <c r="F1291" s="291" t="s">
        <v>1075</v>
      </c>
      <c r="G1291" s="462" t="s">
        <v>673</v>
      </c>
      <c r="H1291" s="7" t="s">
        <v>1050</v>
      </c>
      <c r="I1291" s="251">
        <v>2220</v>
      </c>
      <c r="J1291" s="251">
        <v>7800</v>
      </c>
      <c r="K1291" s="563">
        <f>ROUND(I1291*J1291,0)</f>
        <v>17316000</v>
      </c>
      <c r="L1291" s="39" t="s">
        <v>159</v>
      </c>
      <c r="M1291" s="39" t="s">
        <v>8</v>
      </c>
      <c r="N1291" s="52" t="str">
        <f>IF(AND('331-CT'!$E$7=TH!H1291,OR(L1291="331",M1291="331")),"331",IF(AND(OR(L1291="131",M1291="131"),H1291='131-CT'!$E$7),"131",""))</f>
        <v/>
      </c>
      <c r="O1291" s="89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>x</v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09">
        <v>4</v>
      </c>
      <c r="AC1291" s="211" t="str">
        <f>IF(H1291=VLOOKUP(H1291,DSKH,1,0),"","x")</f>
        <v/>
      </c>
    </row>
    <row r="1292" spans="1:31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ref="B1292" si="372">IF(C1292&lt;&gt;"",MONTH(C1292),"")</f>
        <v>11</v>
      </c>
      <c r="C1292" s="37">
        <f t="shared" ref="C1292" si="373">E1292</f>
        <v>41949</v>
      </c>
      <c r="D1292" s="191" t="s">
        <v>1211</v>
      </c>
      <c r="E1292" s="817">
        <v>41949</v>
      </c>
      <c r="F1292" s="40" t="s">
        <v>1049</v>
      </c>
      <c r="G1292" s="462" t="s">
        <v>673</v>
      </c>
      <c r="H1292" s="7" t="s">
        <v>1050</v>
      </c>
      <c r="I1292" s="251"/>
      <c r="J1292" s="251"/>
      <c r="K1292" s="563">
        <v>1731600</v>
      </c>
      <c r="L1292" s="39" t="s">
        <v>9</v>
      </c>
      <c r="M1292" s="39" t="s">
        <v>8</v>
      </c>
      <c r="N1292" s="52" t="str">
        <f>IF(AND('331-CT'!$E$7=TH!H1292,OR(L1292="331",M1292="331")),"331",IF(AND(OR(L1292="131",M1292="131"),H1292='131-CT'!$E$7),"131",""))</f>
        <v/>
      </c>
      <c r="O1292" s="89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09">
        <v>4</v>
      </c>
      <c r="AC1292" s="211" t="str">
        <f>IF(H1292=VLOOKUP(H1292,DSKH,1,0),"","x")</f>
        <v/>
      </c>
    </row>
    <row r="1293" spans="1:31" s="211" customFormat="1" ht="15.75" customHeight="1">
      <c r="A1293" s="204">
        <f>IF(B1293&lt;&gt;"",IF(AND(B1293&gt;=_TM1,B1293&lt;=_TM2,OR(TH!L1293="1111",TH!M1293="1111")),TH!D1293,""),"")</f>
        <v>0</v>
      </c>
      <c r="B1293" s="36">
        <f t="shared" si="370"/>
        <v>11</v>
      </c>
      <c r="C1293" s="37">
        <f t="shared" si="371"/>
        <v>41949</v>
      </c>
      <c r="D1293" s="191"/>
      <c r="E1293" s="817">
        <v>41949</v>
      </c>
      <c r="F1293" s="192" t="s">
        <v>893</v>
      </c>
      <c r="G1293" s="462" t="s">
        <v>673</v>
      </c>
      <c r="H1293" s="7" t="s">
        <v>1050</v>
      </c>
      <c r="I1293" s="251"/>
      <c r="J1293" s="251"/>
      <c r="K1293" s="563">
        <v>19047600</v>
      </c>
      <c r="L1293" s="39" t="s">
        <v>8</v>
      </c>
      <c r="M1293" s="39" t="s">
        <v>47</v>
      </c>
      <c r="N1293" s="52" t="str">
        <f>IF(AND('331-CT'!$E$7=TH!H1293,OR(L1293="331",M1293="331")),"331",IF(AND(OR(L1293="131",M1293="131"),H1293='131-CT'!$E$7),"131",""))</f>
        <v/>
      </c>
      <c r="O1293" s="89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09"/>
    </row>
    <row r="1294" spans="1:31" s="211" customFormat="1" ht="15.75" customHeight="1">
      <c r="A1294" s="204">
        <f>IF(B1294&lt;&gt;"",IF(AND(B1294&gt;=_TM1,B1294&lt;=_TM2,OR(TH!L1294="1111",TH!M1294="1111")),TH!D1294,""),"")</f>
        <v>0</v>
      </c>
      <c r="B1294" s="36">
        <f t="shared" si="370"/>
        <v>11</v>
      </c>
      <c r="C1294" s="191">
        <f t="shared" si="371"/>
        <v>41950</v>
      </c>
      <c r="D1294" s="191"/>
      <c r="E1294" s="37">
        <v>41950</v>
      </c>
      <c r="F1294" s="189" t="s">
        <v>989</v>
      </c>
      <c r="G1294" s="463" t="s">
        <v>1057</v>
      </c>
      <c r="H1294" s="7" t="s">
        <v>988</v>
      </c>
      <c r="I1294" s="251"/>
      <c r="J1294" s="251"/>
      <c r="K1294" s="563">
        <f>205000+818930+139022</f>
        <v>1162952</v>
      </c>
      <c r="L1294" s="39" t="s">
        <v>83</v>
      </c>
      <c r="M1294" s="39" t="s">
        <v>47</v>
      </c>
      <c r="N1294" s="52" t="str">
        <f>IF(AND('331-CT'!$E$7=TH!H1294,OR(L1294="331",M1294="331")),"331",IF(AND(OR(L1294="131",M1294="131"),H1294='131-CT'!$E$7),"131",""))</f>
        <v/>
      </c>
      <c r="O1294" s="89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09"/>
    </row>
    <row r="1295" spans="1:31" s="211" customFormat="1" ht="15.75" customHeight="1">
      <c r="A1295" s="204">
        <f>IF(B1295&lt;&gt;"",IF(AND(B1295&gt;=_TM1,B1295&lt;=_TM2,OR(TH!L1295="1111",TH!M1295="1111")),TH!D1295,""),"")</f>
        <v>0</v>
      </c>
      <c r="B1295" s="36">
        <f t="shared" si="370"/>
        <v>11</v>
      </c>
      <c r="C1295" s="191">
        <f t="shared" si="371"/>
        <v>41950</v>
      </c>
      <c r="D1295" s="184"/>
      <c r="E1295" s="37">
        <v>41950</v>
      </c>
      <c r="F1295" s="189" t="s">
        <v>990</v>
      </c>
      <c r="G1295" s="463" t="s">
        <v>1057</v>
      </c>
      <c r="H1295" s="7" t="s">
        <v>988</v>
      </c>
      <c r="I1295" s="251"/>
      <c r="J1295" s="251"/>
      <c r="K1295" s="563">
        <f>20500+81893+13901</f>
        <v>116294</v>
      </c>
      <c r="L1295" s="837" t="s">
        <v>9</v>
      </c>
      <c r="M1295" s="39" t="s">
        <v>47</v>
      </c>
      <c r="N1295" s="52" t="str">
        <f>IF(AND('331-CT'!$E$7=TH!H1295,OR(L1295="331",M1295="331")),"331",IF(AND(OR(L1295="131",M1295="131"),H1295='131-CT'!$E$7),"131",""))</f>
        <v/>
      </c>
      <c r="O1295" s="89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09">
        <v>4</v>
      </c>
      <c r="AC1295" s="555"/>
      <c r="AD1295" s="555"/>
      <c r="AE1295" s="555"/>
    </row>
    <row r="1296" spans="1:31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370"/>
        <v>11</v>
      </c>
      <c r="C1296" s="37">
        <f t="shared" si="371"/>
        <v>41951</v>
      </c>
      <c r="D1296" s="191" t="s">
        <v>1212</v>
      </c>
      <c r="E1296" s="37">
        <v>41951</v>
      </c>
      <c r="F1296" s="291" t="s">
        <v>1075</v>
      </c>
      <c r="G1296" s="462" t="s">
        <v>679</v>
      </c>
      <c r="H1296" s="7" t="s">
        <v>1050</v>
      </c>
      <c r="I1296" s="251">
        <v>1850</v>
      </c>
      <c r="J1296" s="251">
        <v>7800</v>
      </c>
      <c r="K1296" s="563">
        <f>ROUND(I1296*J1296,0)</f>
        <v>14430000</v>
      </c>
      <c r="L1296" s="39" t="s">
        <v>159</v>
      </c>
      <c r="M1296" s="39" t="s">
        <v>8</v>
      </c>
      <c r="N1296" s="52" t="str">
        <f>IF(AND('331-CT'!$E$7=TH!H1296,OR(L1296="331",M1296="331")),"331",IF(AND(OR(L1296="131",M1296="131"),H1296='131-CT'!$E$7),"131",""))</f>
        <v/>
      </c>
      <c r="O1296" s="89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>x</v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09">
        <v>4</v>
      </c>
      <c r="AC1296" s="211" t="str">
        <f>IF(H1296=VLOOKUP(H1296,DSKH,1,0),"","x")</f>
        <v/>
      </c>
    </row>
    <row r="1297" spans="1:29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ref="B1297" si="374">IF(C1297&lt;&gt;"",MONTH(C1297),"")</f>
        <v>11</v>
      </c>
      <c r="C1297" s="37">
        <f t="shared" ref="C1297" si="375">E1297</f>
        <v>41951</v>
      </c>
      <c r="D1297" s="191" t="s">
        <v>1212</v>
      </c>
      <c r="E1297" s="37">
        <v>41951</v>
      </c>
      <c r="F1297" s="40" t="s">
        <v>1049</v>
      </c>
      <c r="G1297" s="462" t="s">
        <v>679</v>
      </c>
      <c r="H1297" s="7" t="s">
        <v>1050</v>
      </c>
      <c r="I1297" s="251"/>
      <c r="J1297" s="251"/>
      <c r="K1297" s="563">
        <v>1443000</v>
      </c>
      <c r="L1297" s="39" t="s">
        <v>9</v>
      </c>
      <c r="M1297" s="39" t="s">
        <v>8</v>
      </c>
      <c r="N1297" s="52" t="str">
        <f>IF(AND('331-CT'!$E$7=TH!H1297,OR(L1297="331",M1297="331")),"331",IF(AND(OR(L1297="131",M1297="131"),H1297='131-CT'!$E$7),"131",""))</f>
        <v/>
      </c>
      <c r="O1297" s="89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09">
        <v>4</v>
      </c>
      <c r="AC1297" s="211" t="str">
        <f>IF(H1297=VLOOKUP(H1297,DSKH,1,0),"","x")</f>
        <v/>
      </c>
    </row>
    <row r="1298" spans="1:29" s="211" customFormat="1" ht="15.75" customHeight="1">
      <c r="A1298" s="204">
        <f>IF(B1298&lt;&gt;"",IF(AND(B1298&gt;=_TM1,B1298&lt;=_TM2,OR(TH!L1298="1111",TH!M1298="1111")),TH!D1298,""),"")</f>
        <v>0</v>
      </c>
      <c r="B1298" s="36">
        <f t="shared" si="370"/>
        <v>11</v>
      </c>
      <c r="C1298" s="37">
        <f t="shared" si="371"/>
        <v>41951</v>
      </c>
      <c r="D1298" s="191"/>
      <c r="E1298" s="37">
        <v>41951</v>
      </c>
      <c r="F1298" s="192" t="s">
        <v>893</v>
      </c>
      <c r="G1298" s="462" t="s">
        <v>679</v>
      </c>
      <c r="H1298" s="7" t="s">
        <v>1050</v>
      </c>
      <c r="I1298" s="251"/>
      <c r="J1298" s="251"/>
      <c r="K1298" s="563">
        <v>15873000</v>
      </c>
      <c r="L1298" s="39" t="s">
        <v>8</v>
      </c>
      <c r="M1298" s="39" t="s">
        <v>47</v>
      </c>
      <c r="N1298" s="52" t="str">
        <f>IF(AND('331-CT'!$E$7=TH!H1298,OR(L1298="331",M1298="331")),"331",IF(AND(OR(L1298="131",M1298="131"),H1298='131-CT'!$E$7),"131",""))</f>
        <v/>
      </c>
      <c r="O1298" s="89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09"/>
    </row>
    <row r="1299" spans="1:29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370"/>
        <v>11</v>
      </c>
      <c r="C1299" s="191">
        <f t="shared" si="371"/>
        <v>41952</v>
      </c>
      <c r="D1299" s="191" t="s">
        <v>1235</v>
      </c>
      <c r="E1299" s="37">
        <v>41952</v>
      </c>
      <c r="F1299" s="189" t="s">
        <v>1052</v>
      </c>
      <c r="G1299" s="462" t="s">
        <v>599</v>
      </c>
      <c r="H1299" s="7" t="s">
        <v>1051</v>
      </c>
      <c r="I1299" s="748">
        <v>1500</v>
      </c>
      <c r="J1299" s="748">
        <v>9800</v>
      </c>
      <c r="K1299" s="563">
        <f>ROUND(I1299*J1299,0)</f>
        <v>14700000</v>
      </c>
      <c r="L1299" s="39" t="s">
        <v>161</v>
      </c>
      <c r="M1299" s="39" t="s">
        <v>8</v>
      </c>
      <c r="N1299" s="52" t="str">
        <f>IF(AND('331-CT'!$E$7=TH!H1299,OR(L1299="331",M1299="331")),"331",IF(AND(OR(L1299="131",M1299="131"),H1299='131-CT'!$E$7),"131",""))</f>
        <v/>
      </c>
      <c r="O1299" s="89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09">
        <v>4</v>
      </c>
      <c r="AC1299" s="211" t="str">
        <f>IF(H1299=VLOOKUP(H1299,DSKH,1,0),"","x")</f>
        <v/>
      </c>
    </row>
    <row r="1300" spans="1:29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370"/>
        <v>11</v>
      </c>
      <c r="C1300" s="191">
        <f t="shared" si="371"/>
        <v>41952</v>
      </c>
      <c r="D1300" s="191" t="s">
        <v>1235</v>
      </c>
      <c r="E1300" s="37">
        <v>41952</v>
      </c>
      <c r="F1300" s="189" t="s">
        <v>1053</v>
      </c>
      <c r="G1300" s="462" t="s">
        <v>599</v>
      </c>
      <c r="H1300" s="7" t="s">
        <v>1051</v>
      </c>
      <c r="I1300" s="748"/>
      <c r="J1300" s="748"/>
      <c r="K1300" s="563">
        <v>1470000</v>
      </c>
      <c r="L1300" s="39" t="s">
        <v>9</v>
      </c>
      <c r="M1300" s="39" t="s">
        <v>8</v>
      </c>
      <c r="N1300" s="52" t="str">
        <f>IF(AND('331-CT'!$E$7=TH!H1300,OR(L1300="331",M1300="331")),"331",IF(AND(OR(L1300="131",M1300="131"),H1300='131-CT'!$E$7),"131",""))</f>
        <v/>
      </c>
      <c r="O1300" s="89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09">
        <v>4</v>
      </c>
      <c r="AC1300" s="211" t="str">
        <f>IF(H1300=VLOOKUP(H1300,DSKH,1,0),"","x")</f>
        <v/>
      </c>
    </row>
    <row r="1301" spans="1:29" s="211" customFormat="1" ht="15.75" customHeight="1">
      <c r="A1301" s="204">
        <f>IF(B1301&lt;&gt;"",IF(AND(B1301&gt;=_TM1,B1301&lt;=_TM2,OR(TH!L1301="1111",TH!M1301="1111")),TH!D1301,""),"")</f>
        <v>0</v>
      </c>
      <c r="B1301" s="36">
        <f t="shared" si="370"/>
        <v>11</v>
      </c>
      <c r="C1301" s="191">
        <f t="shared" si="371"/>
        <v>41952</v>
      </c>
      <c r="D1301" s="191"/>
      <c r="E1301" s="37">
        <v>41952</v>
      </c>
      <c r="F1301" s="192" t="s">
        <v>893</v>
      </c>
      <c r="G1301" s="462" t="s">
        <v>599</v>
      </c>
      <c r="H1301" s="7" t="s">
        <v>1051</v>
      </c>
      <c r="I1301" s="748"/>
      <c r="J1301" s="748"/>
      <c r="K1301" s="563">
        <v>16170000</v>
      </c>
      <c r="L1301" s="39" t="s">
        <v>8</v>
      </c>
      <c r="M1301" s="39" t="s">
        <v>47</v>
      </c>
      <c r="N1301" s="52" t="str">
        <f>IF(AND('331-CT'!$E$7=TH!H1301,OR(L1301="331",M1301="331")),"331",IF(AND(OR(L1301="131",M1301="131"),H1301='131-CT'!$E$7),"131",""))</f>
        <v/>
      </c>
      <c r="O1301" s="89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09"/>
    </row>
    <row r="1302" spans="1:29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370"/>
        <v>11</v>
      </c>
      <c r="C1302" s="191">
        <f t="shared" si="371"/>
        <v>41953</v>
      </c>
      <c r="D1302" s="191" t="s">
        <v>1366</v>
      </c>
      <c r="E1302" s="37">
        <v>41953</v>
      </c>
      <c r="F1302" s="189" t="s">
        <v>1052</v>
      </c>
      <c r="G1302" s="462" t="s">
        <v>601</v>
      </c>
      <c r="H1302" s="7" t="s">
        <v>1051</v>
      </c>
      <c r="I1302" s="748">
        <v>1500</v>
      </c>
      <c r="J1302" s="748">
        <v>9800</v>
      </c>
      <c r="K1302" s="563">
        <f>ROUND(I1302*J1302,0)</f>
        <v>14700000</v>
      </c>
      <c r="L1302" s="39" t="s">
        <v>161</v>
      </c>
      <c r="M1302" s="39" t="s">
        <v>8</v>
      </c>
      <c r="N1302" s="52" t="str">
        <f>IF(AND('331-CT'!$E$7=TH!H1302,OR(L1302="331",M1302="331")),"331",IF(AND(OR(L1302="131",M1302="131"),H1302='131-CT'!$E$7),"131",""))</f>
        <v/>
      </c>
      <c r="O1302" s="89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09">
        <v>4</v>
      </c>
      <c r="AC1302" s="211" t="str">
        <f>IF(H1302=VLOOKUP(H1302,DSKH,1,0),"","x")</f>
        <v/>
      </c>
    </row>
    <row r="1303" spans="1:29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370"/>
        <v>11</v>
      </c>
      <c r="C1303" s="191">
        <f t="shared" si="371"/>
        <v>41953</v>
      </c>
      <c r="D1303" s="191" t="s">
        <v>1366</v>
      </c>
      <c r="E1303" s="37">
        <v>41953</v>
      </c>
      <c r="F1303" s="189" t="s">
        <v>1053</v>
      </c>
      <c r="G1303" s="462" t="s">
        <v>601</v>
      </c>
      <c r="H1303" s="7" t="s">
        <v>1051</v>
      </c>
      <c r="I1303" s="748"/>
      <c r="J1303" s="748"/>
      <c r="K1303" s="563">
        <v>1470000</v>
      </c>
      <c r="L1303" s="39" t="s">
        <v>9</v>
      </c>
      <c r="M1303" s="39" t="s">
        <v>8</v>
      </c>
      <c r="N1303" s="52" t="str">
        <f>IF(AND('331-CT'!$E$7=TH!H1303,OR(L1303="331",M1303="331")),"331",IF(AND(OR(L1303="131",M1303="131"),H1303='131-CT'!$E$7),"131",""))</f>
        <v/>
      </c>
      <c r="O1303" s="89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09">
        <v>4</v>
      </c>
      <c r="AC1303" s="211" t="str">
        <f>IF(H1303=VLOOKUP(H1303,DSKH,1,0),"","x")</f>
        <v/>
      </c>
    </row>
    <row r="1304" spans="1:29" s="211" customFormat="1" ht="15.75" customHeight="1">
      <c r="A1304" s="204">
        <f>IF(B1304&lt;&gt;"",IF(AND(B1304&gt;=_TM1,B1304&lt;=_TM2,OR(TH!L1304="1111",TH!M1304="1111")),TH!D1304,""),"")</f>
        <v>0</v>
      </c>
      <c r="B1304" s="36">
        <f t="shared" si="370"/>
        <v>11</v>
      </c>
      <c r="C1304" s="191">
        <f t="shared" si="371"/>
        <v>41953</v>
      </c>
      <c r="D1304" s="191"/>
      <c r="E1304" s="37">
        <v>41953</v>
      </c>
      <c r="F1304" s="192" t="s">
        <v>893</v>
      </c>
      <c r="G1304" s="462" t="s">
        <v>601</v>
      </c>
      <c r="H1304" s="7" t="s">
        <v>1051</v>
      </c>
      <c r="I1304" s="748"/>
      <c r="J1304" s="748"/>
      <c r="K1304" s="563">
        <v>16170000</v>
      </c>
      <c r="L1304" s="39" t="s">
        <v>8</v>
      </c>
      <c r="M1304" s="39" t="s">
        <v>47</v>
      </c>
      <c r="N1304" s="52" t="str">
        <f>IF(AND('331-CT'!$E$7=TH!H1304,OR(L1304="331",M1304="331")),"331",IF(AND(OR(L1304="131",M1304="131"),H1304='131-CT'!$E$7),"131",""))</f>
        <v/>
      </c>
      <c r="O1304" s="89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09"/>
    </row>
    <row r="1305" spans="1:29" s="211" customFormat="1" ht="15.75" customHeight="1">
      <c r="A1305" s="204">
        <f>IF(B1305&lt;&gt;"",IF(AND(B1305&gt;=_TM1,B1305&lt;=_TM2,OR(TH!L1305="1111",TH!M1305="1111")),TH!D1305,""),"")</f>
        <v>0</v>
      </c>
      <c r="B1305" s="36">
        <f t="shared" si="370"/>
        <v>11</v>
      </c>
      <c r="C1305" s="191">
        <f t="shared" si="371"/>
        <v>41954</v>
      </c>
      <c r="D1305" s="191"/>
      <c r="E1305" s="37">
        <v>41954</v>
      </c>
      <c r="F1305" s="189" t="s">
        <v>989</v>
      </c>
      <c r="G1305" s="463" t="s">
        <v>1054</v>
      </c>
      <c r="H1305" s="7" t="s">
        <v>988</v>
      </c>
      <c r="I1305" s="251"/>
      <c r="J1305" s="251"/>
      <c r="K1305" s="563">
        <f>136364</f>
        <v>136364</v>
      </c>
      <c r="L1305" s="39" t="s">
        <v>83</v>
      </c>
      <c r="M1305" s="39" t="s">
        <v>47</v>
      </c>
      <c r="N1305" s="52" t="str">
        <f>IF(AND('331-CT'!$E$7=TH!H1305,OR(L1305="331",M1305="331")),"331",IF(AND(OR(L1305="131",M1305="131"),H1305='131-CT'!$E$7),"131",""))</f>
        <v/>
      </c>
      <c r="O1305" s="89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>x</v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09">
        <v>4</v>
      </c>
    </row>
    <row r="1306" spans="1:29" s="211" customFormat="1" ht="15.75" customHeight="1">
      <c r="A1306" s="204">
        <f>IF(B1306&lt;&gt;"",IF(AND(B1306&gt;=_TM1,B1306&lt;=_TM2,OR(TH!L1306="1111",TH!M1306="1111")),TH!D1306,""),"")</f>
        <v>0</v>
      </c>
      <c r="B1306" s="36">
        <f t="shared" si="370"/>
        <v>11</v>
      </c>
      <c r="C1306" s="191">
        <f t="shared" si="371"/>
        <v>41954</v>
      </c>
      <c r="D1306" s="191"/>
      <c r="E1306" s="37">
        <v>41954</v>
      </c>
      <c r="F1306" s="189" t="s">
        <v>990</v>
      </c>
      <c r="G1306" s="463" t="s">
        <v>1054</v>
      </c>
      <c r="H1306" s="7" t="s">
        <v>988</v>
      </c>
      <c r="I1306" s="251"/>
      <c r="J1306" s="251"/>
      <c r="K1306" s="563">
        <f>13636</f>
        <v>13636</v>
      </c>
      <c r="L1306" s="39" t="s">
        <v>9</v>
      </c>
      <c r="M1306" s="39" t="s">
        <v>47</v>
      </c>
      <c r="N1306" s="52" t="str">
        <f>IF(AND('331-CT'!$E$7=TH!H1306,OR(L1306="331",M1306="331")),"331",IF(AND(OR(L1306="131",M1306="131"),H1306='131-CT'!$E$7),"131",""))</f>
        <v/>
      </c>
      <c r="O1306" s="89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09">
        <v>4</v>
      </c>
    </row>
    <row r="1307" spans="1:29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370"/>
        <v>11</v>
      </c>
      <c r="C1307" s="37">
        <f t="shared" si="371"/>
        <v>41957</v>
      </c>
      <c r="D1307" s="191" t="s">
        <v>1367</v>
      </c>
      <c r="E1307" s="37">
        <v>41957</v>
      </c>
      <c r="F1307" s="189" t="s">
        <v>350</v>
      </c>
      <c r="G1307" s="462" t="s">
        <v>1128</v>
      </c>
      <c r="H1307" s="7" t="s">
        <v>1129</v>
      </c>
      <c r="I1307" s="251">
        <v>100</v>
      </c>
      <c r="J1307" s="251">
        <v>21000</v>
      </c>
      <c r="K1307" s="563">
        <f>ROUND(I1307*J1307,0)</f>
        <v>2100000</v>
      </c>
      <c r="L1307" s="39" t="s">
        <v>161</v>
      </c>
      <c r="M1307" s="39" t="s">
        <v>8</v>
      </c>
      <c r="N1307" s="52" t="str">
        <f>IF(AND('331-CT'!$E$7=TH!H1307,OR(L1307="331",M1307="331")),"331",IF(AND(OR(L1307="131",M1307="131"),H1307='131-CT'!$E$7),"131",""))</f>
        <v/>
      </c>
      <c r="O1307" s="89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>x</v>
      </c>
      <c r="AA1307" s="52" t="str">
        <f>IF(AND(B1307&lt;=NKC!$N$8,B1307&gt;=NKC!$M$8),"x","")</f>
        <v/>
      </c>
      <c r="AB1307" s="809">
        <v>4</v>
      </c>
      <c r="AC1307" s="211" t="str">
        <f>IF(H1307=VLOOKUP(H1307,DSKH,1,0),"","x")</f>
        <v/>
      </c>
    </row>
    <row r="1308" spans="1:29" s="211" customFormat="1" ht="15.75" customHeight="1">
      <c r="A1308" s="204">
        <f>IF(B1308&lt;&gt;"",IF(AND(B1308&gt;=_TM1,B1308&lt;=_TM2,OR(TH!L1308="1111",TH!M1308="1111")),TH!D1308,""),"")</f>
        <v>0</v>
      </c>
      <c r="B1308" s="36">
        <f t="shared" si="370"/>
        <v>11</v>
      </c>
      <c r="C1308" s="37">
        <f t="shared" si="371"/>
        <v>41957</v>
      </c>
      <c r="D1308" s="191"/>
      <c r="E1308" s="37">
        <v>41957</v>
      </c>
      <c r="F1308" s="192" t="s">
        <v>893</v>
      </c>
      <c r="G1308" s="462" t="s">
        <v>1128</v>
      </c>
      <c r="H1308" s="7" t="s">
        <v>1129</v>
      </c>
      <c r="I1308" s="251"/>
      <c r="J1308" s="251"/>
      <c r="K1308" s="563">
        <v>2100000</v>
      </c>
      <c r="L1308" s="39" t="s">
        <v>8</v>
      </c>
      <c r="M1308" s="39" t="s">
        <v>47</v>
      </c>
      <c r="N1308" s="52" t="str">
        <f>IF(AND('331-CT'!$E$7=TH!H1308,OR(L1308="331",M1308="331")),"331",IF(AND(OR(L1308="131",M1308="131"),H1308='131-CT'!$E$7),"131",""))</f>
        <v/>
      </c>
      <c r="O1308" s="89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09"/>
    </row>
    <row r="1309" spans="1:29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370"/>
        <v>11</v>
      </c>
      <c r="C1309" s="37">
        <f t="shared" si="371"/>
        <v>41963</v>
      </c>
      <c r="D1309" s="191" t="s">
        <v>1213</v>
      </c>
      <c r="E1309" s="37">
        <v>41963</v>
      </c>
      <c r="F1309" s="291" t="s">
        <v>1075</v>
      </c>
      <c r="G1309" s="462" t="s">
        <v>704</v>
      </c>
      <c r="H1309" s="7" t="s">
        <v>1050</v>
      </c>
      <c r="I1309" s="251">
        <v>17859</v>
      </c>
      <c r="J1309" s="251">
        <v>7800</v>
      </c>
      <c r="K1309" s="563">
        <f>ROUND(I1309*J1309,0)</f>
        <v>139300200</v>
      </c>
      <c r="L1309" s="39" t="s">
        <v>159</v>
      </c>
      <c r="M1309" s="39" t="s">
        <v>8</v>
      </c>
      <c r="N1309" s="52" t="str">
        <f>IF(AND('331-CT'!$E$7=TH!H1309,OR(L1309="331",M1309="331")),"331",IF(AND(OR(L1309="131",M1309="131"),H1309='131-CT'!$E$7),"131",""))</f>
        <v/>
      </c>
      <c r="O1309" s="89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>x</v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09">
        <v>4</v>
      </c>
      <c r="AC1309" s="211" t="str">
        <f t="shared" ref="AC1309:AC1315" si="376">IF(H1309=VLOOKUP(H1309,DSKH,1,0),"","x")</f>
        <v/>
      </c>
    </row>
    <row r="1310" spans="1:29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370"/>
        <v>11</v>
      </c>
      <c r="C1310" s="37">
        <f t="shared" si="371"/>
        <v>41963</v>
      </c>
      <c r="D1310" s="191" t="s">
        <v>1213</v>
      </c>
      <c r="E1310" s="37">
        <v>41963</v>
      </c>
      <c r="F1310" s="40" t="s">
        <v>1049</v>
      </c>
      <c r="G1310" s="462" t="s">
        <v>704</v>
      </c>
      <c r="H1310" s="7" t="s">
        <v>1050</v>
      </c>
      <c r="I1310" s="251"/>
      <c r="J1310" s="251"/>
      <c r="K1310" s="563">
        <v>13930020</v>
      </c>
      <c r="L1310" s="39" t="s">
        <v>9</v>
      </c>
      <c r="M1310" s="39" t="s">
        <v>8</v>
      </c>
      <c r="N1310" s="52" t="str">
        <f>IF(AND('331-CT'!$E$7=TH!H1310,OR(L1310="331",M1310="331")),"331",IF(AND(OR(L1310="131",M1310="131"),H1310='131-CT'!$E$7),"131",""))</f>
        <v/>
      </c>
      <c r="O1310" s="89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09">
        <v>4</v>
      </c>
      <c r="AC1310" s="211" t="str">
        <f t="shared" si="376"/>
        <v/>
      </c>
    </row>
    <row r="1311" spans="1:29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370"/>
        <v>12</v>
      </c>
      <c r="C1311" s="37">
        <f t="shared" si="371"/>
        <v>41977</v>
      </c>
      <c r="D1311" s="191" t="s">
        <v>1214</v>
      </c>
      <c r="E1311" s="37">
        <v>41977</v>
      </c>
      <c r="F1311" s="291" t="s">
        <v>1075</v>
      </c>
      <c r="G1311" s="462" t="s">
        <v>1118</v>
      </c>
      <c r="H1311" s="7" t="s">
        <v>1116</v>
      </c>
      <c r="I1311" s="251">
        <v>2322</v>
      </c>
      <c r="J1311" s="251">
        <v>7300</v>
      </c>
      <c r="K1311" s="563">
        <f>ROUND(I1311*J1311,0)</f>
        <v>16950600</v>
      </c>
      <c r="L1311" s="39" t="s">
        <v>159</v>
      </c>
      <c r="M1311" s="39" t="s">
        <v>8</v>
      </c>
      <c r="N1311" s="52" t="str">
        <f>IF(AND('331-CT'!$E$7=TH!H1311,OR(L1311="331",M1311="331")),"331",IF(AND(OR(L1311="131",M1311="131"),H1311='131-CT'!$E$7),"131",""))</f>
        <v/>
      </c>
      <c r="O1311" s="89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>x</v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09">
        <v>4</v>
      </c>
      <c r="AC1311" s="211" t="str">
        <f t="shared" si="376"/>
        <v/>
      </c>
    </row>
    <row r="1312" spans="1:29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" si="377">IF(C1312&lt;&gt;"",MONTH(C1312),"")</f>
        <v>12</v>
      </c>
      <c r="C1312" s="37">
        <f t="shared" ref="C1312" si="378">E1312</f>
        <v>41977</v>
      </c>
      <c r="D1312" s="191" t="s">
        <v>1214</v>
      </c>
      <c r="E1312" s="37">
        <v>41977</v>
      </c>
      <c r="F1312" s="40" t="s">
        <v>1049</v>
      </c>
      <c r="G1312" s="462" t="s">
        <v>1118</v>
      </c>
      <c r="H1312" s="7" t="s">
        <v>1116</v>
      </c>
      <c r="I1312" s="251"/>
      <c r="J1312" s="251"/>
      <c r="K1312" s="563">
        <v>1695060</v>
      </c>
      <c r="L1312" s="39" t="s">
        <v>9</v>
      </c>
      <c r="M1312" s="39" t="s">
        <v>8</v>
      </c>
      <c r="N1312" s="52" t="str">
        <f>IF(AND('331-CT'!$E$7=TH!H1312,OR(L1312="331",M1312="331")),"331",IF(AND(OR(L1312="131",M1312="131"),H1312='131-CT'!$E$7),"131",""))</f>
        <v/>
      </c>
      <c r="O1312" s="89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09">
        <v>4</v>
      </c>
      <c r="AC1312" s="211" t="str">
        <f t="shared" ref="AC1312" si="379">IF(H1312=VLOOKUP(H1312,DSKH,1,0),"","x")</f>
        <v/>
      </c>
    </row>
    <row r="1313" spans="1:31" s="211" customFormat="1" ht="15.75" customHeight="1">
      <c r="A1313" s="204">
        <f>IF(B1313&lt;&gt;"",IF(AND(B1313&gt;=_TM1,B1313&lt;=_TM2,OR(TH!L1313="1111",TH!M1313="1111")),TH!D1313,""),"")</f>
        <v>0</v>
      </c>
      <c r="B1313" s="36">
        <f t="shared" si="370"/>
        <v>12</v>
      </c>
      <c r="C1313" s="37">
        <f t="shared" si="371"/>
        <v>41977</v>
      </c>
      <c r="D1313" s="191"/>
      <c r="E1313" s="37">
        <v>41977</v>
      </c>
      <c r="F1313" s="192" t="s">
        <v>893</v>
      </c>
      <c r="G1313" s="462" t="s">
        <v>1118</v>
      </c>
      <c r="H1313" s="7" t="s">
        <v>1116</v>
      </c>
      <c r="I1313" s="251"/>
      <c r="J1313" s="251"/>
      <c r="K1313" s="563">
        <v>18645660</v>
      </c>
      <c r="L1313" s="39" t="s">
        <v>8</v>
      </c>
      <c r="M1313" s="39" t="s">
        <v>47</v>
      </c>
      <c r="N1313" s="52" t="str">
        <f>IF(AND('331-CT'!$E$7=TH!H1313,OR(L1313="331",M1313="331")),"331",IF(AND(OR(L1313="131",M1313="131"),H1313='131-CT'!$E$7),"131",""))</f>
        <v/>
      </c>
      <c r="O1313" s="89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09"/>
      <c r="AC1313" s="211" t="str">
        <f t="shared" si="376"/>
        <v/>
      </c>
    </row>
    <row r="1314" spans="1:31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370"/>
        <v>12</v>
      </c>
      <c r="C1314" s="37">
        <f t="shared" si="371"/>
        <v>41982</v>
      </c>
      <c r="D1314" s="191" t="s">
        <v>1215</v>
      </c>
      <c r="E1314" s="184">
        <v>41982</v>
      </c>
      <c r="F1314" s="291" t="s">
        <v>1075</v>
      </c>
      <c r="G1314" s="623" t="s">
        <v>1119</v>
      </c>
      <c r="H1314" s="7" t="s">
        <v>1116</v>
      </c>
      <c r="I1314" s="251">
        <v>2399</v>
      </c>
      <c r="J1314" s="251">
        <v>7300</v>
      </c>
      <c r="K1314" s="563">
        <f>ROUND(I1314*J1314,0)</f>
        <v>17512700</v>
      </c>
      <c r="L1314" s="39" t="s">
        <v>159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9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>x</v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09">
        <v>4</v>
      </c>
      <c r="AC1314" s="211" t="str">
        <f t="shared" si="376"/>
        <v/>
      </c>
    </row>
    <row r="1315" spans="1:31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370"/>
        <v>12</v>
      </c>
      <c r="C1315" s="37">
        <f t="shared" si="371"/>
        <v>41982</v>
      </c>
      <c r="D1315" s="191" t="s">
        <v>1215</v>
      </c>
      <c r="E1315" s="184">
        <v>41982</v>
      </c>
      <c r="F1315" s="40" t="s">
        <v>1049</v>
      </c>
      <c r="G1315" s="623" t="s">
        <v>1119</v>
      </c>
      <c r="H1315" s="7" t="s">
        <v>1116</v>
      </c>
      <c r="I1315" s="251"/>
      <c r="J1315" s="251"/>
      <c r="K1315" s="563">
        <v>1751270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9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09">
        <v>4</v>
      </c>
      <c r="AC1315" s="211" t="str">
        <f t="shared" si="376"/>
        <v/>
      </c>
    </row>
    <row r="1316" spans="1:31" s="211" customFormat="1" ht="15.75" customHeight="1">
      <c r="A1316" s="204">
        <f>IF(B1316&lt;&gt;"",IF(AND(B1316&gt;=_TM1,B1316&lt;=_TM2,OR(TH!L1316="1111",TH!M1316="1111")),TH!D1316,""),"")</f>
        <v>0</v>
      </c>
      <c r="B1316" s="36">
        <f t="shared" ref="B1316" si="380">IF(C1316&lt;&gt;"",MONTH(C1316),"")</f>
        <v>12</v>
      </c>
      <c r="C1316" s="37">
        <f t="shared" ref="C1316" si="381">E1316</f>
        <v>41982</v>
      </c>
      <c r="D1316" s="191"/>
      <c r="E1316" s="184">
        <v>41982</v>
      </c>
      <c r="F1316" s="192" t="s">
        <v>893</v>
      </c>
      <c r="G1316" s="623" t="s">
        <v>1119</v>
      </c>
      <c r="H1316" s="7" t="s">
        <v>1116</v>
      </c>
      <c r="I1316" s="251"/>
      <c r="J1316" s="251"/>
      <c r="K1316" s="563">
        <v>19263970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9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09"/>
      <c r="AC1316" s="211" t="str">
        <f t="shared" ref="AC1316" si="382">IF(H1316=VLOOKUP(H1316,DSKH,1,0),"","x")</f>
        <v/>
      </c>
    </row>
    <row r="1317" spans="1:31" s="211" customFormat="1" ht="15.75" customHeight="1">
      <c r="A1317" s="204">
        <f>IF(B1317&lt;&gt;"",IF(AND(B1317&gt;=_TM1,B1317&lt;=_TM2,OR(TH!L1317="1111",TH!M1317="1111")),TH!D1317,""),"")</f>
        <v>0</v>
      </c>
      <c r="B1317" s="36">
        <f t="shared" si="370"/>
        <v>12</v>
      </c>
      <c r="C1317" s="191">
        <f t="shared" si="371"/>
        <v>41983</v>
      </c>
      <c r="D1317" s="184"/>
      <c r="E1317" s="191">
        <v>41983</v>
      </c>
      <c r="F1317" s="189" t="s">
        <v>989</v>
      </c>
      <c r="G1317" s="463" t="s">
        <v>1058</v>
      </c>
      <c r="H1317" s="7" t="s">
        <v>988</v>
      </c>
      <c r="I1317" s="251"/>
      <c r="J1317" s="251"/>
      <c r="K1317" s="563">
        <f>212092+275198+446313</f>
        <v>933603</v>
      </c>
      <c r="L1317" s="39" t="s">
        <v>83</v>
      </c>
      <c r="M1317" s="39" t="s">
        <v>47</v>
      </c>
      <c r="N1317" s="52" t="str">
        <f>IF(AND('331-CT'!$E$7=TH!H1317,OR(L1317="331",M1317="331")),"331",IF(AND(OR(L1317="131",M1317="131"),H1317='131-CT'!$E$7),"131",""))</f>
        <v/>
      </c>
      <c r="O1317" s="89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>x</v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09">
        <v>4</v>
      </c>
      <c r="AC1317" s="555"/>
      <c r="AD1317" s="555"/>
      <c r="AE1317" s="555"/>
    </row>
    <row r="1318" spans="1:31" s="211" customFormat="1" ht="15.75" customHeight="1">
      <c r="A1318" s="204">
        <f>IF(B1318&lt;&gt;"",IF(AND(B1318&gt;=_TM1,B1318&lt;=_TM2,OR(TH!L1318="1111",TH!M1318="1111")),TH!D1318,""),"")</f>
        <v>0</v>
      </c>
      <c r="B1318" s="36">
        <f t="shared" si="370"/>
        <v>12</v>
      </c>
      <c r="C1318" s="191">
        <f t="shared" si="371"/>
        <v>41983</v>
      </c>
      <c r="D1318" s="184"/>
      <c r="E1318" s="191">
        <v>41983</v>
      </c>
      <c r="F1318" s="189" t="s">
        <v>990</v>
      </c>
      <c r="G1318" s="463" t="s">
        <v>1057</v>
      </c>
      <c r="H1318" s="7" t="s">
        <v>988</v>
      </c>
      <c r="I1318" s="251"/>
      <c r="J1318" s="251"/>
      <c r="K1318" s="563">
        <f>21209+27520+44633</f>
        <v>93362</v>
      </c>
      <c r="L1318" s="837" t="s">
        <v>9</v>
      </c>
      <c r="M1318" s="39" t="s">
        <v>47</v>
      </c>
      <c r="N1318" s="52" t="str">
        <f>IF(AND('331-CT'!$E$7=TH!H1318,OR(L1318="331",M1318="331")),"331",IF(AND(OR(L1318="131",M1318="131"),H1318='131-CT'!$E$7),"131",""))</f>
        <v/>
      </c>
      <c r="O1318" s="89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09">
        <v>4</v>
      </c>
      <c r="AE1318" s="555"/>
    </row>
    <row r="1319" spans="1:31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370"/>
        <v>12</v>
      </c>
      <c r="C1319" s="37">
        <f t="shared" si="371"/>
        <v>41986</v>
      </c>
      <c r="D1319" s="191" t="s">
        <v>1216</v>
      </c>
      <c r="E1319" s="191">
        <v>41986</v>
      </c>
      <c r="F1319" s="291" t="s">
        <v>1075</v>
      </c>
      <c r="G1319" s="463" t="s">
        <v>1103</v>
      </c>
      <c r="H1319" s="7" t="s">
        <v>1116</v>
      </c>
      <c r="I1319" s="251">
        <v>2159</v>
      </c>
      <c r="J1319" s="251">
        <v>7300</v>
      </c>
      <c r="K1319" s="563">
        <f>ROUND(I1319*J1319,0)</f>
        <v>15760700</v>
      </c>
      <c r="L1319" s="39" t="s">
        <v>159</v>
      </c>
      <c r="M1319" s="39" t="s">
        <v>8</v>
      </c>
      <c r="N1319" s="52" t="str">
        <f>IF(AND('331-CT'!$E$7=TH!H1319,OR(L1319="331",M1319="331")),"331",IF(AND(OR(L1319="131",M1319="131"),H1319='131-CT'!$E$7),"131",""))</f>
        <v/>
      </c>
      <c r="O1319" s="89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>x</v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09">
        <v>4</v>
      </c>
      <c r="AC1319" s="211" t="str">
        <f>IF(H1319=VLOOKUP(H1319,DSKH,1,0),"","x")</f>
        <v/>
      </c>
    </row>
    <row r="1320" spans="1:31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370"/>
        <v>12</v>
      </c>
      <c r="C1320" s="37">
        <f t="shared" si="371"/>
        <v>41986</v>
      </c>
      <c r="D1320" s="191" t="s">
        <v>1216</v>
      </c>
      <c r="E1320" s="191">
        <v>41986</v>
      </c>
      <c r="F1320" s="40" t="s">
        <v>1049</v>
      </c>
      <c r="G1320" s="463" t="s">
        <v>1103</v>
      </c>
      <c r="H1320" s="7" t="s">
        <v>1116</v>
      </c>
      <c r="I1320" s="251"/>
      <c r="J1320" s="251"/>
      <c r="K1320" s="563">
        <v>1576070</v>
      </c>
      <c r="L1320" s="39" t="s">
        <v>9</v>
      </c>
      <c r="M1320" s="39" t="s">
        <v>8</v>
      </c>
      <c r="N1320" s="52" t="str">
        <f>IF(AND('331-CT'!$E$7=TH!H1320,OR(L1320="331",M1320="331")),"331",IF(AND(OR(L1320="131",M1320="131"),H1320='131-CT'!$E$7),"131",""))</f>
        <v/>
      </c>
      <c r="O1320" s="89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09">
        <v>4</v>
      </c>
      <c r="AC1320" s="211" t="str">
        <f>IF(H1320=VLOOKUP(H1320,DSKH,1,0),"","x")</f>
        <v/>
      </c>
    </row>
    <row r="1321" spans="1:31" s="211" customFormat="1" ht="15.75" customHeight="1">
      <c r="A1321" s="204">
        <f>IF(B1321&lt;&gt;"",IF(AND(B1321&gt;=_TM1,B1321&lt;=_TM2,OR(TH!L1321="1111",TH!M1321="1111")),TH!D1321,""),"")</f>
        <v>0</v>
      </c>
      <c r="B1321" s="36">
        <f t="shared" ref="B1321" si="383">IF(C1321&lt;&gt;"",MONTH(C1321),"")</f>
        <v>12</v>
      </c>
      <c r="C1321" s="37">
        <f t="shared" ref="C1321" si="384">E1321</f>
        <v>41986</v>
      </c>
      <c r="D1321" s="191"/>
      <c r="E1321" s="191">
        <v>41986</v>
      </c>
      <c r="F1321" s="192" t="s">
        <v>893</v>
      </c>
      <c r="G1321" s="463" t="s">
        <v>1103</v>
      </c>
      <c r="H1321" s="7" t="s">
        <v>1116</v>
      </c>
      <c r="I1321" s="251"/>
      <c r="J1321" s="251"/>
      <c r="K1321" s="563">
        <v>17336770</v>
      </c>
      <c r="L1321" s="39" t="s">
        <v>8</v>
      </c>
      <c r="M1321" s="39" t="s">
        <v>47</v>
      </c>
      <c r="N1321" s="52" t="str">
        <f>IF(AND('331-CT'!$E$7=TH!H1321,OR(L1321="331",M1321="331")),"331",IF(AND(OR(L1321="131",M1321="131"),H1321='131-CT'!$E$7),"131",""))</f>
        <v/>
      </c>
      <c r="O1321" s="89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09"/>
      <c r="AC1321" s="211" t="str">
        <f>IF(H1321=VLOOKUP(H1321,DSKH,1,0),"","x")</f>
        <v/>
      </c>
    </row>
    <row r="1322" spans="1:31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370"/>
        <v>12</v>
      </c>
      <c r="C1322" s="37">
        <f t="shared" si="371"/>
        <v>41988</v>
      </c>
      <c r="D1322" s="191" t="s">
        <v>1217</v>
      </c>
      <c r="E1322" s="191">
        <v>41988</v>
      </c>
      <c r="F1322" s="291" t="s">
        <v>1075</v>
      </c>
      <c r="G1322" s="463" t="s">
        <v>750</v>
      </c>
      <c r="H1322" s="7" t="s">
        <v>1050</v>
      </c>
      <c r="I1322" s="251">
        <v>16434</v>
      </c>
      <c r="J1322" s="251">
        <v>7800</v>
      </c>
      <c r="K1322" s="563">
        <f>ROUND(I1322*J1322,0)</f>
        <v>128185200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9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>x</v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09">
        <v>4</v>
      </c>
      <c r="AC1322" s="211" t="str">
        <f>IF(H1322=VLOOKUP(H1322,DSKH,1,0),"","x")</f>
        <v/>
      </c>
    </row>
    <row r="1323" spans="1:31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370"/>
        <v>12</v>
      </c>
      <c r="C1323" s="37">
        <f t="shared" si="371"/>
        <v>41988</v>
      </c>
      <c r="D1323" s="191" t="s">
        <v>1217</v>
      </c>
      <c r="E1323" s="191">
        <v>41988</v>
      </c>
      <c r="F1323" s="40" t="s">
        <v>1049</v>
      </c>
      <c r="G1323" s="463" t="s">
        <v>750</v>
      </c>
      <c r="H1323" s="7" t="s">
        <v>1050</v>
      </c>
      <c r="I1323" s="251"/>
      <c r="J1323" s="251"/>
      <c r="K1323" s="563">
        <v>12818520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9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09">
        <v>4</v>
      </c>
      <c r="AC1323" s="211" t="str">
        <f>IF(H1323=VLOOKUP(H1323,DSKH,1,0),"","x")</f>
        <v/>
      </c>
    </row>
    <row r="1324" spans="1:31" s="211" customFormat="1" ht="15.75" customHeight="1">
      <c r="A1324" s="204">
        <f>IF(B1324&lt;&gt;"",IF(AND(B1324&gt;=_TM1,B1324&lt;=_TM2,OR(TH!L1324="1111",TH!M1324="1111")),TH!D1324,""),"")</f>
        <v>0</v>
      </c>
      <c r="B1324" s="36">
        <f t="shared" si="370"/>
        <v>12</v>
      </c>
      <c r="C1324" s="191">
        <f t="shared" si="371"/>
        <v>41989</v>
      </c>
      <c r="D1324" s="191"/>
      <c r="E1324" s="37">
        <v>41989</v>
      </c>
      <c r="F1324" s="192" t="s">
        <v>372</v>
      </c>
      <c r="G1324" s="463" t="s">
        <v>1055</v>
      </c>
      <c r="H1324" s="7" t="s">
        <v>998</v>
      </c>
      <c r="I1324" s="251"/>
      <c r="J1324" s="251"/>
      <c r="K1324" s="563">
        <v>7900000</v>
      </c>
      <c r="L1324" s="39" t="s">
        <v>167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9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09">
        <v>4</v>
      </c>
    </row>
    <row r="1325" spans="1:31" s="211" customFormat="1" ht="15.75" customHeight="1">
      <c r="A1325" s="204">
        <f>IF(B1325&lt;&gt;"",IF(AND(B1325&gt;=_TM1,B1325&lt;=_TM2,OR(TH!L1325="1111",TH!M1325="1111")),TH!D1325,""),"")</f>
        <v>0</v>
      </c>
      <c r="B1325" s="36">
        <f t="shared" si="370"/>
        <v>12</v>
      </c>
      <c r="C1325" s="191">
        <f t="shared" si="371"/>
        <v>41989</v>
      </c>
      <c r="D1325" s="191"/>
      <c r="E1325" s="37">
        <v>41989</v>
      </c>
      <c r="F1325" s="192" t="s">
        <v>999</v>
      </c>
      <c r="G1325" s="463" t="s">
        <v>1055</v>
      </c>
      <c r="H1325" s="7" t="s">
        <v>998</v>
      </c>
      <c r="I1325" s="251"/>
      <c r="J1325" s="251"/>
      <c r="K1325" s="563">
        <v>790000</v>
      </c>
      <c r="L1325" s="39" t="s">
        <v>9</v>
      </c>
      <c r="M1325" s="39" t="s">
        <v>47</v>
      </c>
      <c r="N1325" s="52" t="str">
        <f>IF(AND('331-CT'!$E$7=TH!H1325,OR(L1325="331",M1325="331")),"331",IF(AND(OR(L1325="131",M1325="131"),H1325='131-CT'!$E$7),"131",""))</f>
        <v/>
      </c>
      <c r="O1325" s="89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09">
        <v>4</v>
      </c>
    </row>
    <row r="1326" spans="1:31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370"/>
        <v>12</v>
      </c>
      <c r="C1326" s="37">
        <f t="shared" si="371"/>
        <v>41992</v>
      </c>
      <c r="D1326" s="191" t="s">
        <v>1218</v>
      </c>
      <c r="E1326" s="191">
        <v>41992</v>
      </c>
      <c r="F1326" s="291" t="s">
        <v>1075</v>
      </c>
      <c r="G1326" s="463" t="s">
        <v>1120</v>
      </c>
      <c r="H1326" s="7" t="s">
        <v>1116</v>
      </c>
      <c r="I1326" s="251">
        <v>1985</v>
      </c>
      <c r="J1326" s="251">
        <v>7300</v>
      </c>
      <c r="K1326" s="563">
        <f>ROUND(I1326*J1326,0)</f>
        <v>14490500</v>
      </c>
      <c r="L1326" s="39" t="s">
        <v>159</v>
      </c>
      <c r="M1326" s="39" t="s">
        <v>8</v>
      </c>
      <c r="N1326" s="52" t="str">
        <f>IF(AND('331-CT'!$E$7=TH!H1326,OR(L1326="331",M1326="331")),"331",IF(AND(OR(L1326="131",M1326="131"),H1326='131-CT'!$E$7),"131",""))</f>
        <v/>
      </c>
      <c r="O1326" s="89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>x</v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09">
        <v>4</v>
      </c>
      <c r="AC1326" s="211" t="str">
        <f>IF(H1326=VLOOKUP(H1326,DSKH,1,0),"","x")</f>
        <v/>
      </c>
    </row>
    <row r="1327" spans="1:31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370"/>
        <v>12</v>
      </c>
      <c r="C1327" s="37">
        <f t="shared" si="371"/>
        <v>41992</v>
      </c>
      <c r="D1327" s="191" t="s">
        <v>1218</v>
      </c>
      <c r="E1327" s="191">
        <v>41992</v>
      </c>
      <c r="F1327" s="40" t="s">
        <v>1049</v>
      </c>
      <c r="G1327" s="463" t="s">
        <v>1120</v>
      </c>
      <c r="H1327" s="7" t="s">
        <v>1116</v>
      </c>
      <c r="I1327" s="251"/>
      <c r="J1327" s="251"/>
      <c r="K1327" s="563">
        <v>1449050</v>
      </c>
      <c r="L1327" s="39" t="s">
        <v>9</v>
      </c>
      <c r="M1327" s="39" t="s">
        <v>8</v>
      </c>
      <c r="N1327" s="52" t="str">
        <f>IF(AND('331-CT'!$E$7=TH!H1327,OR(L1327="331",M1327="331")),"331",IF(AND(OR(L1327="131",M1327="131"),H1327='131-CT'!$E$7),"131",""))</f>
        <v/>
      </c>
      <c r="O1327" s="89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09">
        <v>4</v>
      </c>
      <c r="AC1327" s="211" t="str">
        <f>IF(H1327=VLOOKUP(H1327,DSKH,1,0),"","x")</f>
        <v/>
      </c>
    </row>
    <row r="1328" spans="1:31" s="211" customFormat="1" ht="15.75" customHeight="1">
      <c r="A1328" s="204">
        <f>IF(B1328&lt;&gt;"",IF(AND(B1328&gt;=_TM1,B1328&lt;=_TM2,OR(TH!L1328="1111",TH!M1328="1111")),TH!D1328,""),"")</f>
        <v>0</v>
      </c>
      <c r="B1328" s="36">
        <f t="shared" ref="B1328" si="385">IF(C1328&lt;&gt;"",MONTH(C1328),"")</f>
        <v>12</v>
      </c>
      <c r="C1328" s="37">
        <f t="shared" ref="C1328" si="386">E1328</f>
        <v>41992</v>
      </c>
      <c r="D1328" s="191"/>
      <c r="E1328" s="191">
        <v>41992</v>
      </c>
      <c r="F1328" s="192" t="s">
        <v>893</v>
      </c>
      <c r="G1328" s="463" t="s">
        <v>1120</v>
      </c>
      <c r="H1328" s="7" t="s">
        <v>1116</v>
      </c>
      <c r="I1328" s="251"/>
      <c r="J1328" s="251"/>
      <c r="K1328" s="563">
        <v>15939550</v>
      </c>
      <c r="L1328" s="39" t="s">
        <v>8</v>
      </c>
      <c r="M1328" s="39" t="s">
        <v>47</v>
      </c>
      <c r="N1328" s="52" t="str">
        <f>IF(AND('331-CT'!$E$7=TH!H1328,OR(L1328="331",M1328="331")),"331",IF(AND(OR(L1328="131",M1328="131"),H1328='131-CT'!$E$7),"131",""))</f>
        <v/>
      </c>
      <c r="O1328" s="89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09"/>
      <c r="AC1328" s="211" t="str">
        <f>IF(H1328=VLOOKUP(H1328,DSKH,1,0),"","x")</f>
        <v/>
      </c>
    </row>
    <row r="1329" spans="1:29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370"/>
        <v>12</v>
      </c>
      <c r="C1329" s="37">
        <f t="shared" si="371"/>
        <v>41993</v>
      </c>
      <c r="D1329" s="191" t="s">
        <v>1368</v>
      </c>
      <c r="E1329" s="191">
        <v>41993</v>
      </c>
      <c r="F1329" s="189" t="s">
        <v>330</v>
      </c>
      <c r="G1329" s="463" t="s">
        <v>1121</v>
      </c>
      <c r="H1329" s="7" t="s">
        <v>351</v>
      </c>
      <c r="I1329" s="251">
        <v>24</v>
      </c>
      <c r="J1329" s="251">
        <v>45000</v>
      </c>
      <c r="K1329" s="563">
        <f>ROUND(I1329*J1329,0)</f>
        <v>1080000</v>
      </c>
      <c r="L1329" s="39" t="s">
        <v>161</v>
      </c>
      <c r="M1329" s="39" t="s">
        <v>8</v>
      </c>
      <c r="N1329" s="52" t="str">
        <f>IF(AND('331-CT'!$E$7=TH!H1329,OR(L1329="331",M1329="331")),"331",IF(AND(OR(L1329="131",M1329="131"),H1329='131-CT'!$E$7),"131",""))</f>
        <v/>
      </c>
      <c r="O1329" s="89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09">
        <v>4</v>
      </c>
      <c r="AC1329" s="211" t="str">
        <f>IF(H1329=VLOOKUP(H1329,DSKH,1,0),"","x")</f>
        <v/>
      </c>
    </row>
    <row r="1330" spans="1:29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370"/>
        <v>12</v>
      </c>
      <c r="C1330" s="37">
        <f t="shared" si="371"/>
        <v>41993</v>
      </c>
      <c r="D1330" s="191" t="s">
        <v>1368</v>
      </c>
      <c r="E1330" s="191">
        <v>41993</v>
      </c>
      <c r="F1330" s="189" t="s">
        <v>1008</v>
      </c>
      <c r="G1330" s="463" t="s">
        <v>1121</v>
      </c>
      <c r="H1330" s="7" t="s">
        <v>351</v>
      </c>
      <c r="I1330" s="251"/>
      <c r="J1330" s="251"/>
      <c r="K1330" s="563">
        <v>108000</v>
      </c>
      <c r="L1330" s="39" t="s">
        <v>9</v>
      </c>
      <c r="M1330" s="39" t="s">
        <v>8</v>
      </c>
      <c r="N1330" s="52" t="str">
        <f>IF(AND('331-CT'!$E$7=TH!H1330,OR(L1330="331",M1330="331")),"331",IF(AND(OR(L1330="131",M1330="131"),H1330='131-CT'!$E$7),"131",""))</f>
        <v/>
      </c>
      <c r="O1330" s="89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09">
        <v>4</v>
      </c>
      <c r="AC1330" s="211" t="str">
        <f>IF(H1330=VLOOKUP(H1330,DSKH,1,0),"","x")</f>
        <v/>
      </c>
    </row>
    <row r="1331" spans="1:29" s="211" customFormat="1" ht="15.75" customHeight="1">
      <c r="A1331" s="204">
        <f>IF(B1331&lt;&gt;"",IF(AND(B1331&gt;=_TM1,B1331&lt;=_TM2,OR(TH!L1331="1111",TH!M1331="1111")),TH!D1331,""),"")</f>
        <v>0</v>
      </c>
      <c r="B1331" s="36">
        <f t="shared" si="370"/>
        <v>12</v>
      </c>
      <c r="C1331" s="37">
        <f t="shared" si="371"/>
        <v>41993</v>
      </c>
      <c r="D1331" s="37"/>
      <c r="E1331" s="191">
        <v>41993</v>
      </c>
      <c r="F1331" s="192" t="s">
        <v>893</v>
      </c>
      <c r="G1331" s="463" t="s">
        <v>1121</v>
      </c>
      <c r="H1331" s="7" t="s">
        <v>351</v>
      </c>
      <c r="I1331" s="251"/>
      <c r="J1331" s="251"/>
      <c r="K1331" s="563">
        <v>1188000</v>
      </c>
      <c r="L1331" s="39" t="s">
        <v>8</v>
      </c>
      <c r="M1331" s="39" t="s">
        <v>47</v>
      </c>
      <c r="N1331" s="52" t="str">
        <f>IF(AND('331-CT'!$E$7=TH!H1331,OR(L1331="331",M1331="331")),"331",IF(AND(OR(L1331="131",M1331="131"),H1331='131-CT'!$E$7),"131",""))</f>
        <v/>
      </c>
      <c r="O1331" s="89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09"/>
    </row>
    <row r="1332" spans="1:29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370"/>
        <v>12</v>
      </c>
      <c r="C1332" s="37">
        <f t="shared" si="371"/>
        <v>41996</v>
      </c>
      <c r="D1332" s="191" t="s">
        <v>1219</v>
      </c>
      <c r="E1332" s="724">
        <v>41996</v>
      </c>
      <c r="F1332" s="291" t="s">
        <v>1075</v>
      </c>
      <c r="G1332" s="463" t="s">
        <v>1122</v>
      </c>
      <c r="H1332" s="7" t="s">
        <v>1116</v>
      </c>
      <c r="I1332" s="251">
        <v>2356</v>
      </c>
      <c r="J1332" s="251">
        <v>7300</v>
      </c>
      <c r="K1332" s="563">
        <f>ROUND(I1332*J1332,0)</f>
        <v>17198800</v>
      </c>
      <c r="L1332" s="39" t="s">
        <v>159</v>
      </c>
      <c r="M1332" s="39" t="s">
        <v>8</v>
      </c>
      <c r="N1332" s="52" t="str">
        <f>IF(AND('331-CT'!$E$7=TH!H1332,OR(L1332="331",M1332="331")),"331",IF(AND(OR(L1332="131",M1332="131"),H1332='131-CT'!$E$7),"131",""))</f>
        <v/>
      </c>
      <c r="O1332" s="89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>x</v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09">
        <v>4</v>
      </c>
      <c r="AC1332" s="211" t="str">
        <f t="shared" ref="AC1332:AC1341" si="387">IF(H1332=VLOOKUP(H1332,DSKH,1,0),"","x")</f>
        <v/>
      </c>
    </row>
    <row r="1333" spans="1:29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370"/>
        <v>12</v>
      </c>
      <c r="C1333" s="37">
        <f t="shared" si="371"/>
        <v>41996</v>
      </c>
      <c r="D1333" s="191" t="s">
        <v>1219</v>
      </c>
      <c r="E1333" s="724">
        <v>41996</v>
      </c>
      <c r="F1333" s="40" t="s">
        <v>1049</v>
      </c>
      <c r="G1333" s="463" t="s">
        <v>1122</v>
      </c>
      <c r="H1333" s="7" t="s">
        <v>1116</v>
      </c>
      <c r="I1333" s="251"/>
      <c r="J1333" s="251"/>
      <c r="K1333" s="563">
        <v>1719880</v>
      </c>
      <c r="L1333" s="39" t="s">
        <v>9</v>
      </c>
      <c r="M1333" s="39" t="s">
        <v>8</v>
      </c>
      <c r="N1333" s="52" t="str">
        <f>IF(AND('331-CT'!$E$7=TH!H1333,OR(L1333="331",M1333="331")),"331",IF(AND(OR(L1333="131",M1333="131"),H1333='131-CT'!$E$7),"131",""))</f>
        <v/>
      </c>
      <c r="O1333" s="89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09">
        <v>4</v>
      </c>
      <c r="AC1333" s="211" t="str">
        <f t="shared" si="387"/>
        <v/>
      </c>
    </row>
    <row r="1334" spans="1:29" s="211" customFormat="1" ht="15.75" customHeight="1">
      <c r="A1334" s="204">
        <f>IF(B1334&lt;&gt;"",IF(AND(B1334&gt;=_TM1,B1334&lt;=_TM2,OR(TH!L1334="1111",TH!M1334="1111")),TH!D1334,""),"")</f>
        <v>0</v>
      </c>
      <c r="B1334" s="36">
        <f t="shared" ref="B1334" si="388">IF(C1334&lt;&gt;"",MONTH(C1334),"")</f>
        <v>12</v>
      </c>
      <c r="C1334" s="37">
        <f t="shared" ref="C1334" si="389">E1334</f>
        <v>41996</v>
      </c>
      <c r="D1334" s="191"/>
      <c r="E1334" s="724">
        <v>41996</v>
      </c>
      <c r="F1334" s="192" t="s">
        <v>893</v>
      </c>
      <c r="G1334" s="463" t="s">
        <v>1122</v>
      </c>
      <c r="H1334" s="7" t="s">
        <v>1116</v>
      </c>
      <c r="I1334" s="251"/>
      <c r="J1334" s="251"/>
      <c r="K1334" s="563">
        <v>18918680</v>
      </c>
      <c r="L1334" s="39" t="s">
        <v>8</v>
      </c>
      <c r="M1334" s="39" t="s">
        <v>47</v>
      </c>
      <c r="N1334" s="52" t="str">
        <f>IF(AND('331-CT'!$E$7=TH!H1334,OR(L1334="331",M1334="331")),"331",IF(AND(OR(L1334="131",M1334="131"),H1334='131-CT'!$E$7),"131",""))</f>
        <v/>
      </c>
      <c r="O1334" s="89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09"/>
      <c r="AC1334" s="211" t="str">
        <f t="shared" ref="AC1334" si="390">IF(H1334=VLOOKUP(H1334,DSKH,1,0),"","x")</f>
        <v/>
      </c>
    </row>
    <row r="1335" spans="1:29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370"/>
        <v>12</v>
      </c>
      <c r="C1335" s="37">
        <f t="shared" si="371"/>
        <v>41998</v>
      </c>
      <c r="D1335" s="191" t="s">
        <v>1220</v>
      </c>
      <c r="E1335" s="724">
        <v>41998</v>
      </c>
      <c r="F1335" s="291" t="s">
        <v>1075</v>
      </c>
      <c r="G1335" s="463" t="s">
        <v>1123</v>
      </c>
      <c r="H1335" s="7" t="s">
        <v>1116</v>
      </c>
      <c r="I1335" s="251">
        <v>2352</v>
      </c>
      <c r="J1335" s="251">
        <v>7300</v>
      </c>
      <c r="K1335" s="563">
        <f>ROUND(I1335*J1335,0)</f>
        <v>17169600</v>
      </c>
      <c r="L1335" s="39" t="s">
        <v>159</v>
      </c>
      <c r="M1335" s="39" t="s">
        <v>8</v>
      </c>
      <c r="N1335" s="52" t="str">
        <f>IF(AND('331-CT'!$E$7=TH!H1335,OR(L1335="331",M1335="331")),"331",IF(AND(OR(L1335="131",M1335="131"),H1335='131-CT'!$E$7),"131",""))</f>
        <v/>
      </c>
      <c r="O1335" s="89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>x</v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09">
        <v>4</v>
      </c>
      <c r="AC1335" s="211" t="str">
        <f t="shared" si="387"/>
        <v/>
      </c>
    </row>
    <row r="1336" spans="1:29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ref="B1336" si="391">IF(C1336&lt;&gt;"",MONTH(C1336),"")</f>
        <v>12</v>
      </c>
      <c r="C1336" s="37">
        <f t="shared" ref="C1336" si="392">E1336</f>
        <v>41998</v>
      </c>
      <c r="D1336" s="191" t="s">
        <v>1220</v>
      </c>
      <c r="E1336" s="724">
        <v>41998</v>
      </c>
      <c r="F1336" s="40" t="s">
        <v>1049</v>
      </c>
      <c r="G1336" s="463" t="s">
        <v>1123</v>
      </c>
      <c r="H1336" s="7" t="s">
        <v>1116</v>
      </c>
      <c r="I1336" s="251"/>
      <c r="J1336" s="251"/>
      <c r="K1336" s="563">
        <v>1716960</v>
      </c>
      <c r="L1336" s="39" t="s">
        <v>9</v>
      </c>
      <c r="M1336" s="39" t="s">
        <v>8</v>
      </c>
      <c r="N1336" s="52" t="str">
        <f>IF(AND('331-CT'!$E$7=TH!H1336,OR(L1336="331",M1336="331")),"331",IF(AND(OR(L1336="131",M1336="131"),H1336='131-CT'!$E$7),"131",""))</f>
        <v/>
      </c>
      <c r="O1336" s="89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09">
        <v>4</v>
      </c>
      <c r="AC1336" s="211" t="str">
        <f t="shared" ref="AC1336:AC1337" si="393">IF(H1336=VLOOKUP(H1336,DSKH,1,0),"","x")</f>
        <v/>
      </c>
    </row>
    <row r="1337" spans="1:29" s="211" customFormat="1" ht="15.75" customHeight="1">
      <c r="A1337" s="204">
        <f>IF(B1337&lt;&gt;"",IF(AND(B1337&gt;=_TM1,B1337&lt;=_TM2,OR(TH!L1337="1111",TH!M1337="1111")),TH!D1337,""),"")</f>
        <v>0</v>
      </c>
      <c r="B1337" s="36">
        <f t="shared" si="370"/>
        <v>12</v>
      </c>
      <c r="C1337" s="37">
        <f t="shared" si="371"/>
        <v>41998</v>
      </c>
      <c r="D1337" s="191"/>
      <c r="E1337" s="724">
        <v>41998</v>
      </c>
      <c r="F1337" s="192" t="s">
        <v>893</v>
      </c>
      <c r="G1337" s="463" t="s">
        <v>1123</v>
      </c>
      <c r="H1337" s="7" t="s">
        <v>1116</v>
      </c>
      <c r="I1337" s="251"/>
      <c r="J1337" s="251"/>
      <c r="K1337" s="563">
        <v>18886560</v>
      </c>
      <c r="L1337" s="39" t="s">
        <v>8</v>
      </c>
      <c r="M1337" s="39" t="s">
        <v>47</v>
      </c>
      <c r="N1337" s="52" t="str">
        <f>IF(AND('331-CT'!$E$7=TH!H1337,OR(L1337="331",M1337="331")),"331",IF(AND(OR(L1337="131",M1337="131"),H1337='131-CT'!$E$7),"131",""))</f>
        <v/>
      </c>
      <c r="O1337" s="89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09"/>
      <c r="AC1337" s="211" t="str">
        <f t="shared" si="393"/>
        <v/>
      </c>
    </row>
    <row r="1338" spans="1:29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370"/>
        <v>12</v>
      </c>
      <c r="C1338" s="37">
        <f t="shared" si="371"/>
        <v>42002</v>
      </c>
      <c r="D1338" s="191" t="s">
        <v>1221</v>
      </c>
      <c r="E1338" s="724">
        <v>42002</v>
      </c>
      <c r="F1338" s="291" t="s">
        <v>1075</v>
      </c>
      <c r="G1338" s="462" t="s">
        <v>1124</v>
      </c>
      <c r="H1338" s="7" t="s">
        <v>1116</v>
      </c>
      <c r="I1338" s="251">
        <v>1272</v>
      </c>
      <c r="J1338" s="251">
        <v>7300</v>
      </c>
      <c r="K1338" s="563">
        <f>ROUND(I1338*J1338,0)</f>
        <v>9285600</v>
      </c>
      <c r="L1338" s="39" t="s">
        <v>159</v>
      </c>
      <c r="M1338" s="39" t="s">
        <v>8</v>
      </c>
      <c r="N1338" s="52" t="str">
        <f>IF(AND('331-CT'!$E$7=TH!H1338,OR(L1338="331",M1338="331")),"331",IF(AND(OR(L1338="131",M1338="131"),H1338='131-CT'!$E$7),"131",""))</f>
        <v/>
      </c>
      <c r="O1338" s="89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>x</v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09">
        <v>4</v>
      </c>
      <c r="AC1338" s="211" t="str">
        <f t="shared" si="387"/>
        <v/>
      </c>
    </row>
    <row r="1339" spans="1:29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ref="B1339" si="394">IF(C1339&lt;&gt;"",MONTH(C1339),"")</f>
        <v>12</v>
      </c>
      <c r="C1339" s="37">
        <f t="shared" ref="C1339" si="395">E1339</f>
        <v>42002</v>
      </c>
      <c r="D1339" s="191" t="s">
        <v>1221</v>
      </c>
      <c r="E1339" s="724">
        <v>42002</v>
      </c>
      <c r="F1339" s="40" t="s">
        <v>1049</v>
      </c>
      <c r="G1339" s="462" t="s">
        <v>1124</v>
      </c>
      <c r="H1339" s="7" t="s">
        <v>1116</v>
      </c>
      <c r="I1339" s="251"/>
      <c r="J1339" s="251"/>
      <c r="K1339" s="563">
        <v>928560</v>
      </c>
      <c r="L1339" s="39" t="s">
        <v>9</v>
      </c>
      <c r="M1339" s="39" t="s">
        <v>8</v>
      </c>
      <c r="N1339" s="52" t="str">
        <f>IF(AND('331-CT'!$E$7=TH!H1339,OR(L1339="331",M1339="331")),"331",IF(AND(OR(L1339="131",M1339="131"),H1339='131-CT'!$E$7),"131",""))</f>
        <v/>
      </c>
      <c r="O1339" s="89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09">
        <v>4</v>
      </c>
      <c r="AC1339" s="211" t="str">
        <f t="shared" ref="AC1339:AC1340" si="396">IF(H1339=VLOOKUP(H1339,DSKH,1,0),"","x")</f>
        <v/>
      </c>
    </row>
    <row r="1340" spans="1:29" s="211" customFormat="1" ht="15.75" customHeight="1">
      <c r="A1340" s="204">
        <f>IF(B1340&lt;&gt;"",IF(AND(B1340&gt;=_TM1,B1340&lt;=_TM2,OR(TH!L1340="1111",TH!M1340="1111")),TH!D1340,""),"")</f>
        <v>0</v>
      </c>
      <c r="B1340" s="36">
        <f t="shared" si="370"/>
        <v>12</v>
      </c>
      <c r="C1340" s="37">
        <f t="shared" si="371"/>
        <v>42002</v>
      </c>
      <c r="D1340" s="191"/>
      <c r="E1340" s="724">
        <v>42002</v>
      </c>
      <c r="F1340" s="192" t="s">
        <v>893</v>
      </c>
      <c r="G1340" s="462" t="s">
        <v>1124</v>
      </c>
      <c r="H1340" s="7" t="s">
        <v>1116</v>
      </c>
      <c r="I1340" s="251"/>
      <c r="J1340" s="251"/>
      <c r="K1340" s="563">
        <v>10214160</v>
      </c>
      <c r="L1340" s="39" t="s">
        <v>8</v>
      </c>
      <c r="M1340" s="39" t="s">
        <v>47</v>
      </c>
      <c r="N1340" s="52" t="str">
        <f>IF(AND('331-CT'!$E$7=TH!H1340,OR(L1340="331",M1340="331")),"331",IF(AND(OR(L1340="131",M1340="131"),H1340='131-CT'!$E$7),"131",""))</f>
        <v/>
      </c>
      <c r="O1340" s="89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09"/>
      <c r="AC1340" s="211" t="str">
        <f t="shared" si="396"/>
        <v/>
      </c>
    </row>
    <row r="1341" spans="1:29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370"/>
        <v>12</v>
      </c>
      <c r="C1341" s="37">
        <f t="shared" si="371"/>
        <v>42003</v>
      </c>
      <c r="D1341" s="191" t="s">
        <v>1222</v>
      </c>
      <c r="E1341" s="37">
        <v>42003</v>
      </c>
      <c r="F1341" s="291" t="s">
        <v>1075</v>
      </c>
      <c r="G1341" s="462" t="s">
        <v>1125</v>
      </c>
      <c r="H1341" s="7" t="s">
        <v>1116</v>
      </c>
      <c r="I1341" s="251">
        <v>2259</v>
      </c>
      <c r="J1341" s="251">
        <v>7300</v>
      </c>
      <c r="K1341" s="563">
        <f>ROUND(I1341*J1341,0)</f>
        <v>16490700</v>
      </c>
      <c r="L1341" s="39" t="s">
        <v>159</v>
      </c>
      <c r="M1341" s="39" t="s">
        <v>8</v>
      </c>
      <c r="N1341" s="52" t="str">
        <f>IF(AND('331-CT'!$E$7=TH!H1341,OR(L1341="331",M1341="331")),"331",IF(AND(OR(L1341="131",M1341="131"),H1341='131-CT'!$E$7),"131",""))</f>
        <v/>
      </c>
      <c r="O1341" s="89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>x</v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09">
        <v>4</v>
      </c>
      <c r="AC1341" s="211" t="str">
        <f t="shared" si="387"/>
        <v/>
      </c>
    </row>
    <row r="1342" spans="1:29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ref="B1342" si="397">IF(C1342&lt;&gt;"",MONTH(C1342),"")</f>
        <v>12</v>
      </c>
      <c r="C1342" s="37">
        <f t="shared" ref="C1342" si="398">E1342</f>
        <v>42003</v>
      </c>
      <c r="D1342" s="191" t="s">
        <v>1222</v>
      </c>
      <c r="E1342" s="37">
        <v>42003</v>
      </c>
      <c r="F1342" s="40" t="s">
        <v>1049</v>
      </c>
      <c r="G1342" s="462" t="s">
        <v>1125</v>
      </c>
      <c r="H1342" s="7" t="s">
        <v>1116</v>
      </c>
      <c r="I1342" s="251"/>
      <c r="J1342" s="251"/>
      <c r="K1342" s="563">
        <v>1649070</v>
      </c>
      <c r="L1342" s="39" t="s">
        <v>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9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09">
        <v>4</v>
      </c>
      <c r="AC1342" s="211" t="str">
        <f t="shared" ref="AC1342:AC1343" si="399">IF(H1342=VLOOKUP(H1342,DSKH,1,0),"","x")</f>
        <v/>
      </c>
    </row>
    <row r="1343" spans="1:29" s="211" customFormat="1" ht="15.75" customHeight="1">
      <c r="A1343" s="204">
        <f>IF(B1343&lt;&gt;"",IF(AND(B1343&gt;=_TM1,B1343&lt;=_TM2,OR(TH!L1343="1111",TH!M1343="1111")),TH!D1343,""),"")</f>
        <v>0</v>
      </c>
      <c r="B1343" s="36">
        <f t="shared" si="370"/>
        <v>12</v>
      </c>
      <c r="C1343" s="37">
        <f t="shared" si="371"/>
        <v>42003</v>
      </c>
      <c r="D1343" s="191"/>
      <c r="E1343" s="37">
        <v>42003</v>
      </c>
      <c r="F1343" s="192" t="s">
        <v>893</v>
      </c>
      <c r="G1343" s="462" t="s">
        <v>1125</v>
      </c>
      <c r="H1343" s="7" t="s">
        <v>1116</v>
      </c>
      <c r="I1343" s="251"/>
      <c r="J1343" s="251"/>
      <c r="K1343" s="563">
        <v>18139770</v>
      </c>
      <c r="L1343" s="39" t="s">
        <v>8</v>
      </c>
      <c r="M1343" s="39" t="s">
        <v>47</v>
      </c>
      <c r="N1343" s="52" t="str">
        <f>IF(AND('331-CT'!$E$7=TH!H1343,OR(L1343="331",M1343="331")),"331",IF(AND(OR(L1343="131",M1343="131"),H1343='131-CT'!$E$7),"131",""))</f>
        <v/>
      </c>
      <c r="O1343" s="89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09"/>
      <c r="AC1343" s="211" t="str">
        <f t="shared" si="399"/>
        <v/>
      </c>
    </row>
    <row r="1344" spans="1:29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ref="B1344:B1394" si="400">IF(C1344&lt;&gt;"",MONTH(C1344),"")</f>
        <v>3</v>
      </c>
      <c r="C1344" s="37">
        <f t="shared" ref="C1344:C1356" si="401">E1344</f>
        <v>41729</v>
      </c>
      <c r="D1344" s="184" t="s">
        <v>327</v>
      </c>
      <c r="E1344" s="184">
        <v>41729</v>
      </c>
      <c r="F1344" s="189" t="s">
        <v>1264</v>
      </c>
      <c r="G1344" s="565"/>
      <c r="H1344" s="193" t="s">
        <v>1263</v>
      </c>
      <c r="I1344" s="251"/>
      <c r="J1344" s="251"/>
      <c r="K1344" s="563">
        <v>13732353</v>
      </c>
      <c r="L1344" s="564" t="s">
        <v>9</v>
      </c>
      <c r="M1344" s="564" t="s">
        <v>17</v>
      </c>
      <c r="N1344" s="52" t="str">
        <f>IF(AND('331-CT'!$E$7=TH!H1344,OR(L1344="331",M1344="331")),"331",IF(AND(OR(L1344="131",M1344="131"),H1344='131-CT'!$E$7),"131",""))</f>
        <v/>
      </c>
      <c r="O1344" s="89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09">
        <v>1</v>
      </c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00"/>
        <v>4</v>
      </c>
      <c r="C1345" s="37">
        <f t="shared" si="401"/>
        <v>41758</v>
      </c>
      <c r="D1345" s="37" t="s">
        <v>892</v>
      </c>
      <c r="E1345" s="37">
        <v>41758</v>
      </c>
      <c r="F1345" s="192" t="s">
        <v>1268</v>
      </c>
      <c r="G1345" s="40" t="s">
        <v>1266</v>
      </c>
      <c r="H1345" s="7"/>
      <c r="I1345" s="251"/>
      <c r="J1345" s="251"/>
      <c r="K1345" s="563">
        <v>1000000</v>
      </c>
      <c r="L1345" s="39" t="s">
        <v>24</v>
      </c>
      <c r="M1345" s="39" t="s">
        <v>47</v>
      </c>
      <c r="N1345" s="52" t="str">
        <f>IF(AND('331-CT'!$E$7=TH!H1345,OR(L1345="331",M1345="331")),"331",IF(AND(OR(L1345="131",M1345="131"),H1345='131-CT'!$E$7),"131",""))</f>
        <v/>
      </c>
      <c r="O1345" s="89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>x</v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>x</v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09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00"/>
        <v>5</v>
      </c>
      <c r="C1346" s="37">
        <f t="shared" si="401"/>
        <v>41788</v>
      </c>
      <c r="D1346" s="37" t="s">
        <v>892</v>
      </c>
      <c r="E1346" s="37">
        <v>41788</v>
      </c>
      <c r="F1346" s="40" t="s">
        <v>1269</v>
      </c>
      <c r="G1346" s="40" t="s">
        <v>1266</v>
      </c>
      <c r="H1346" s="7" t="s">
        <v>1287</v>
      </c>
      <c r="I1346" s="251"/>
      <c r="J1346" s="251"/>
      <c r="K1346" s="563">
        <v>105000000</v>
      </c>
      <c r="L1346" s="39" t="s">
        <v>24</v>
      </c>
      <c r="M1346" s="39" t="s">
        <v>1272</v>
      </c>
      <c r="N1346" s="52" t="str">
        <f>IF(AND('331-CT'!$E$7=TH!H1346,OR(L1346="331",M1346="331")),"331",IF(AND(OR(L1346="131",M1346="131"),H1346='131-CT'!$E$7),"131",""))</f>
        <v/>
      </c>
      <c r="O1346" s="890" t="str">
        <f>IF(AND('341-CT'!$E$9=H1346,OR(LEFT(L1346,3)=$O$7,LEFT(M1346,3)=$O$7)),"x","")</f>
        <v>x</v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>x</v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09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ref="B1347" si="402">IF(C1347&lt;&gt;"",MONTH(C1347),"")</f>
        <v>5</v>
      </c>
      <c r="C1347" s="37">
        <f t="shared" ref="C1347" si="403">E1347</f>
        <v>41784</v>
      </c>
      <c r="D1347" s="37" t="s">
        <v>899</v>
      </c>
      <c r="E1347" s="37">
        <v>41784</v>
      </c>
      <c r="F1347" s="40" t="s">
        <v>1315</v>
      </c>
      <c r="G1347" s="40" t="s">
        <v>1266</v>
      </c>
      <c r="H1347" s="7" t="s">
        <v>1300</v>
      </c>
      <c r="I1347" s="251"/>
      <c r="J1347" s="251"/>
      <c r="K1347" s="563">
        <v>1000000000</v>
      </c>
      <c r="L1347" s="39" t="s">
        <v>24</v>
      </c>
      <c r="M1347" s="39" t="s">
        <v>1270</v>
      </c>
      <c r="N1347" s="52" t="str">
        <f>IF(AND('331-CT'!$E$7=TH!H1347,OR(L1347="331",M1347="331")),"331",IF(AND(OR(L1347="131",M1347="131"),H1347='131-CT'!$E$7),"131",""))</f>
        <v/>
      </c>
      <c r="O1347" s="89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09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ref="B1348" si="404">IF(C1348&lt;&gt;"",MONTH(C1348),"")</f>
        <v>5</v>
      </c>
      <c r="C1348" s="37">
        <f t="shared" ref="C1348" si="405">E1348</f>
        <v>41784</v>
      </c>
      <c r="D1348" s="37" t="s">
        <v>899</v>
      </c>
      <c r="E1348" s="37">
        <v>41784</v>
      </c>
      <c r="F1348" s="192" t="s">
        <v>893</v>
      </c>
      <c r="G1348" s="40" t="s">
        <v>1266</v>
      </c>
      <c r="H1348" s="844" t="s">
        <v>1237</v>
      </c>
      <c r="I1348" s="251"/>
      <c r="J1348" s="251"/>
      <c r="K1348" s="563">
        <v>1000000000</v>
      </c>
      <c r="L1348" s="39" t="s">
        <v>8</v>
      </c>
      <c r="M1348" s="39" t="s">
        <v>24</v>
      </c>
      <c r="N1348" s="52" t="str">
        <f>IF(AND('331-CT'!$E$7=TH!H1348,OR(L1348="331",M1348="331")),"331",IF(AND(OR(L1348="131",M1348="131"),H1348='131-CT'!$E$7),"131",""))</f>
        <v/>
      </c>
      <c r="O1348" s="89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09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00"/>
        <v>5</v>
      </c>
      <c r="C1349" s="37">
        <f t="shared" si="401"/>
        <v>41789</v>
      </c>
      <c r="D1349" s="37" t="s">
        <v>899</v>
      </c>
      <c r="E1349" s="37">
        <v>41789</v>
      </c>
      <c r="F1349" s="192" t="s">
        <v>893</v>
      </c>
      <c r="G1349" s="40" t="s">
        <v>1266</v>
      </c>
      <c r="H1349" s="7" t="s">
        <v>1139</v>
      </c>
      <c r="I1349" s="251"/>
      <c r="J1349" s="251"/>
      <c r="K1349" s="563">
        <v>49591616</v>
      </c>
      <c r="L1349" s="39" t="s">
        <v>8</v>
      </c>
      <c r="M1349" s="39" t="s">
        <v>24</v>
      </c>
      <c r="N1349" s="52" t="str">
        <f>IF(AND('331-CT'!$E$7=TH!H1349,OR(L1349="331",M1349="331")),"331",IF(AND(OR(L1349="131",M1349="131"),H1349='131-CT'!$E$7),"131",""))</f>
        <v/>
      </c>
      <c r="O1349" s="89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09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00"/>
        <v>5</v>
      </c>
      <c r="C1350" s="37">
        <f t="shared" si="401"/>
        <v>41789</v>
      </c>
      <c r="D1350" s="37" t="s">
        <v>899</v>
      </c>
      <c r="E1350" s="37">
        <v>41789</v>
      </c>
      <c r="F1350" s="40" t="s">
        <v>1292</v>
      </c>
      <c r="G1350" s="40" t="s">
        <v>1266</v>
      </c>
      <c r="H1350" s="7"/>
      <c r="I1350" s="251"/>
      <c r="J1350" s="251"/>
      <c r="K1350" s="563">
        <v>30000</v>
      </c>
      <c r="L1350" s="39" t="s">
        <v>83</v>
      </c>
      <c r="M1350" s="39" t="s">
        <v>24</v>
      </c>
      <c r="N1350" s="52" t="str">
        <f>IF(AND('331-CT'!$E$7=TH!H1350,OR(L1350="331",M1350="331")),"331",IF(AND(OR(L1350="131",M1350="131"),H1350='131-CT'!$E$7),"131",""))</f>
        <v/>
      </c>
      <c r="O1350" s="89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09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00"/>
        <v>5</v>
      </c>
      <c r="C1351" s="37">
        <f t="shared" si="401"/>
        <v>41789</v>
      </c>
      <c r="D1351" s="37" t="s">
        <v>899</v>
      </c>
      <c r="E1351" s="37">
        <v>41789</v>
      </c>
      <c r="F1351" s="192" t="s">
        <v>893</v>
      </c>
      <c r="G1351" s="40" t="s">
        <v>1266</v>
      </c>
      <c r="H1351" s="7" t="s">
        <v>1090</v>
      </c>
      <c r="I1351" s="251"/>
      <c r="J1351" s="251"/>
      <c r="K1351" s="563">
        <v>52920431</v>
      </c>
      <c r="L1351" s="39" t="s">
        <v>8</v>
      </c>
      <c r="M1351" s="39" t="s">
        <v>24</v>
      </c>
      <c r="N1351" s="52" t="str">
        <f>IF(AND('331-CT'!$E$7=TH!H1351,OR(L1351="331",M1351="331")),"331",IF(AND(OR(L1351="131",M1351="131"),H1351='131-CT'!$E$7),"131",""))</f>
        <v/>
      </c>
      <c r="O1351" s="89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>x</v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09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00"/>
        <v>5</v>
      </c>
      <c r="C1352" s="37">
        <f t="shared" si="401"/>
        <v>41789</v>
      </c>
      <c r="D1352" s="37" t="s">
        <v>899</v>
      </c>
      <c r="E1352" s="37">
        <v>41789</v>
      </c>
      <c r="F1352" s="40" t="s">
        <v>1293</v>
      </c>
      <c r="G1352" s="40" t="s">
        <v>1266</v>
      </c>
      <c r="H1352" s="7" t="s">
        <v>1294</v>
      </c>
      <c r="I1352" s="251"/>
      <c r="J1352" s="251"/>
      <c r="K1352" s="563">
        <v>2000000</v>
      </c>
      <c r="L1352" s="39" t="s">
        <v>47</v>
      </c>
      <c r="M1352" s="39" t="s">
        <v>24</v>
      </c>
      <c r="N1352" s="52" t="str">
        <f>IF(AND('331-CT'!$E$7=TH!H1352,OR(L1352="331",M1352="331")),"331",IF(AND(OR(L1352="131",M1352="131"),H1352='131-CT'!$E$7),"131",""))</f>
        <v/>
      </c>
      <c r="O1352" s="89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>x</v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>x</v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09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00"/>
        <v>5</v>
      </c>
      <c r="C1353" s="37">
        <f t="shared" si="401"/>
        <v>41789</v>
      </c>
      <c r="D1353" s="37" t="s">
        <v>899</v>
      </c>
      <c r="E1353" s="37">
        <v>41789</v>
      </c>
      <c r="F1353" s="40" t="s">
        <v>900</v>
      </c>
      <c r="G1353" s="40" t="s">
        <v>1266</v>
      </c>
      <c r="H1353" s="7"/>
      <c r="I1353" s="251"/>
      <c r="J1353" s="251"/>
      <c r="K1353" s="563">
        <v>11000</v>
      </c>
      <c r="L1353" s="39" t="s">
        <v>83</v>
      </c>
      <c r="M1353" s="39" t="s">
        <v>24</v>
      </c>
      <c r="N1353" s="52" t="str">
        <f>IF(AND('331-CT'!$E$7=TH!H1353,OR(L1353="331",M1353="331")),"331",IF(AND(OR(L1353="131",M1353="131"),H1353='131-CT'!$E$7),"131",""))</f>
        <v/>
      </c>
      <c r="O1353" s="89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>x</v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>642</v>
      </c>
      <c r="W1353" s="52" t="str">
        <f>IF(OR(TH!L1353=TH!$W$7,M1353=TH!$W$7),"x","")</f>
        <v>x</v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09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00"/>
        <v>5</v>
      </c>
      <c r="C1354" s="37">
        <f t="shared" si="401"/>
        <v>41790</v>
      </c>
      <c r="D1354" s="37" t="s">
        <v>892</v>
      </c>
      <c r="E1354" s="37">
        <v>41790</v>
      </c>
      <c r="F1354" s="192" t="s">
        <v>895</v>
      </c>
      <c r="G1354" s="40" t="s">
        <v>1266</v>
      </c>
      <c r="H1354" s="7"/>
      <c r="I1354" s="251"/>
      <c r="J1354" s="251"/>
      <c r="K1354" s="563">
        <v>1900</v>
      </c>
      <c r="L1354" s="39" t="s">
        <v>24</v>
      </c>
      <c r="M1354" s="39" t="s">
        <v>40</v>
      </c>
      <c r="N1354" s="52" t="str">
        <f>IF(AND('331-CT'!$E$7=TH!H1354,OR(L1354="331",M1354="331")),"331",IF(AND(OR(L1354="131",M1354="131"),H1354='131-CT'!$E$7),"131",""))</f>
        <v/>
      </c>
      <c r="O1354" s="89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>x</v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09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00"/>
        <v>6</v>
      </c>
      <c r="C1355" s="37">
        <f t="shared" si="401"/>
        <v>41801</v>
      </c>
      <c r="D1355" s="37" t="s">
        <v>899</v>
      </c>
      <c r="E1355" s="37">
        <v>41801</v>
      </c>
      <c r="F1355" s="40" t="s">
        <v>1295</v>
      </c>
      <c r="G1355" s="40" t="s">
        <v>1266</v>
      </c>
      <c r="H1355" s="7"/>
      <c r="I1355" s="251"/>
      <c r="J1355" s="251"/>
      <c r="K1355" s="563">
        <v>15000</v>
      </c>
      <c r="L1355" s="39" t="s">
        <v>83</v>
      </c>
      <c r="M1355" s="39" t="s">
        <v>24</v>
      </c>
      <c r="N1355" s="52" t="str">
        <f>IF(AND('331-CT'!$E$7=TH!H1355,OR(L1355="331",M1355="331")),"331",IF(AND(OR(L1355="131",M1355="131"),H1355='131-CT'!$E$7),"131",""))</f>
        <v/>
      </c>
      <c r="O1355" s="89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>x</v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>642</v>
      </c>
      <c r="W1355" s="52" t="str">
        <f>IF(OR(TH!L1355=TH!$W$7,M1355=TH!$W$7),"x","")</f>
        <v>x</v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09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00"/>
        <v>6</v>
      </c>
      <c r="C1356" s="37">
        <f t="shared" si="401"/>
        <v>41801</v>
      </c>
      <c r="D1356" s="37" t="s">
        <v>892</v>
      </c>
      <c r="E1356" s="37">
        <v>41801</v>
      </c>
      <c r="F1356" s="40" t="s">
        <v>1296</v>
      </c>
      <c r="G1356" s="40" t="s">
        <v>1266</v>
      </c>
      <c r="H1356" s="7" t="s">
        <v>1297</v>
      </c>
      <c r="I1356" s="251"/>
      <c r="J1356" s="251"/>
      <c r="K1356" s="563">
        <v>98560000</v>
      </c>
      <c r="L1356" s="39" t="s">
        <v>24</v>
      </c>
      <c r="M1356" s="39" t="s">
        <v>1272</v>
      </c>
      <c r="N1356" s="52" t="str">
        <f>IF(AND('331-CT'!$E$7=TH!H1356,OR(L1356="331",M1356="331")),"331",IF(AND(OR(L1356="131",M1356="131"),H1356='131-CT'!$E$7),"131",""))</f>
        <v/>
      </c>
      <c r="O1356" s="89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>x</v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09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00"/>
        <v>6</v>
      </c>
      <c r="C1357" s="37">
        <f t="shared" ref="C1357:C1362" si="406">E1357</f>
        <v>41801</v>
      </c>
      <c r="D1357" s="37" t="s">
        <v>899</v>
      </c>
      <c r="E1357" s="37">
        <v>41801</v>
      </c>
      <c r="F1357" s="40" t="s">
        <v>1293</v>
      </c>
      <c r="G1357" s="40" t="s">
        <v>1266</v>
      </c>
      <c r="H1357" s="7" t="s">
        <v>897</v>
      </c>
      <c r="I1357" s="251"/>
      <c r="J1357" s="251"/>
      <c r="K1357" s="563">
        <v>98560000</v>
      </c>
      <c r="L1357" s="39" t="s">
        <v>47</v>
      </c>
      <c r="M1357" s="39" t="s">
        <v>24</v>
      </c>
      <c r="N1357" s="52" t="str">
        <f>IF(AND('331-CT'!$E$7=TH!H1357,OR(L1357="331",M1357="331")),"331",IF(AND(OR(L1357="131",M1357="131"),H1357='131-CT'!$E$7),"131",""))</f>
        <v/>
      </c>
      <c r="O1357" s="89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>x</v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>x</v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09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00"/>
        <v>6</v>
      </c>
      <c r="C1358" s="37">
        <f t="shared" si="406"/>
        <v>41801</v>
      </c>
      <c r="D1358" s="37" t="s">
        <v>899</v>
      </c>
      <c r="E1358" s="37">
        <v>41801</v>
      </c>
      <c r="F1358" s="40" t="s">
        <v>900</v>
      </c>
      <c r="G1358" s="40" t="s">
        <v>1266</v>
      </c>
      <c r="H1358" s="7"/>
      <c r="I1358" s="251"/>
      <c r="J1358" s="251"/>
      <c r="K1358" s="563">
        <v>11000</v>
      </c>
      <c r="L1358" s="39" t="s">
        <v>83</v>
      </c>
      <c r="M1358" s="39" t="s">
        <v>24</v>
      </c>
      <c r="N1358" s="52" t="str">
        <f>IF(AND('331-CT'!$E$7=TH!H1358,OR(L1358="331",M1358="331")),"331",IF(AND(OR(L1358="131",M1358="131"),H1358='131-CT'!$E$7),"131",""))</f>
        <v/>
      </c>
      <c r="O1358" s="89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>x</v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09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00"/>
        <v>6</v>
      </c>
      <c r="C1359" s="37">
        <f t="shared" si="406"/>
        <v>41815</v>
      </c>
      <c r="D1359" s="37" t="s">
        <v>892</v>
      </c>
      <c r="E1359" s="191">
        <v>41815</v>
      </c>
      <c r="F1359" s="192" t="s">
        <v>1268</v>
      </c>
      <c r="G1359" s="40" t="s">
        <v>1266</v>
      </c>
      <c r="H1359" s="193" t="s">
        <v>1298</v>
      </c>
      <c r="I1359" s="251"/>
      <c r="J1359" s="251"/>
      <c r="K1359" s="563">
        <v>11704000</v>
      </c>
      <c r="L1359" s="39" t="s">
        <v>24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09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00"/>
        <v>6</v>
      </c>
      <c r="C1360" s="37">
        <f t="shared" si="406"/>
        <v>41815</v>
      </c>
      <c r="D1360" s="37" t="s">
        <v>899</v>
      </c>
      <c r="E1360" s="191">
        <v>41815</v>
      </c>
      <c r="F1360" s="192" t="s">
        <v>1299</v>
      </c>
      <c r="G1360" s="40" t="s">
        <v>1266</v>
      </c>
      <c r="H1360" s="7" t="s">
        <v>1287</v>
      </c>
      <c r="I1360" s="252"/>
      <c r="J1360" s="252"/>
      <c r="K1360" s="563">
        <v>939167</v>
      </c>
      <c r="L1360" s="39" t="s">
        <v>81</v>
      </c>
      <c r="M1360" s="194" t="s">
        <v>24</v>
      </c>
      <c r="N1360" s="52" t="str">
        <f>IF(AND('331-CT'!$E$7=TH!H1360,OR(L1360="331",M1360="331")),"331",IF(AND(OR(L1360="131",M1360="131"),H1360='131-CT'!$E$7),"131",""))</f>
        <v/>
      </c>
      <c r="O1360" s="89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>x</v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09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00"/>
        <v>6</v>
      </c>
      <c r="C1361" s="37">
        <f t="shared" si="406"/>
        <v>41815</v>
      </c>
      <c r="D1361" s="37" t="s">
        <v>899</v>
      </c>
      <c r="E1361" s="191">
        <v>41815</v>
      </c>
      <c r="F1361" s="192" t="s">
        <v>1299</v>
      </c>
      <c r="G1361" s="40" t="s">
        <v>1266</v>
      </c>
      <c r="H1361" s="7" t="s">
        <v>1300</v>
      </c>
      <c r="I1361" s="251"/>
      <c r="J1361" s="251"/>
      <c r="K1361" s="563">
        <v>10763889</v>
      </c>
      <c r="L1361" s="39" t="s">
        <v>81</v>
      </c>
      <c r="M1361" s="194" t="s">
        <v>24</v>
      </c>
      <c r="N1361" s="52" t="str">
        <f>IF(AND('331-CT'!$E$7=TH!H1361,OR(L1361="331",M1361="331")),"331",IF(AND(OR(L1361="131",M1361="131"),H1361='131-CT'!$E$7),"131",""))</f>
        <v/>
      </c>
      <c r="O1361" s="89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>x</v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09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00"/>
        <v>6</v>
      </c>
      <c r="C1362" s="37">
        <f t="shared" si="406"/>
        <v>41820</v>
      </c>
      <c r="D1362" s="37" t="s">
        <v>892</v>
      </c>
      <c r="E1362" s="191">
        <v>41820</v>
      </c>
      <c r="F1362" s="192" t="s">
        <v>895</v>
      </c>
      <c r="G1362" s="40" t="s">
        <v>1266</v>
      </c>
      <c r="H1362" s="7"/>
      <c r="I1362" s="251"/>
      <c r="J1362" s="251"/>
      <c r="K1362" s="563">
        <v>600</v>
      </c>
      <c r="L1362" s="39" t="s">
        <v>24</v>
      </c>
      <c r="M1362" s="39" t="s">
        <v>40</v>
      </c>
      <c r="N1362" s="52" t="str">
        <f>IF(AND('331-CT'!$E$7=TH!H1362,OR(L1362="331",M1362="331")),"331",IF(AND(OR(L1362="131",M1362="131"),H1362='131-CT'!$E$7),"131",""))</f>
        <v/>
      </c>
      <c r="O1362" s="89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>x</v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09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00"/>
        <v>7</v>
      </c>
      <c r="C1363" s="37">
        <f t="shared" ref="C1363:C1426" si="407">E1363</f>
        <v>41845</v>
      </c>
      <c r="D1363" s="37" t="s">
        <v>892</v>
      </c>
      <c r="E1363" s="191">
        <v>41845</v>
      </c>
      <c r="F1363" s="192" t="s">
        <v>1268</v>
      </c>
      <c r="G1363" s="40" t="s">
        <v>1266</v>
      </c>
      <c r="H1363" s="193" t="s">
        <v>1298</v>
      </c>
      <c r="I1363" s="251"/>
      <c r="J1363" s="251"/>
      <c r="K1363" s="563">
        <v>12841000</v>
      </c>
      <c r="L1363" s="39" t="s">
        <v>24</v>
      </c>
      <c r="M1363" s="194" t="s">
        <v>47</v>
      </c>
      <c r="N1363" s="52" t="str">
        <f>IF(AND('331-CT'!$E$7=TH!H1363,OR(L1363="331",M1363="331")),"331",IF(AND(OR(L1363="131",M1363="131"),H1363='131-CT'!$E$7),"131",""))</f>
        <v/>
      </c>
      <c r="O1363" s="890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>x</v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809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00"/>
        <v>7</v>
      </c>
      <c r="C1364" s="37">
        <f t="shared" si="407"/>
        <v>41845</v>
      </c>
      <c r="D1364" s="37" t="s">
        <v>899</v>
      </c>
      <c r="E1364" s="191">
        <v>41845</v>
      </c>
      <c r="F1364" s="192" t="s">
        <v>1299</v>
      </c>
      <c r="G1364" s="40" t="s">
        <v>1266</v>
      </c>
      <c r="H1364" s="7" t="s">
        <v>1297</v>
      </c>
      <c r="I1364" s="252"/>
      <c r="J1364" s="252"/>
      <c r="K1364" s="563">
        <v>1416800</v>
      </c>
      <c r="L1364" s="39" t="s">
        <v>81</v>
      </c>
      <c r="M1364" s="194" t="s">
        <v>24</v>
      </c>
      <c r="N1364" s="52" t="str">
        <f>IF(AND('331-CT'!$E$7=TH!H1364,OR(L1364="331",M1364="331")),"331",IF(AND(OR(L1364="131",M1364="131"),H1364='131-CT'!$E$7),"131",""))</f>
        <v/>
      </c>
      <c r="O1364" s="89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>x</v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809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00"/>
        <v>7</v>
      </c>
      <c r="C1365" s="37">
        <f t="shared" si="407"/>
        <v>41845</v>
      </c>
      <c r="D1365" s="37" t="s">
        <v>899</v>
      </c>
      <c r="E1365" s="191">
        <v>41845</v>
      </c>
      <c r="F1365" s="192" t="s">
        <v>1299</v>
      </c>
      <c r="G1365" s="40" t="s">
        <v>1266</v>
      </c>
      <c r="H1365" s="7" t="s">
        <v>1287</v>
      </c>
      <c r="I1365" s="251"/>
      <c r="J1365" s="251"/>
      <c r="K1365" s="563">
        <v>1006250</v>
      </c>
      <c r="L1365" s="39" t="s">
        <v>81</v>
      </c>
      <c r="M1365" s="194" t="s">
        <v>24</v>
      </c>
      <c r="N1365" s="52" t="str">
        <f>IF(AND('331-CT'!$E$7=TH!H1365,OR(L1365="331",M1365="331")),"331",IF(AND(OR(L1365="131",M1365="131"),H1365='131-CT'!$E$7),"131",""))</f>
        <v/>
      </c>
      <c r="O1365" s="89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>x</v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809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00"/>
        <v>7</v>
      </c>
      <c r="C1366" s="37">
        <f t="shared" si="407"/>
        <v>41845</v>
      </c>
      <c r="D1366" s="37" t="s">
        <v>899</v>
      </c>
      <c r="E1366" s="191">
        <v>41845</v>
      </c>
      <c r="F1366" s="192" t="s">
        <v>1299</v>
      </c>
      <c r="G1366" s="40" t="s">
        <v>1266</v>
      </c>
      <c r="H1366" s="7" t="s">
        <v>1300</v>
      </c>
      <c r="I1366" s="252"/>
      <c r="J1366" s="252"/>
      <c r="K1366" s="563">
        <v>10416666</v>
      </c>
      <c r="L1366" s="39" t="s">
        <v>81</v>
      </c>
      <c r="M1366" s="194" t="s">
        <v>24</v>
      </c>
      <c r="N1366" s="52" t="str">
        <f>IF(AND('331-CT'!$E$7=TH!H1366,OR(L1366="331",M1366="331")),"331",IF(AND(OR(L1366="131",M1366="131"),H1366='131-CT'!$E$7),"131",""))</f>
        <v/>
      </c>
      <c r="O1366" s="89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>x</v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809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00"/>
        <v>7</v>
      </c>
      <c r="C1367" s="37">
        <f t="shared" si="407"/>
        <v>41851</v>
      </c>
      <c r="D1367" s="37" t="s">
        <v>892</v>
      </c>
      <c r="E1367" s="191">
        <v>41851</v>
      </c>
      <c r="F1367" s="192" t="s">
        <v>1268</v>
      </c>
      <c r="G1367" s="40" t="s">
        <v>1266</v>
      </c>
      <c r="H1367" s="193" t="s">
        <v>1301</v>
      </c>
      <c r="I1367" s="251"/>
      <c r="J1367" s="251"/>
      <c r="K1367" s="563">
        <v>100000000</v>
      </c>
      <c r="L1367" s="39" t="s">
        <v>24</v>
      </c>
      <c r="M1367" s="194" t="s">
        <v>47</v>
      </c>
      <c r="N1367" s="52" t="str">
        <f>IF(AND('331-CT'!$E$7=TH!H1367,OR(L1367="331",M1367="331")),"331",IF(AND(OR(L1367="131",M1367="131"),H1367='131-CT'!$E$7),"131",""))</f>
        <v/>
      </c>
      <c r="O1367" s="890" t="str">
        <f>IF(AND('341-CT'!$E$9=H1367,OR(LEFT(L1367,3)=$O$7,LEFT(M1367,3)=$O$7)),"x","")</f>
        <v/>
      </c>
      <c r="P1367" s="52" t="str">
        <f>IF(AND($B1367&gt;='111'!$N$11,$B1367&lt;='111'!$O$11,OR($L1367=$P$7,$M1367=$P$7)),"x","")</f>
        <v>x</v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>x</v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809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00"/>
        <v>7</v>
      </c>
      <c r="C1368" s="37">
        <f t="shared" si="407"/>
        <v>41851</v>
      </c>
      <c r="D1368" s="37" t="s">
        <v>899</v>
      </c>
      <c r="E1368" s="191">
        <v>41851</v>
      </c>
      <c r="F1368" s="192" t="s">
        <v>893</v>
      </c>
      <c r="G1368" s="40" t="s">
        <v>1266</v>
      </c>
      <c r="H1368" s="7" t="s">
        <v>1010</v>
      </c>
      <c r="I1368" s="251"/>
      <c r="J1368" s="251"/>
      <c r="K1368" s="563">
        <v>30000000</v>
      </c>
      <c r="L1368" s="39" t="s">
        <v>8</v>
      </c>
      <c r="M1368" s="39" t="s">
        <v>24</v>
      </c>
      <c r="N1368" s="52" t="str">
        <f>IF(AND('331-CT'!$E$7=TH!H1368,OR(L1368="331",M1368="331")),"331",IF(AND(OR(L1368="131",M1368="131"),H1368='131-CT'!$E$7),"131",""))</f>
        <v>331</v>
      </c>
      <c r="O1368" s="89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>x</v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809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ref="B1369" si="408">IF(C1369&lt;&gt;"",MONTH(C1369),"")</f>
        <v>7</v>
      </c>
      <c r="C1369" s="37">
        <f t="shared" si="407"/>
        <v>41851</v>
      </c>
      <c r="D1369" s="37" t="s">
        <v>899</v>
      </c>
      <c r="E1369" s="191">
        <v>41851</v>
      </c>
      <c r="F1369" s="40" t="s">
        <v>900</v>
      </c>
      <c r="G1369" s="40" t="s">
        <v>1266</v>
      </c>
      <c r="H1369" s="7"/>
      <c r="I1369" s="251"/>
      <c r="J1369" s="251"/>
      <c r="K1369" s="563">
        <v>11000</v>
      </c>
      <c r="L1369" s="39" t="s">
        <v>83</v>
      </c>
      <c r="M1369" s="39" t="s">
        <v>24</v>
      </c>
      <c r="N1369" s="52" t="str">
        <f>IF(AND('331-CT'!$E$7=TH!H1369,OR(L1369="331",M1369="331")),"331",IF(AND(OR(L1369="131",M1369="131"),H1369='131-CT'!$E$7),"131",""))</f>
        <v/>
      </c>
      <c r="O1369" s="89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>x</v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>x</v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809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00"/>
        <v>7</v>
      </c>
      <c r="C1370" s="37">
        <f t="shared" si="407"/>
        <v>41851</v>
      </c>
      <c r="D1370" s="37" t="s">
        <v>899</v>
      </c>
      <c r="E1370" s="191">
        <v>41851</v>
      </c>
      <c r="F1370" s="192" t="s">
        <v>893</v>
      </c>
      <c r="G1370" s="40" t="s">
        <v>1266</v>
      </c>
      <c r="H1370" s="7" t="s">
        <v>1073</v>
      </c>
      <c r="I1370" s="251"/>
      <c r="J1370" s="251"/>
      <c r="K1370" s="563">
        <v>50000000</v>
      </c>
      <c r="L1370" s="39" t="s">
        <v>8</v>
      </c>
      <c r="M1370" s="39" t="s">
        <v>24</v>
      </c>
      <c r="N1370" s="52" t="str">
        <f>IF(AND('331-CT'!$E$7=TH!H1370,OR(L1370="331",M1370="331")),"331",IF(AND(OR(L1370="131",M1370="131"),H1370='131-CT'!$E$7),"131",""))</f>
        <v/>
      </c>
      <c r="O1370" s="89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>x</v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809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00"/>
        <v>7</v>
      </c>
      <c r="C1371" s="37">
        <f t="shared" ref="C1371" si="409">E1371</f>
        <v>41851</v>
      </c>
      <c r="D1371" s="37" t="s">
        <v>899</v>
      </c>
      <c r="E1371" s="191">
        <v>41851</v>
      </c>
      <c r="F1371" s="40" t="s">
        <v>900</v>
      </c>
      <c r="G1371" s="40" t="s">
        <v>1266</v>
      </c>
      <c r="H1371" s="7"/>
      <c r="I1371" s="251"/>
      <c r="J1371" s="251"/>
      <c r="K1371" s="563">
        <v>11000</v>
      </c>
      <c r="L1371" s="39" t="s">
        <v>83</v>
      </c>
      <c r="M1371" s="39" t="s">
        <v>24</v>
      </c>
      <c r="N1371" s="52" t="str">
        <f>IF(AND('331-CT'!$E$7=TH!H1371,OR(L1371="331",M1371="331")),"331",IF(AND(OR(L1371="131",M1371="131"),H1371='131-CT'!$E$7),"131",""))</f>
        <v/>
      </c>
      <c r="O1371" s="89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>x</v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>x</v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809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00"/>
        <v>7</v>
      </c>
      <c r="C1372" s="37">
        <f t="shared" si="407"/>
        <v>41851</v>
      </c>
      <c r="D1372" s="37" t="s">
        <v>899</v>
      </c>
      <c r="E1372" s="191">
        <v>41851</v>
      </c>
      <c r="F1372" s="192" t="s">
        <v>893</v>
      </c>
      <c r="G1372" s="40" t="s">
        <v>1266</v>
      </c>
      <c r="H1372" s="903" t="s">
        <v>1102</v>
      </c>
      <c r="I1372" s="251"/>
      <c r="J1372" s="251"/>
      <c r="K1372" s="563">
        <v>6000000</v>
      </c>
      <c r="L1372" s="39" t="s">
        <v>8</v>
      </c>
      <c r="M1372" s="39" t="s">
        <v>24</v>
      </c>
      <c r="N1372" s="52" t="str">
        <f>IF(AND('331-CT'!$E$7=TH!H1372,OR(L1372="331",M1372="331")),"331",IF(AND(OR(L1372="131",M1372="131"),H1372='131-CT'!$E$7),"131",""))</f>
        <v/>
      </c>
      <c r="O1372" s="89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>x</v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809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00"/>
        <v>7</v>
      </c>
      <c r="C1373" s="37">
        <f t="shared" si="407"/>
        <v>41851</v>
      </c>
      <c r="D1373" s="37" t="s">
        <v>899</v>
      </c>
      <c r="E1373" s="191">
        <v>41851</v>
      </c>
      <c r="F1373" s="40" t="s">
        <v>900</v>
      </c>
      <c r="G1373" s="40" t="s">
        <v>1266</v>
      </c>
      <c r="H1373" s="193"/>
      <c r="I1373" s="251"/>
      <c r="J1373" s="251"/>
      <c r="K1373" s="563">
        <v>11000</v>
      </c>
      <c r="L1373" s="39" t="s">
        <v>83</v>
      </c>
      <c r="M1373" s="39" t="s">
        <v>24</v>
      </c>
      <c r="N1373" s="52" t="str">
        <f>IF(AND('331-CT'!$E$7=TH!H1373,OR(L1373="331",M1373="331")),"331",IF(AND(OR(L1373="131",M1373="131"),H1373='131-CT'!$E$7),"131",""))</f>
        <v/>
      </c>
      <c r="O1373" s="89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>x</v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>x</v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809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00"/>
        <v>7</v>
      </c>
      <c r="C1374" s="37">
        <f t="shared" si="407"/>
        <v>41851</v>
      </c>
      <c r="D1374" s="37" t="s">
        <v>899</v>
      </c>
      <c r="E1374" s="191">
        <v>41851</v>
      </c>
      <c r="F1374" s="192" t="s">
        <v>893</v>
      </c>
      <c r="G1374" s="40" t="s">
        <v>1266</v>
      </c>
      <c r="H1374" s="7" t="s">
        <v>1139</v>
      </c>
      <c r="I1374" s="251"/>
      <c r="J1374" s="251"/>
      <c r="K1374" s="563">
        <v>14000000</v>
      </c>
      <c r="L1374" s="39" t="s">
        <v>8</v>
      </c>
      <c r="M1374" s="39" t="s">
        <v>24</v>
      </c>
      <c r="N1374" s="52" t="str">
        <f>IF(AND('331-CT'!$E$7=TH!H1374,OR(L1374="331",M1374="331")),"331",IF(AND(OR(L1374="131",M1374="131"),H1374='131-CT'!$E$7),"131",""))</f>
        <v/>
      </c>
      <c r="O1374" s="89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>x</v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809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00"/>
        <v>7</v>
      </c>
      <c r="C1375" s="37">
        <f t="shared" si="407"/>
        <v>41851</v>
      </c>
      <c r="D1375" s="37" t="s">
        <v>899</v>
      </c>
      <c r="E1375" s="191">
        <v>41851</v>
      </c>
      <c r="F1375" s="40" t="s">
        <v>900</v>
      </c>
      <c r="G1375" s="40" t="s">
        <v>1266</v>
      </c>
      <c r="H1375" s="193"/>
      <c r="I1375" s="251"/>
      <c r="J1375" s="251"/>
      <c r="K1375" s="563">
        <v>22000</v>
      </c>
      <c r="L1375" s="39" t="s">
        <v>83</v>
      </c>
      <c r="M1375" s="39" t="s">
        <v>24</v>
      </c>
      <c r="N1375" s="52" t="str">
        <f>IF(AND('331-CT'!$E$7=TH!H1375,OR(L1375="331",M1375="331")),"331",IF(AND(OR(L1375="131",M1375="131"),H1375='131-CT'!$E$7),"131",""))</f>
        <v/>
      </c>
      <c r="O1375" s="89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>x</v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>x</v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809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00"/>
        <v>7</v>
      </c>
      <c r="C1376" s="37">
        <f t="shared" si="407"/>
        <v>41851</v>
      </c>
      <c r="D1376" s="37" t="s">
        <v>899</v>
      </c>
      <c r="E1376" s="191">
        <v>41851</v>
      </c>
      <c r="F1376" s="192" t="s">
        <v>1302</v>
      </c>
      <c r="G1376" s="40" t="s">
        <v>1266</v>
      </c>
      <c r="H1376" s="193"/>
      <c r="I1376" s="251"/>
      <c r="J1376" s="251"/>
      <c r="K1376" s="563">
        <v>44000</v>
      </c>
      <c r="L1376" s="39" t="s">
        <v>83</v>
      </c>
      <c r="M1376" s="39" t="s">
        <v>24</v>
      </c>
      <c r="N1376" s="52" t="str">
        <f>IF(AND('331-CT'!$E$7=TH!H1376,OR(L1376="331",M1376="331")),"331",IF(AND(OR(L1376="131",M1376="131"),H1376='131-CT'!$E$7),"131",""))</f>
        <v/>
      </c>
      <c r="O1376" s="89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>x</v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>x</v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809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00"/>
        <v>7</v>
      </c>
      <c r="C1377" s="37">
        <f t="shared" si="407"/>
        <v>41851</v>
      </c>
      <c r="D1377" s="37" t="s">
        <v>892</v>
      </c>
      <c r="E1377" s="191">
        <v>41851</v>
      </c>
      <c r="F1377" s="192" t="s">
        <v>895</v>
      </c>
      <c r="G1377" s="40" t="s">
        <v>1266</v>
      </c>
      <c r="H1377" s="7"/>
      <c r="I1377" s="251"/>
      <c r="J1377" s="251"/>
      <c r="K1377" s="563">
        <v>600</v>
      </c>
      <c r="L1377" s="39" t="s">
        <v>24</v>
      </c>
      <c r="M1377" s="39" t="s">
        <v>40</v>
      </c>
      <c r="N1377" s="52" t="str">
        <f>IF(AND('331-CT'!$E$7=TH!H1377,OR(L1377="331",M1377="331")),"331",IF(AND(OR(L1377="131",M1377="131"),H1377='131-CT'!$E$7),"131",""))</f>
        <v/>
      </c>
      <c r="O1377" s="89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>x</v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809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00"/>
        <v>8</v>
      </c>
      <c r="C1378" s="37">
        <f t="shared" si="407"/>
        <v>41877</v>
      </c>
      <c r="D1378" s="37" t="s">
        <v>892</v>
      </c>
      <c r="E1378" s="191">
        <v>41877</v>
      </c>
      <c r="F1378" s="192" t="s">
        <v>1268</v>
      </c>
      <c r="G1378" s="40" t="s">
        <v>1266</v>
      </c>
      <c r="H1378" s="193" t="s">
        <v>1298</v>
      </c>
      <c r="I1378" s="251"/>
      <c r="J1378" s="251"/>
      <c r="K1378" s="563">
        <v>12780000</v>
      </c>
      <c r="L1378" s="39" t="s">
        <v>24</v>
      </c>
      <c r="M1378" s="194" t="s">
        <v>47</v>
      </c>
      <c r="N1378" s="52" t="str">
        <f>IF(AND('331-CT'!$E$7=TH!H1378,OR(L1378="331",M1378="331")),"331",IF(AND(OR(L1378="131",M1378="131"),H1378='131-CT'!$E$7),"131",""))</f>
        <v/>
      </c>
      <c r="O1378" s="890" t="str">
        <f>IF(AND('341-CT'!$E$9=H1378,OR(LEFT(L1378,3)=$O$7,LEFT(M1378,3)=$O$7)),"x","")</f>
        <v/>
      </c>
      <c r="P1378" s="52" t="str">
        <f>IF(AND($B1378&gt;='111'!$N$11,$B1378&lt;='111'!$O$11,OR($L1378=$P$7,$M1378=$P$7)),"x","")</f>
        <v>x</v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>x</v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809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00"/>
        <v>8</v>
      </c>
      <c r="C1379" s="37">
        <f t="shared" si="407"/>
        <v>41877</v>
      </c>
      <c r="D1379" s="37" t="s">
        <v>899</v>
      </c>
      <c r="E1379" s="191">
        <v>41877</v>
      </c>
      <c r="F1379" s="192" t="s">
        <v>1299</v>
      </c>
      <c r="G1379" s="40" t="s">
        <v>1266</v>
      </c>
      <c r="H1379" s="7" t="s">
        <v>1297</v>
      </c>
      <c r="I1379" s="252"/>
      <c r="J1379" s="252"/>
      <c r="K1379" s="563">
        <v>976017</v>
      </c>
      <c r="L1379" s="39" t="s">
        <v>81</v>
      </c>
      <c r="M1379" s="194" t="s">
        <v>24</v>
      </c>
      <c r="N1379" s="52" t="str">
        <f>IF(AND('331-CT'!$E$7=TH!H1379,OR(L1379="331",M1379="331")),"331",IF(AND(OR(L1379="131",M1379="131"),H1379='131-CT'!$E$7),"131",""))</f>
        <v/>
      </c>
      <c r="O1379" s="89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809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00"/>
        <v>8</v>
      </c>
      <c r="C1380" s="37">
        <f t="shared" si="407"/>
        <v>41877</v>
      </c>
      <c r="D1380" s="37" t="s">
        <v>899</v>
      </c>
      <c r="E1380" s="191">
        <v>41877</v>
      </c>
      <c r="F1380" s="192" t="s">
        <v>1299</v>
      </c>
      <c r="G1380" s="40" t="s">
        <v>1266</v>
      </c>
      <c r="H1380" s="7" t="s">
        <v>1287</v>
      </c>
      <c r="I1380" s="251"/>
      <c r="J1380" s="251"/>
      <c r="K1380" s="563">
        <v>1039792</v>
      </c>
      <c r="L1380" s="39" t="s">
        <v>81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89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>x</v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809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00"/>
        <v>8</v>
      </c>
      <c r="C1381" s="37">
        <f t="shared" si="407"/>
        <v>41877</v>
      </c>
      <c r="D1381" s="37" t="s">
        <v>899</v>
      </c>
      <c r="E1381" s="191">
        <v>41877</v>
      </c>
      <c r="F1381" s="192" t="s">
        <v>1299</v>
      </c>
      <c r="G1381" s="40" t="s">
        <v>1266</v>
      </c>
      <c r="H1381" s="7" t="s">
        <v>1300</v>
      </c>
      <c r="I1381" s="252"/>
      <c r="J1381" s="252"/>
      <c r="K1381" s="563">
        <v>10763889</v>
      </c>
      <c r="L1381" s="39" t="s">
        <v>81</v>
      </c>
      <c r="M1381" s="194" t="s">
        <v>24</v>
      </c>
      <c r="N1381" s="52" t="str">
        <f>IF(AND('331-CT'!$E$7=TH!H1381,OR(L1381="331",M1381="331")),"331",IF(AND(OR(L1381="131",M1381="131"),H1381='131-CT'!$E$7),"131",""))</f>
        <v/>
      </c>
      <c r="O1381" s="89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>x</v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809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00"/>
        <v>8</v>
      </c>
      <c r="C1382" s="37">
        <f t="shared" si="407"/>
        <v>41880</v>
      </c>
      <c r="D1382" s="37" t="s">
        <v>892</v>
      </c>
      <c r="E1382" s="191">
        <v>41880</v>
      </c>
      <c r="F1382" s="192" t="s">
        <v>895</v>
      </c>
      <c r="G1382" s="40" t="s">
        <v>1266</v>
      </c>
      <c r="H1382" s="7"/>
      <c r="I1382" s="251"/>
      <c r="J1382" s="251"/>
      <c r="K1382" s="563">
        <v>600</v>
      </c>
      <c r="L1382" s="39" t="s">
        <v>24</v>
      </c>
      <c r="M1382" s="39" t="s">
        <v>40</v>
      </c>
      <c r="N1382" s="52" t="str">
        <f>IF(AND('331-CT'!$E$7=TH!H1382,OR(L1382="331",M1382="331")),"331",IF(AND(OR(L1382="131",M1382="131"),H1382='131-CT'!$E$7),"131",""))</f>
        <v/>
      </c>
      <c r="O1382" s="89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>x</v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809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00"/>
        <v>9</v>
      </c>
      <c r="C1383" s="37">
        <f t="shared" ref="C1383" si="410">E1383</f>
        <v>41891</v>
      </c>
      <c r="D1383" s="37" t="s">
        <v>899</v>
      </c>
      <c r="E1383" s="191">
        <v>41891</v>
      </c>
      <c r="F1383" s="192" t="s">
        <v>1316</v>
      </c>
      <c r="G1383" s="40" t="s">
        <v>1266</v>
      </c>
      <c r="H1383" s="7" t="s">
        <v>1304</v>
      </c>
      <c r="I1383" s="251"/>
      <c r="J1383" s="251"/>
      <c r="K1383" s="563">
        <v>99560000</v>
      </c>
      <c r="L1383" s="39" t="s">
        <v>24</v>
      </c>
      <c r="M1383" s="39" t="s">
        <v>1272</v>
      </c>
      <c r="N1383" s="52" t="str">
        <f>IF(AND('331-CT'!$E$7=TH!H1383,OR(L1383="331",M1383="331")),"331",IF(AND(OR(L1383="131",M1383="131"),H1383='131-CT'!$E$7),"131",""))</f>
        <v/>
      </c>
      <c r="O1383" s="89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>x</v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809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" si="411">IF(C1384&lt;&gt;"",MONTH(C1384),"")</f>
        <v>9</v>
      </c>
      <c r="C1384" s="37">
        <f t="shared" ref="C1384" si="412">E1384</f>
        <v>41891</v>
      </c>
      <c r="D1384" s="37" t="s">
        <v>899</v>
      </c>
      <c r="E1384" s="191">
        <v>41891</v>
      </c>
      <c r="F1384" s="192" t="s">
        <v>893</v>
      </c>
      <c r="G1384" s="40" t="s">
        <v>1266</v>
      </c>
      <c r="H1384" s="844" t="s">
        <v>1077</v>
      </c>
      <c r="I1384" s="251"/>
      <c r="J1384" s="251"/>
      <c r="K1384" s="563">
        <v>99560000</v>
      </c>
      <c r="L1384" s="39" t="s">
        <v>8</v>
      </c>
      <c r="M1384" s="39" t="s">
        <v>24</v>
      </c>
      <c r="N1384" s="52" t="str">
        <f>IF(AND('331-CT'!$E$7=TH!H1384,OR(L1384="331",M1384="331")),"331",IF(AND(OR(L1384="131",M1384="131"),H1384='131-CT'!$E$7),"131",""))</f>
        <v/>
      </c>
      <c r="O1384" s="89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809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00"/>
        <v>9</v>
      </c>
      <c r="C1385" s="37">
        <f t="shared" si="407"/>
        <v>41908</v>
      </c>
      <c r="D1385" s="37" t="s">
        <v>892</v>
      </c>
      <c r="E1385" s="191">
        <v>41908</v>
      </c>
      <c r="F1385" s="192" t="s">
        <v>1268</v>
      </c>
      <c r="G1385" s="40" t="s">
        <v>1266</v>
      </c>
      <c r="H1385" s="193" t="s">
        <v>1298</v>
      </c>
      <c r="I1385" s="251"/>
      <c r="J1385" s="251"/>
      <c r="K1385" s="563">
        <v>2780000</v>
      </c>
      <c r="L1385" s="39" t="s">
        <v>24</v>
      </c>
      <c r="M1385" s="194" t="s">
        <v>47</v>
      </c>
      <c r="N1385" s="52" t="str">
        <f>IF(AND('331-CT'!$E$7=TH!H1385,OR(L1385="331",M1385="331")),"331",IF(AND(OR(L1385="131",M1385="131"),H1385='131-CT'!$E$7),"131",""))</f>
        <v/>
      </c>
      <c r="O1385" s="890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809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00"/>
        <v>9</v>
      </c>
      <c r="C1386" s="37">
        <f t="shared" si="407"/>
        <v>41908</v>
      </c>
      <c r="D1386" s="37" t="s">
        <v>892</v>
      </c>
      <c r="E1386" s="191">
        <v>41908</v>
      </c>
      <c r="F1386" s="192" t="s">
        <v>1268</v>
      </c>
      <c r="G1386" s="40" t="s">
        <v>1266</v>
      </c>
      <c r="H1386" s="193" t="s">
        <v>1303</v>
      </c>
      <c r="I1386" s="251"/>
      <c r="J1386" s="251"/>
      <c r="K1386" s="563">
        <v>10000000</v>
      </c>
      <c r="L1386" s="39" t="s">
        <v>24</v>
      </c>
      <c r="M1386" s="194" t="s">
        <v>47</v>
      </c>
      <c r="N1386" s="52" t="str">
        <f>IF(AND('331-CT'!$E$7=TH!H1386,OR(L1386="331",M1386="331")),"331",IF(AND(OR(L1386="131",M1386="131"),H1386='131-CT'!$E$7),"131",""))</f>
        <v/>
      </c>
      <c r="O1386" s="890" t="str">
        <f>IF(AND('341-CT'!$E$9=H1386,OR(LEFT(L1386,3)=$O$7,LEFT(M1386,3)=$O$7)),"x","")</f>
        <v/>
      </c>
      <c r="P1386" s="52" t="str">
        <f>IF(AND($B1386&gt;='111'!$N$11,$B1386&lt;='111'!$O$11,OR($L1386=$P$7,$M1386=$P$7)),"x","")</f>
        <v>x</v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809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00"/>
        <v>9</v>
      </c>
      <c r="C1387" s="37">
        <f t="shared" si="407"/>
        <v>41908</v>
      </c>
      <c r="D1387" s="37" t="s">
        <v>899</v>
      </c>
      <c r="E1387" s="191">
        <v>41908</v>
      </c>
      <c r="F1387" s="192" t="s">
        <v>1299</v>
      </c>
      <c r="G1387" s="40" t="s">
        <v>1266</v>
      </c>
      <c r="H1387" s="7" t="s">
        <v>1297</v>
      </c>
      <c r="I1387" s="252"/>
      <c r="J1387" s="252"/>
      <c r="K1387" s="563">
        <v>976017</v>
      </c>
      <c r="L1387" s="39" t="s">
        <v>81</v>
      </c>
      <c r="M1387" s="194" t="s">
        <v>24</v>
      </c>
      <c r="N1387" s="52" t="str">
        <f>IF(AND('331-CT'!$E$7=TH!H1387,OR(L1387="331",M1387="331")),"331",IF(AND(OR(L1387="131",M1387="131"),H1387='131-CT'!$E$7),"131",""))</f>
        <v/>
      </c>
      <c r="O1387" s="89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809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00"/>
        <v>9</v>
      </c>
      <c r="C1388" s="37">
        <f t="shared" si="407"/>
        <v>41908</v>
      </c>
      <c r="D1388" s="37" t="s">
        <v>899</v>
      </c>
      <c r="E1388" s="191">
        <v>41908</v>
      </c>
      <c r="F1388" s="192" t="s">
        <v>1299</v>
      </c>
      <c r="G1388" s="40" t="s">
        <v>1266</v>
      </c>
      <c r="H1388" s="7" t="s">
        <v>1287</v>
      </c>
      <c r="I1388" s="251"/>
      <c r="J1388" s="251"/>
      <c r="K1388" s="563">
        <v>1039792</v>
      </c>
      <c r="L1388" s="39" t="s">
        <v>81</v>
      </c>
      <c r="M1388" s="194" t="s">
        <v>24</v>
      </c>
      <c r="N1388" s="52" t="str">
        <f>IF(AND('331-CT'!$E$7=TH!H1388,OR(L1388="331",M1388="331")),"331",IF(AND(OR(L1388="131",M1388="131"),H1388='131-CT'!$E$7),"131",""))</f>
        <v/>
      </c>
      <c r="O1388" s="89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809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00"/>
        <v>9</v>
      </c>
      <c r="C1389" s="37">
        <f t="shared" si="407"/>
        <v>41908</v>
      </c>
      <c r="D1389" s="37" t="s">
        <v>899</v>
      </c>
      <c r="E1389" s="191">
        <v>41908</v>
      </c>
      <c r="F1389" s="192" t="s">
        <v>1299</v>
      </c>
      <c r="G1389" s="40" t="s">
        <v>1266</v>
      </c>
      <c r="H1389" s="7" t="s">
        <v>1300</v>
      </c>
      <c r="I1389" s="252"/>
      <c r="J1389" s="252"/>
      <c r="K1389" s="563">
        <v>10763889</v>
      </c>
      <c r="L1389" s="39" t="s">
        <v>81</v>
      </c>
      <c r="M1389" s="194" t="s">
        <v>24</v>
      </c>
      <c r="N1389" s="52" t="str">
        <f>IF(AND('331-CT'!$E$7=TH!H1389,OR(L1389="331",M1389="331")),"331",IF(AND(OR(L1389="131",M1389="131"),H1389='131-CT'!$E$7),"131",""))</f>
        <v/>
      </c>
      <c r="O1389" s="89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809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00"/>
        <v>9</v>
      </c>
      <c r="C1390" s="37">
        <f t="shared" si="407"/>
        <v>41912</v>
      </c>
      <c r="D1390" s="37" t="s">
        <v>892</v>
      </c>
      <c r="E1390" s="191">
        <v>41912</v>
      </c>
      <c r="F1390" s="192" t="s">
        <v>895</v>
      </c>
      <c r="G1390" s="40" t="s">
        <v>1266</v>
      </c>
      <c r="H1390" s="7"/>
      <c r="I1390" s="251"/>
      <c r="J1390" s="251"/>
      <c r="K1390" s="563">
        <v>700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9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809"/>
    </row>
    <row r="1391" spans="1:28" s="211" customFormat="1" ht="15.75" customHeight="1">
      <c r="A1391" s="204" t="str">
        <f>IF(B1391&lt;&gt;"",IF(AND(B1391&gt;=_TM1,B1391&lt;=_TM2,OR(TH!L1391="1111",TH!M1391="1111")),TH!D1391,""),"")</f>
        <v>GBC</v>
      </c>
      <c r="B1391" s="36">
        <f t="shared" si="400"/>
        <v>10</v>
      </c>
      <c r="C1391" s="37">
        <f t="shared" si="407"/>
        <v>41939</v>
      </c>
      <c r="D1391" s="37" t="s">
        <v>892</v>
      </c>
      <c r="E1391" s="191">
        <v>41939</v>
      </c>
      <c r="F1391" s="192" t="s">
        <v>1268</v>
      </c>
      <c r="G1391" s="40" t="s">
        <v>1266</v>
      </c>
      <c r="H1391" s="193" t="s">
        <v>1298</v>
      </c>
      <c r="I1391" s="251"/>
      <c r="J1391" s="251"/>
      <c r="K1391" s="563">
        <v>13989447</v>
      </c>
      <c r="L1391" s="39" t="s">
        <v>24</v>
      </c>
      <c r="M1391" s="194" t="s">
        <v>47</v>
      </c>
      <c r="N1391" s="52" t="str">
        <f>IF(AND('331-CT'!$E$7=TH!H1391,OR(L1391="331",M1391="331")),"331",IF(AND(OR(L1391="131",M1391="131"),H1391='131-CT'!$E$7),"131",""))</f>
        <v/>
      </c>
      <c r="O1391" s="89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09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00"/>
        <v>10</v>
      </c>
      <c r="C1392" s="37">
        <f t="shared" si="407"/>
        <v>41940</v>
      </c>
      <c r="D1392" s="37" t="s">
        <v>899</v>
      </c>
      <c r="E1392" s="191">
        <v>41940</v>
      </c>
      <c r="F1392" s="192" t="s">
        <v>1299</v>
      </c>
      <c r="G1392" s="40" t="s">
        <v>1266</v>
      </c>
      <c r="H1392" s="7" t="s">
        <v>1297</v>
      </c>
      <c r="I1392" s="252"/>
      <c r="J1392" s="252"/>
      <c r="K1392" s="563">
        <v>944533</v>
      </c>
      <c r="L1392" s="39" t="s">
        <v>81</v>
      </c>
      <c r="M1392" s="194" t="s">
        <v>24</v>
      </c>
      <c r="N1392" s="52" t="str">
        <f>IF(AND('331-CT'!$E$7=TH!H1392,OR(L1392="331",M1392="331")),"331",IF(AND(OR(L1392="131",M1392="131"),H1392='131-CT'!$E$7),"131",""))</f>
        <v/>
      </c>
      <c r="O1392" s="89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09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00"/>
        <v>10</v>
      </c>
      <c r="C1393" s="37">
        <f t="shared" si="407"/>
        <v>41940</v>
      </c>
      <c r="D1393" s="37" t="s">
        <v>899</v>
      </c>
      <c r="E1393" s="191">
        <v>41940</v>
      </c>
      <c r="F1393" s="192" t="s">
        <v>1299</v>
      </c>
      <c r="G1393" s="40" t="s">
        <v>1266</v>
      </c>
      <c r="H1393" s="7" t="s">
        <v>1287</v>
      </c>
      <c r="I1393" s="251"/>
      <c r="J1393" s="251"/>
      <c r="K1393" s="563">
        <v>1006250</v>
      </c>
      <c r="L1393" s="39" t="s">
        <v>81</v>
      </c>
      <c r="M1393" s="194" t="s">
        <v>24</v>
      </c>
      <c r="N1393" s="52" t="str">
        <f>IF(AND('331-CT'!$E$7=TH!H1393,OR(L1393="331",M1393="331")),"331",IF(AND(OR(L1393="131",M1393="131"),H1393='131-CT'!$E$7),"131",""))</f>
        <v/>
      </c>
      <c r="O1393" s="89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09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00"/>
        <v>10</v>
      </c>
      <c r="C1394" s="37">
        <f t="shared" si="407"/>
        <v>41940</v>
      </c>
      <c r="D1394" s="37" t="s">
        <v>899</v>
      </c>
      <c r="E1394" s="191">
        <v>41940</v>
      </c>
      <c r="F1394" s="192" t="s">
        <v>1299</v>
      </c>
      <c r="G1394" s="40" t="s">
        <v>1266</v>
      </c>
      <c r="H1394" s="7" t="s">
        <v>1300</v>
      </c>
      <c r="I1394" s="252"/>
      <c r="J1394" s="252"/>
      <c r="K1394" s="563">
        <v>10416666</v>
      </c>
      <c r="L1394" s="39" t="s">
        <v>81</v>
      </c>
      <c r="M1394" s="194" t="s">
        <v>24</v>
      </c>
      <c r="N1394" s="52" t="str">
        <f>IF(AND('331-CT'!$E$7=TH!H1394,OR(L1394="331",M1394="331")),"331",IF(AND(OR(L1394="131",M1394="131"),H1394='131-CT'!$E$7),"131",""))</f>
        <v/>
      </c>
      <c r="O1394" s="89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09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ref="B1395:B1444" si="413">IF(C1395&lt;&gt;"",MONTH(C1395),"")</f>
        <v>10</v>
      </c>
      <c r="C1395" s="37">
        <f t="shared" si="407"/>
        <v>41940</v>
      </c>
      <c r="D1395" s="37" t="s">
        <v>899</v>
      </c>
      <c r="E1395" s="191">
        <v>41940</v>
      </c>
      <c r="F1395" s="192" t="s">
        <v>1299</v>
      </c>
      <c r="G1395" s="40" t="s">
        <v>1266</v>
      </c>
      <c r="H1395" s="7" t="s">
        <v>1304</v>
      </c>
      <c r="I1395" s="251"/>
      <c r="J1395" s="251"/>
      <c r="K1395" s="563">
        <v>1621998</v>
      </c>
      <c r="L1395" s="39" t="s">
        <v>81</v>
      </c>
      <c r="M1395" s="194" t="s">
        <v>24</v>
      </c>
      <c r="N1395" s="52" t="str">
        <f>IF(AND('331-CT'!$E$7=TH!H1395,OR(L1395="331",M1395="331")),"331",IF(AND(OR(L1395="131",M1395="131"),H1395='131-CT'!$E$7),"131",""))</f>
        <v/>
      </c>
      <c r="O1395" s="89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09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13"/>
        <v>10</v>
      </c>
      <c r="C1396" s="37">
        <f t="shared" si="407"/>
        <v>41943</v>
      </c>
      <c r="D1396" s="37" t="s">
        <v>892</v>
      </c>
      <c r="E1396" s="191">
        <v>41943</v>
      </c>
      <c r="F1396" s="192" t="s">
        <v>895</v>
      </c>
      <c r="G1396" s="40" t="s">
        <v>1266</v>
      </c>
      <c r="H1396" s="7"/>
      <c r="I1396" s="251"/>
      <c r="J1396" s="251"/>
      <c r="K1396" s="563">
        <v>800</v>
      </c>
      <c r="L1396" s="39" t="s">
        <v>24</v>
      </c>
      <c r="M1396" s="39" t="s">
        <v>40</v>
      </c>
      <c r="N1396" s="52" t="str">
        <f>IF(AND('331-CT'!$E$7=TH!H1396,OR(L1396="331",M1396="331")),"331",IF(AND(OR(L1396="131",M1396="131"),H1396='131-CT'!$E$7),"131",""))</f>
        <v/>
      </c>
      <c r="O1396" s="89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09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13"/>
        <v>11</v>
      </c>
      <c r="C1397" s="37">
        <f t="shared" si="407"/>
        <v>41962</v>
      </c>
      <c r="D1397" s="37" t="s">
        <v>892</v>
      </c>
      <c r="E1397" s="191">
        <v>41962</v>
      </c>
      <c r="F1397" s="192" t="s">
        <v>895</v>
      </c>
      <c r="G1397" s="40" t="s">
        <v>1266</v>
      </c>
      <c r="H1397" s="7"/>
      <c r="I1397" s="251"/>
      <c r="J1397" s="251"/>
      <c r="K1397" s="563">
        <v>600</v>
      </c>
      <c r="L1397" s="39" t="s">
        <v>24</v>
      </c>
      <c r="M1397" s="39" t="s">
        <v>40</v>
      </c>
      <c r="N1397" s="52" t="str">
        <f>IF(AND('331-CT'!$E$7=TH!H1397,OR(L1397="331",M1397="331")),"331",IF(AND(OR(L1397="131",M1397="131"),H1397='131-CT'!$E$7),"131",""))</f>
        <v/>
      </c>
      <c r="O1397" s="89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09"/>
    </row>
    <row r="1398" spans="1:28" s="211" customFormat="1" ht="15.75" customHeight="1">
      <c r="A1398" s="204" t="str">
        <f>IF(B1398&lt;&gt;"",IF(AND(B1398&gt;=_TM1,B1398&lt;=_TM2,OR(TH!L1398="1111",TH!M1398="1111")),TH!D1398,""),"")</f>
        <v>GBC</v>
      </c>
      <c r="B1398" s="36">
        <f t="shared" si="413"/>
        <v>12</v>
      </c>
      <c r="C1398" s="37">
        <f t="shared" si="407"/>
        <v>41974</v>
      </c>
      <c r="D1398" s="37" t="s">
        <v>892</v>
      </c>
      <c r="E1398" s="191">
        <v>41974</v>
      </c>
      <c r="F1398" s="192" t="s">
        <v>1268</v>
      </c>
      <c r="G1398" s="40" t="s">
        <v>1266</v>
      </c>
      <c r="H1398" s="193" t="s">
        <v>1298</v>
      </c>
      <c r="I1398" s="251"/>
      <c r="J1398" s="251"/>
      <c r="K1398" s="563">
        <v>13765619</v>
      </c>
      <c r="L1398" s="39" t="s">
        <v>24</v>
      </c>
      <c r="M1398" s="194" t="s">
        <v>47</v>
      </c>
      <c r="N1398" s="52" t="str">
        <f>IF(AND('331-CT'!$E$7=TH!H1398,OR(L1398="331",M1398="331")),"331",IF(AND(OR(L1398="131",M1398="131"),H1398='131-CT'!$E$7),"131",""))</f>
        <v/>
      </c>
      <c r="O1398" s="89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09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13"/>
        <v>12</v>
      </c>
      <c r="C1399" s="37">
        <f t="shared" si="407"/>
        <v>41975</v>
      </c>
      <c r="D1399" s="37" t="s">
        <v>899</v>
      </c>
      <c r="E1399" s="191">
        <v>41975</v>
      </c>
      <c r="F1399" s="192" t="s">
        <v>1299</v>
      </c>
      <c r="G1399" s="40" t="s">
        <v>1266</v>
      </c>
      <c r="H1399" s="7" t="s">
        <v>1297</v>
      </c>
      <c r="I1399" s="252"/>
      <c r="J1399" s="252"/>
      <c r="K1399" s="563">
        <v>976017</v>
      </c>
      <c r="L1399" s="39" t="s">
        <v>81</v>
      </c>
      <c r="M1399" s="194" t="s">
        <v>24</v>
      </c>
      <c r="N1399" s="52" t="str">
        <f>IF(AND('331-CT'!$E$7=TH!H1399,OR(L1399="331",M1399="331")),"331",IF(AND(OR(L1399="131",M1399="131"),H1399='131-CT'!$E$7),"131",""))</f>
        <v/>
      </c>
      <c r="O1399" s="89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09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13"/>
        <v>12</v>
      </c>
      <c r="C1400" s="37">
        <f t="shared" si="407"/>
        <v>41975</v>
      </c>
      <c r="D1400" s="37" t="s">
        <v>899</v>
      </c>
      <c r="E1400" s="191">
        <v>41975</v>
      </c>
      <c r="F1400" s="192" t="s">
        <v>1299</v>
      </c>
      <c r="G1400" s="40" t="s">
        <v>1266</v>
      </c>
      <c r="H1400" s="7" t="s">
        <v>1287</v>
      </c>
      <c r="I1400" s="251"/>
      <c r="J1400" s="251"/>
      <c r="K1400" s="563">
        <v>1039792</v>
      </c>
      <c r="L1400" s="39" t="s">
        <v>81</v>
      </c>
      <c r="M1400" s="194" t="s">
        <v>24</v>
      </c>
      <c r="N1400" s="52" t="str">
        <f>IF(AND('331-CT'!$E$7=TH!H1400,OR(L1400="331",M1400="331")),"331",IF(AND(OR(L1400="131",M1400="131"),H1400='131-CT'!$E$7),"131",""))</f>
        <v/>
      </c>
      <c r="O1400" s="89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09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13"/>
        <v>12</v>
      </c>
      <c r="C1401" s="37">
        <f t="shared" si="407"/>
        <v>41975</v>
      </c>
      <c r="D1401" s="37" t="s">
        <v>899</v>
      </c>
      <c r="E1401" s="191">
        <v>41975</v>
      </c>
      <c r="F1401" s="192" t="s">
        <v>1299</v>
      </c>
      <c r="G1401" s="40" t="s">
        <v>1266</v>
      </c>
      <c r="H1401" s="7" t="s">
        <v>1300</v>
      </c>
      <c r="I1401" s="252"/>
      <c r="J1401" s="252"/>
      <c r="K1401" s="563">
        <v>10763889</v>
      </c>
      <c r="L1401" s="39" t="s">
        <v>81</v>
      </c>
      <c r="M1401" s="194" t="s">
        <v>24</v>
      </c>
      <c r="N1401" s="52" t="str">
        <f>IF(AND('331-CT'!$E$7=TH!H1401,OR(L1401="331",M1401="331")),"331",IF(AND(OR(L1401="131",M1401="131"),H1401='131-CT'!$E$7),"131",""))</f>
        <v/>
      </c>
      <c r="O1401" s="89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09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13"/>
        <v>12</v>
      </c>
      <c r="C1402" s="37">
        <f t="shared" si="407"/>
        <v>41975</v>
      </c>
      <c r="D1402" s="37" t="s">
        <v>899</v>
      </c>
      <c r="E1402" s="191">
        <v>41975</v>
      </c>
      <c r="F1402" s="192" t="s">
        <v>1299</v>
      </c>
      <c r="G1402" s="40" t="s">
        <v>1266</v>
      </c>
      <c r="H1402" s="7" t="s">
        <v>1304</v>
      </c>
      <c r="I1402" s="251"/>
      <c r="J1402" s="251"/>
      <c r="K1402" s="563">
        <v>985921</v>
      </c>
      <c r="L1402" s="39" t="s">
        <v>81</v>
      </c>
      <c r="M1402" s="194" t="s">
        <v>24</v>
      </c>
      <c r="N1402" s="52" t="str">
        <f>IF(AND('331-CT'!$E$7=TH!H1402,OR(L1402="331",M1402="331")),"331",IF(AND(OR(L1402="131",M1402="131"),H1402='131-CT'!$E$7),"131",""))</f>
        <v/>
      </c>
      <c r="O1402" s="89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09"/>
    </row>
    <row r="1403" spans="1:28" s="211" customFormat="1" ht="15.75" customHeight="1">
      <c r="A1403" s="204" t="str">
        <f>IF(B1403&lt;&gt;"",IF(AND(B1403&gt;=_TM1,B1403&lt;=_TM2,OR(TH!L1403="1111",TH!M1403="1111")),TH!D1403,""),"")</f>
        <v>GBC</v>
      </c>
      <c r="B1403" s="36">
        <f t="shared" si="413"/>
        <v>12</v>
      </c>
      <c r="C1403" s="37">
        <f t="shared" si="407"/>
        <v>41983</v>
      </c>
      <c r="D1403" s="37" t="s">
        <v>892</v>
      </c>
      <c r="E1403" s="191">
        <v>41983</v>
      </c>
      <c r="F1403" s="192" t="s">
        <v>1268</v>
      </c>
      <c r="G1403" s="40" t="s">
        <v>1266</v>
      </c>
      <c r="H1403" s="193" t="s">
        <v>1305</v>
      </c>
      <c r="I1403" s="251"/>
      <c r="J1403" s="251"/>
      <c r="K1403" s="563">
        <v>105700000</v>
      </c>
      <c r="L1403" s="39" t="s">
        <v>24</v>
      </c>
      <c r="M1403" s="194" t="s">
        <v>47</v>
      </c>
      <c r="N1403" s="52" t="str">
        <f>IF(AND('331-CT'!$E$7=TH!H1403,OR(L1403="331",M1403="331")),"331",IF(AND(OR(L1403="131",M1403="131"),H1403='131-CT'!$E$7),"131",""))</f>
        <v/>
      </c>
      <c r="O1403" s="89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09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13"/>
        <v>12</v>
      </c>
      <c r="C1404" s="37">
        <f t="shared" si="407"/>
        <v>41983</v>
      </c>
      <c r="D1404" s="37" t="s">
        <v>899</v>
      </c>
      <c r="E1404" s="191">
        <v>41983</v>
      </c>
      <c r="F1404" s="192" t="s">
        <v>1309</v>
      </c>
      <c r="G1404" s="40" t="s">
        <v>1266</v>
      </c>
      <c r="H1404" s="7" t="s">
        <v>1287</v>
      </c>
      <c r="I1404" s="252"/>
      <c r="J1404" s="252"/>
      <c r="K1404" s="563">
        <v>105000000</v>
      </c>
      <c r="L1404" s="39" t="s">
        <v>1272</v>
      </c>
      <c r="M1404" s="194" t="s">
        <v>24</v>
      </c>
      <c r="N1404" s="52" t="str">
        <f>IF(AND('331-CT'!$E$7=TH!H1404,OR(L1404="331",M1404="331")),"331",IF(AND(OR(L1404="131",M1404="131"),H1404='131-CT'!$E$7),"131",""))</f>
        <v/>
      </c>
      <c r="O1404" s="890" t="str">
        <f>IF(AND('341-CT'!$E$9=H1404,OR(LEFT(L1404,3)=$O$7,LEFT(M1404,3)=$O$7)),"x","")</f>
        <v>x</v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09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ref="B1405" si="414">IF(C1405&lt;&gt;"",MONTH(C1405),"")</f>
        <v>12</v>
      </c>
      <c r="C1405" s="37">
        <f t="shared" ref="C1405" si="415">E1405</f>
        <v>41983</v>
      </c>
      <c r="D1405" s="37" t="s">
        <v>899</v>
      </c>
      <c r="E1405" s="191">
        <v>41983</v>
      </c>
      <c r="F1405" s="192" t="s">
        <v>1299</v>
      </c>
      <c r="G1405" s="40" t="s">
        <v>1266</v>
      </c>
      <c r="H1405" s="7" t="s">
        <v>1287</v>
      </c>
      <c r="I1405" s="252"/>
      <c r="J1405" s="252"/>
      <c r="K1405" s="563">
        <v>620521</v>
      </c>
      <c r="L1405" s="39" t="s">
        <v>81</v>
      </c>
      <c r="M1405" s="194" t="s">
        <v>24</v>
      </c>
      <c r="N1405" s="52" t="str">
        <f>IF(AND('331-CT'!$E$7=TH!H1405,OR(L1405="331",M1405="331")),"331",IF(AND(OR(L1405="131",M1405="131"),H1405='131-CT'!$E$7),"131",""))</f>
        <v/>
      </c>
      <c r="O1405" s="89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09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13"/>
        <v>12</v>
      </c>
      <c r="C1406" s="37">
        <f t="shared" si="407"/>
        <v>41983</v>
      </c>
      <c r="D1406" s="37" t="s">
        <v>892</v>
      </c>
      <c r="E1406" s="191">
        <v>41983</v>
      </c>
      <c r="F1406" s="7" t="s">
        <v>1307</v>
      </c>
      <c r="G1406" s="40" t="s">
        <v>1266</v>
      </c>
      <c r="H1406" s="7" t="s">
        <v>1306</v>
      </c>
      <c r="I1406" s="251"/>
      <c r="J1406" s="251"/>
      <c r="K1406" s="563">
        <v>99560000</v>
      </c>
      <c r="L1406" s="39" t="s">
        <v>24</v>
      </c>
      <c r="M1406" s="39" t="s">
        <v>1272</v>
      </c>
      <c r="N1406" s="52" t="str">
        <f>IF(AND('331-CT'!$E$7=TH!H1406,OR(L1406="331",M1406="331")),"331",IF(AND(OR(L1406="131",M1406="131"),H1406='131-CT'!$E$7),"131",""))</f>
        <v/>
      </c>
      <c r="O1406" s="89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09"/>
    </row>
    <row r="1407" spans="1:28" s="211" customFormat="1" ht="15.75" customHeight="1">
      <c r="A1407" s="204" t="str">
        <f>IF(B1407&lt;&gt;"",IF(AND(B1407&gt;=_TM1,B1407&lt;=_TM2,OR(TH!L1407="1111",TH!M1407="1111")),TH!D1407,""),"")</f>
        <v>GBN</v>
      </c>
      <c r="B1407" s="36">
        <f t="shared" si="413"/>
        <v>12</v>
      </c>
      <c r="C1407" s="37">
        <f t="shared" si="407"/>
        <v>41985</v>
      </c>
      <c r="D1407" s="37" t="s">
        <v>899</v>
      </c>
      <c r="E1407" s="191">
        <v>41985</v>
      </c>
      <c r="F1407" s="192" t="s">
        <v>1293</v>
      </c>
      <c r="G1407" s="40" t="s">
        <v>1266</v>
      </c>
      <c r="H1407" s="193" t="s">
        <v>1305</v>
      </c>
      <c r="I1407" s="251"/>
      <c r="J1407" s="251"/>
      <c r="K1407" s="563">
        <v>100000000</v>
      </c>
      <c r="L1407" s="39" t="s">
        <v>47</v>
      </c>
      <c r="M1407" s="194" t="s">
        <v>24</v>
      </c>
      <c r="N1407" s="52" t="str">
        <f>IF(AND('331-CT'!$E$7=TH!H1407,OR(L1407="331",M1407="331")),"331",IF(AND(OR(L1407="131",M1407="131"),H1407='131-CT'!$E$7),"131",""))</f>
        <v/>
      </c>
      <c r="O1407" s="89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09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13"/>
        <v>12</v>
      </c>
      <c r="C1408" s="37">
        <f t="shared" si="407"/>
        <v>41985</v>
      </c>
      <c r="D1408" s="37" t="s">
        <v>899</v>
      </c>
      <c r="E1408" s="191">
        <v>41985</v>
      </c>
      <c r="F1408" s="192" t="s">
        <v>1308</v>
      </c>
      <c r="G1408" s="40" t="s">
        <v>1266</v>
      </c>
      <c r="H1408" s="193"/>
      <c r="I1408" s="251"/>
      <c r="J1408" s="251"/>
      <c r="K1408" s="563">
        <v>11000</v>
      </c>
      <c r="L1408" s="39" t="s">
        <v>83</v>
      </c>
      <c r="M1408" s="194" t="s">
        <v>24</v>
      </c>
      <c r="N1408" s="52" t="str">
        <f>IF(AND('331-CT'!$E$7=TH!H1408,OR(L1408="331",M1408="331")),"331",IF(AND(OR(L1408="131",M1408="131"),H1408='131-CT'!$E$7),"131",""))</f>
        <v/>
      </c>
      <c r="O1408" s="89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>x</v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09"/>
    </row>
    <row r="1409" spans="1:28" s="211" customFormat="1" ht="15.75" customHeight="1">
      <c r="A1409" s="204" t="str">
        <f>IF(B1409&lt;&gt;"",IF(AND(B1409&gt;=_TM1,B1409&lt;=_TM2,OR(TH!L1409="1111",TH!M1409="1111")),TH!D1409,""),"")</f>
        <v>GBC</v>
      </c>
      <c r="B1409" s="36">
        <f t="shared" si="413"/>
        <v>12</v>
      </c>
      <c r="C1409" s="37">
        <f t="shared" si="407"/>
        <v>41995</v>
      </c>
      <c r="D1409" s="37" t="s">
        <v>892</v>
      </c>
      <c r="E1409" s="191">
        <v>41995</v>
      </c>
      <c r="F1409" s="192" t="s">
        <v>1268</v>
      </c>
      <c r="G1409" s="40" t="s">
        <v>1266</v>
      </c>
      <c r="H1409" s="193" t="s">
        <v>1301</v>
      </c>
      <c r="I1409" s="251"/>
      <c r="J1409" s="251"/>
      <c r="K1409" s="563">
        <v>96000000</v>
      </c>
      <c r="L1409" s="39" t="s">
        <v>24</v>
      </c>
      <c r="M1409" s="194" t="s">
        <v>47</v>
      </c>
      <c r="N1409" s="52" t="str">
        <f>IF(AND('331-CT'!$E$7=TH!H1409,OR(L1409="331",M1409="331")),"331",IF(AND(OR(L1409="131",M1409="131"),H1409='131-CT'!$E$7),"131",""))</f>
        <v/>
      </c>
      <c r="O1409" s="89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09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13"/>
        <v>12</v>
      </c>
      <c r="C1410" s="37">
        <f t="shared" si="407"/>
        <v>41995</v>
      </c>
      <c r="D1410" s="37" t="s">
        <v>899</v>
      </c>
      <c r="E1410" s="191">
        <v>41995</v>
      </c>
      <c r="F1410" s="192" t="s">
        <v>1309</v>
      </c>
      <c r="G1410" s="40" t="s">
        <v>1266</v>
      </c>
      <c r="H1410" s="7" t="s">
        <v>1297</v>
      </c>
      <c r="I1410" s="251"/>
      <c r="J1410" s="251"/>
      <c r="K1410" s="563">
        <v>95986643</v>
      </c>
      <c r="L1410" s="39" t="s">
        <v>1272</v>
      </c>
      <c r="M1410" s="194" t="s">
        <v>24</v>
      </c>
      <c r="N1410" s="52" t="str">
        <f>IF(AND('331-CT'!$E$7=TH!H1410,OR(L1410="331",M1410="331")),"331",IF(AND(OR(L1410="131",M1410="131"),H1410='131-CT'!$E$7),"131",""))</f>
        <v/>
      </c>
      <c r="O1410" s="89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09"/>
    </row>
    <row r="1411" spans="1:28" s="211" customFormat="1" ht="15.75" customHeight="1">
      <c r="A1411" s="204" t="str">
        <f>IF(B1411&lt;&gt;"",IF(AND(B1411&gt;=_TM1,B1411&lt;=_TM2,OR(TH!L1411="1111",TH!M1411="1111")),TH!D1411,""),"")</f>
        <v>GBC</v>
      </c>
      <c r="B1411" s="36">
        <f t="shared" si="413"/>
        <v>12</v>
      </c>
      <c r="C1411" s="37">
        <f t="shared" si="407"/>
        <v>41996</v>
      </c>
      <c r="D1411" s="37" t="s">
        <v>892</v>
      </c>
      <c r="E1411" s="191">
        <v>41996</v>
      </c>
      <c r="F1411" s="192" t="s">
        <v>1268</v>
      </c>
      <c r="G1411" s="40" t="s">
        <v>1266</v>
      </c>
      <c r="H1411" s="193" t="s">
        <v>1310</v>
      </c>
      <c r="I1411" s="251"/>
      <c r="J1411" s="251"/>
      <c r="K1411" s="563">
        <v>4000000</v>
      </c>
      <c r="L1411" s="39" t="s">
        <v>24</v>
      </c>
      <c r="M1411" s="194" t="s">
        <v>47</v>
      </c>
      <c r="N1411" s="52" t="str">
        <f>IF(AND('331-CT'!$E$7=TH!H1411,OR(L1411="331",M1411="331")),"331",IF(AND(OR(L1411="131",M1411="131"),H1411='131-CT'!$E$7),"131",""))</f>
        <v/>
      </c>
      <c r="O1411" s="89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09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13"/>
        <v>12</v>
      </c>
      <c r="C1412" s="37">
        <f t="shared" si="407"/>
        <v>41996</v>
      </c>
      <c r="D1412" s="37" t="s">
        <v>899</v>
      </c>
      <c r="E1412" s="191">
        <v>41996</v>
      </c>
      <c r="F1412" s="192" t="s">
        <v>1309</v>
      </c>
      <c r="G1412" s="40" t="s">
        <v>1266</v>
      </c>
      <c r="H1412" s="7" t="s">
        <v>1297</v>
      </c>
      <c r="I1412" s="251"/>
      <c r="J1412" s="251"/>
      <c r="K1412" s="563">
        <v>2573357</v>
      </c>
      <c r="L1412" s="39" t="s">
        <v>1272</v>
      </c>
      <c r="M1412" s="194" t="s">
        <v>24</v>
      </c>
      <c r="N1412" s="52" t="str">
        <f>IF(AND('331-CT'!$E$7=TH!H1412,OR(L1412="331",M1412="331")),"331",IF(AND(OR(L1412="131",M1412="131"),H1412='131-CT'!$E$7),"131",""))</f>
        <v/>
      </c>
      <c r="O1412" s="89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09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13"/>
        <v>12</v>
      </c>
      <c r="C1413" s="37">
        <f t="shared" si="407"/>
        <v>41996</v>
      </c>
      <c r="D1413" s="37" t="s">
        <v>899</v>
      </c>
      <c r="E1413" s="191">
        <v>41996</v>
      </c>
      <c r="F1413" s="192" t="s">
        <v>1299</v>
      </c>
      <c r="G1413" s="40" t="s">
        <v>1266</v>
      </c>
      <c r="H1413" s="7" t="s">
        <v>1297</v>
      </c>
      <c r="I1413" s="252"/>
      <c r="J1413" s="252"/>
      <c r="K1413" s="563">
        <v>993466</v>
      </c>
      <c r="L1413" s="39" t="s">
        <v>81</v>
      </c>
      <c r="M1413" s="194" t="s">
        <v>24</v>
      </c>
      <c r="N1413" s="52" t="str">
        <f>IF(AND('331-CT'!$E$7=TH!H1413,OR(L1413="331",M1413="331")),"331",IF(AND(OR(L1413="131",M1413="131"),H1413='131-CT'!$E$7),"131",""))</f>
        <v/>
      </c>
      <c r="O1413" s="89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09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13"/>
        <v>12</v>
      </c>
      <c r="C1414" s="37">
        <f t="shared" si="407"/>
        <v>41997</v>
      </c>
      <c r="D1414" s="37" t="s">
        <v>892</v>
      </c>
      <c r="E1414" s="191">
        <v>41997</v>
      </c>
      <c r="F1414" s="7" t="s">
        <v>1311</v>
      </c>
      <c r="G1414" s="40" t="s">
        <v>1266</v>
      </c>
      <c r="H1414" s="7" t="s">
        <v>1312</v>
      </c>
      <c r="I1414" s="251"/>
      <c r="J1414" s="251"/>
      <c r="K1414" s="563">
        <v>99560000</v>
      </c>
      <c r="L1414" s="39" t="s">
        <v>24</v>
      </c>
      <c r="M1414" s="39" t="s">
        <v>1272</v>
      </c>
      <c r="N1414" s="52" t="str">
        <f>IF(AND('331-CT'!$E$7=TH!H1414,OR(L1414="331",M1414="331")),"331",IF(AND(OR(L1414="131",M1414="131"),H1414='131-CT'!$E$7),"131",""))</f>
        <v/>
      </c>
      <c r="O1414" s="89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09"/>
    </row>
    <row r="1415" spans="1:28" s="211" customFormat="1" ht="15.75" customHeight="1">
      <c r="A1415" s="204" t="str">
        <f>IF(B1415&lt;&gt;"",IF(AND(B1415&gt;=_TM1,B1415&lt;=_TM2,OR(TH!L1415="1111",TH!M1415="1111")),TH!D1415,""),"")</f>
        <v>GBN</v>
      </c>
      <c r="B1415" s="36">
        <f t="shared" si="413"/>
        <v>12</v>
      </c>
      <c r="C1415" s="37">
        <f t="shared" si="407"/>
        <v>41997</v>
      </c>
      <c r="D1415" s="37" t="s">
        <v>899</v>
      </c>
      <c r="E1415" s="191">
        <v>41997</v>
      </c>
      <c r="F1415" s="192" t="s">
        <v>1293</v>
      </c>
      <c r="G1415" s="40" t="s">
        <v>1266</v>
      </c>
      <c r="H1415" s="193" t="s">
        <v>1305</v>
      </c>
      <c r="I1415" s="251"/>
      <c r="J1415" s="251"/>
      <c r="K1415" s="563">
        <v>100000000</v>
      </c>
      <c r="L1415" s="39" t="s">
        <v>47</v>
      </c>
      <c r="M1415" s="194" t="s">
        <v>24</v>
      </c>
      <c r="N1415" s="52" t="str">
        <f>IF(AND('331-CT'!$E$7=TH!H1415,OR(L1415="331",M1415="331")),"331",IF(AND(OR(L1415="131",M1415="131"),H1415='131-CT'!$E$7),"131",""))</f>
        <v/>
      </c>
      <c r="O1415" s="89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09"/>
    </row>
    <row r="1416" spans="1:28" s="211" customFormat="1" ht="15.75" customHeight="1">
      <c r="A1416" s="204" t="str">
        <f>IF(B1416&lt;&gt;"",IF(AND(B1416&gt;=_TM1,B1416&lt;=_TM2,OR(TH!L1416="1111",TH!M1416="1111")),TH!D1416,""),"")</f>
        <v>GBC</v>
      </c>
      <c r="B1416" s="36">
        <f t="shared" si="413"/>
        <v>12</v>
      </c>
      <c r="C1416" s="37">
        <f t="shared" si="407"/>
        <v>42000</v>
      </c>
      <c r="D1416" s="37" t="s">
        <v>892</v>
      </c>
      <c r="E1416" s="191">
        <v>42000</v>
      </c>
      <c r="F1416" s="192" t="s">
        <v>1268</v>
      </c>
      <c r="G1416" s="40" t="s">
        <v>1266</v>
      </c>
      <c r="H1416" s="193" t="s">
        <v>1305</v>
      </c>
      <c r="I1416" s="251"/>
      <c r="J1416" s="251"/>
      <c r="K1416" s="563">
        <v>11380000</v>
      </c>
      <c r="L1416" s="39" t="s">
        <v>24</v>
      </c>
      <c r="M1416" s="194" t="s">
        <v>47</v>
      </c>
      <c r="N1416" s="52" t="str">
        <f>IF(AND('331-CT'!$E$7=TH!H1416,OR(L1416="331",M1416="331")),"331",IF(AND(OR(L1416="131",M1416="131"),H1416='131-CT'!$E$7),"131",""))</f>
        <v/>
      </c>
      <c r="O1416" s="89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09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13"/>
        <v>12</v>
      </c>
      <c r="C1417" s="37">
        <f t="shared" si="407"/>
        <v>42002</v>
      </c>
      <c r="D1417" s="37" t="s">
        <v>899</v>
      </c>
      <c r="E1417" s="191">
        <v>42002</v>
      </c>
      <c r="F1417" s="192" t="s">
        <v>1299</v>
      </c>
      <c r="G1417" s="40" t="s">
        <v>1266</v>
      </c>
      <c r="H1417" s="7" t="s">
        <v>1300</v>
      </c>
      <c r="I1417" s="252"/>
      <c r="J1417" s="252"/>
      <c r="K1417" s="563">
        <v>10416666</v>
      </c>
      <c r="L1417" s="39" t="s">
        <v>81</v>
      </c>
      <c r="M1417" s="194" t="s">
        <v>24</v>
      </c>
      <c r="N1417" s="52" t="str">
        <f>IF(AND('331-CT'!$E$7=TH!H1417,OR(L1417="331",M1417="331")),"331",IF(AND(OR(L1417="131",M1417="131"),H1417='131-CT'!$E$7),"131",""))</f>
        <v/>
      </c>
      <c r="O1417" s="89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09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13"/>
        <v>12</v>
      </c>
      <c r="C1418" s="37">
        <f t="shared" si="407"/>
        <v>42002</v>
      </c>
      <c r="D1418" s="37" t="s">
        <v>899</v>
      </c>
      <c r="E1418" s="191">
        <v>42002</v>
      </c>
      <c r="F1418" s="192" t="s">
        <v>1299</v>
      </c>
      <c r="G1418" s="40" t="s">
        <v>1266</v>
      </c>
      <c r="H1418" s="7" t="s">
        <v>1304</v>
      </c>
      <c r="I1418" s="251"/>
      <c r="J1418" s="251"/>
      <c r="K1418" s="563">
        <v>954117</v>
      </c>
      <c r="L1418" s="39" t="s">
        <v>81</v>
      </c>
      <c r="M1418" s="194" t="s">
        <v>24</v>
      </c>
      <c r="N1418" s="52" t="str">
        <f>IF(AND('331-CT'!$E$7=TH!H1418,OR(L1418="331",M1418="331")),"331",IF(AND(OR(L1418="131",M1418="131"),H1418='131-CT'!$E$7),"131",""))</f>
        <v/>
      </c>
      <c r="O1418" s="89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09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13"/>
        <v>12</v>
      </c>
      <c r="C1419" s="37">
        <f t="shared" si="407"/>
        <v>42002</v>
      </c>
      <c r="D1419" s="37" t="s">
        <v>892</v>
      </c>
      <c r="E1419" s="191">
        <v>42002</v>
      </c>
      <c r="F1419" s="7" t="s">
        <v>1313</v>
      </c>
      <c r="G1419" s="40" t="s">
        <v>1266</v>
      </c>
      <c r="H1419" s="7" t="s">
        <v>1314</v>
      </c>
      <c r="I1419" s="251"/>
      <c r="J1419" s="251"/>
      <c r="K1419" s="563">
        <v>97900000</v>
      </c>
      <c r="L1419" s="39" t="s">
        <v>24</v>
      </c>
      <c r="M1419" s="39" t="s">
        <v>1272</v>
      </c>
      <c r="N1419" s="52" t="str">
        <f>IF(AND('331-CT'!$E$7=TH!H1419,OR(L1419="331",M1419="331")),"331",IF(AND(OR(L1419="131",M1419="131"),H1419='131-CT'!$E$7),"131",""))</f>
        <v/>
      </c>
      <c r="O1419" s="89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09"/>
    </row>
    <row r="1420" spans="1:28" s="211" customFormat="1" ht="15.75" customHeight="1">
      <c r="A1420" s="204" t="str">
        <f>IF(B1420&lt;&gt;"",IF(AND(B1420&gt;=_TM1,B1420&lt;=_TM2,OR(TH!L1420="1111",TH!M1420="1111")),TH!D1420,""),"")</f>
        <v>GBN</v>
      </c>
      <c r="B1420" s="36">
        <f t="shared" si="413"/>
        <v>12</v>
      </c>
      <c r="C1420" s="37">
        <f t="shared" si="407"/>
        <v>42002</v>
      </c>
      <c r="D1420" s="37" t="s">
        <v>899</v>
      </c>
      <c r="E1420" s="191">
        <v>42002</v>
      </c>
      <c r="F1420" s="192" t="s">
        <v>1293</v>
      </c>
      <c r="G1420" s="40" t="s">
        <v>1266</v>
      </c>
      <c r="H1420" s="193" t="s">
        <v>1305</v>
      </c>
      <c r="I1420" s="251"/>
      <c r="J1420" s="251"/>
      <c r="K1420" s="563">
        <v>97000000</v>
      </c>
      <c r="L1420" s="39" t="s">
        <v>47</v>
      </c>
      <c r="M1420" s="194" t="s">
        <v>24</v>
      </c>
      <c r="N1420" s="52" t="str">
        <f>IF(AND('331-CT'!$E$7=TH!H1420,OR(L1420="331",M1420="331")),"331",IF(AND(OR(L1420="131",M1420="131"),H1420='131-CT'!$E$7),"131",""))</f>
        <v/>
      </c>
      <c r="O1420" s="89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09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13"/>
        <v>12</v>
      </c>
      <c r="C1421" s="37">
        <f t="shared" si="407"/>
        <v>42002</v>
      </c>
      <c r="D1421" s="37" t="s">
        <v>899</v>
      </c>
      <c r="E1421" s="191">
        <v>42002</v>
      </c>
      <c r="F1421" s="192" t="s">
        <v>1308</v>
      </c>
      <c r="G1421" s="40" t="s">
        <v>1266</v>
      </c>
      <c r="H1421" s="193"/>
      <c r="I1421" s="251"/>
      <c r="J1421" s="251"/>
      <c r="K1421" s="563">
        <v>11000</v>
      </c>
      <c r="L1421" s="39" t="s">
        <v>83</v>
      </c>
      <c r="M1421" s="194" t="s">
        <v>24</v>
      </c>
      <c r="N1421" s="52" t="str">
        <f>IF(AND('331-CT'!$E$7=TH!H1421,OR(L1421="331",M1421="331")),"331",IF(AND(OR(L1421="131",M1421="131"),H1421='131-CT'!$E$7),"131",""))</f>
        <v/>
      </c>
      <c r="O1421" s="89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>x</v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09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13"/>
        <v>12</v>
      </c>
      <c r="C1422" s="37">
        <f t="shared" si="407"/>
        <v>42002</v>
      </c>
      <c r="D1422" s="37" t="s">
        <v>892</v>
      </c>
      <c r="E1422" s="191">
        <v>42002</v>
      </c>
      <c r="F1422" s="192" t="s">
        <v>895</v>
      </c>
      <c r="G1422" s="40" t="s">
        <v>1266</v>
      </c>
      <c r="H1422" s="7"/>
      <c r="I1422" s="251"/>
      <c r="J1422" s="251"/>
      <c r="K1422" s="563">
        <v>1000</v>
      </c>
      <c r="L1422" s="39" t="s">
        <v>24</v>
      </c>
      <c r="M1422" s="39" t="s">
        <v>40</v>
      </c>
      <c r="N1422" s="52" t="str">
        <f>IF(AND('331-CT'!$E$7=TH!H1422,OR(L1422="331",M1422="331")),"331",IF(AND(OR(L1422="131",M1422="131"),H1422='131-CT'!$E$7),"131",""))</f>
        <v/>
      </c>
      <c r="O1422" s="89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09"/>
    </row>
    <row r="1423" spans="1:28" s="911" customFormat="1" ht="15.75" customHeight="1">
      <c r="A1423" s="906" t="str">
        <f>IF(B1423&lt;&gt;"",IF(AND(B1423&gt;=_TM1,B1423&lt;=_TM2,OR(TH!L1423="1111",TH!M1423="1111")),TH!D1423,""),"")</f>
        <v/>
      </c>
      <c r="B1423" s="907">
        <f t="shared" si="413"/>
        <v>1</v>
      </c>
      <c r="C1423" s="48">
        <f t="shared" si="407"/>
        <v>41641</v>
      </c>
      <c r="D1423" s="48" t="s">
        <v>1376</v>
      </c>
      <c r="E1423" s="908">
        <v>41641</v>
      </c>
      <c r="F1423" s="909" t="s">
        <v>330</v>
      </c>
      <c r="G1423" s="49"/>
      <c r="H1423" s="913" t="s">
        <v>1365</v>
      </c>
      <c r="I1423" s="249">
        <v>24</v>
      </c>
      <c r="J1423" s="249">
        <v>41000</v>
      </c>
      <c r="K1423" s="910">
        <f t="shared" ref="K1423" si="416">ROUND(I1423*J1423,0)</f>
        <v>984000</v>
      </c>
      <c r="L1423" s="52" t="s">
        <v>167</v>
      </c>
      <c r="M1423" s="52" t="s">
        <v>161</v>
      </c>
      <c r="N1423" s="52" t="str">
        <f>IF(AND('331-CT'!$E$7=TH!H1423,OR(L1423="331",M1423="331")),"331",IF(AND(OR(L1423="131",M1423="131"),H1423='131-CT'!$E$7),"131",""))</f>
        <v/>
      </c>
      <c r="O1423" s="89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783"/>
    </row>
    <row r="1424" spans="1:28" s="911" customFormat="1" ht="15.75" customHeight="1">
      <c r="A1424" s="906" t="str">
        <f>IF(B1424&lt;&gt;"",IF(AND(B1424&gt;=_TM1,B1424&lt;=_TM2,OR(TH!L1424="1111",TH!M1424="1111")),TH!D1424,""),"")</f>
        <v/>
      </c>
      <c r="B1424" s="907">
        <f t="shared" si="413"/>
        <v>1</v>
      </c>
      <c r="C1424" s="48">
        <f t="shared" si="407"/>
        <v>41641</v>
      </c>
      <c r="D1424" s="48" t="s">
        <v>1376</v>
      </c>
      <c r="E1424" s="908">
        <v>41641</v>
      </c>
      <c r="F1424" s="909" t="s">
        <v>1322</v>
      </c>
      <c r="G1424" s="49"/>
      <c r="H1424" s="913" t="s">
        <v>1365</v>
      </c>
      <c r="I1424" s="249">
        <v>50</v>
      </c>
      <c r="J1424" s="249">
        <v>17500</v>
      </c>
      <c r="K1424" s="910">
        <f t="shared" ref="K1424:K1441" si="417">ROUND(I1424*J1424,0)</f>
        <v>875000</v>
      </c>
      <c r="L1424" s="52" t="s">
        <v>167</v>
      </c>
      <c r="M1424" s="52" t="s">
        <v>161</v>
      </c>
      <c r="N1424" s="52" t="str">
        <f>IF(AND('331-CT'!$E$7=TH!H1424,OR(L1424="331",M1424="331")),"331",IF(AND(OR(L1424="131",M1424="131"),H1424='131-CT'!$E$7),"131",""))</f>
        <v/>
      </c>
      <c r="O1424" s="89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783"/>
    </row>
    <row r="1425" spans="1:28" s="911" customFormat="1" ht="15.75" customHeight="1">
      <c r="A1425" s="906" t="str">
        <f>IF(B1425&lt;&gt;"",IF(AND(B1425&gt;=_TM1,B1425&lt;=_TM2,OR(TH!L1425="1111",TH!M1425="1111")),TH!D1425,""),"")</f>
        <v/>
      </c>
      <c r="B1425" s="907">
        <f t="shared" si="413"/>
        <v>4</v>
      </c>
      <c r="C1425" s="48">
        <f t="shared" si="407"/>
        <v>41734</v>
      </c>
      <c r="D1425" s="48" t="s">
        <v>1376</v>
      </c>
      <c r="E1425" s="908">
        <v>41734</v>
      </c>
      <c r="F1425" s="909" t="s">
        <v>1322</v>
      </c>
      <c r="G1425" s="49"/>
      <c r="H1425" s="913" t="s">
        <v>1365</v>
      </c>
      <c r="I1425" s="249">
        <v>50</v>
      </c>
      <c r="J1425" s="249">
        <v>17500</v>
      </c>
      <c r="K1425" s="910">
        <f t="shared" si="417"/>
        <v>875000</v>
      </c>
      <c r="L1425" s="52" t="s">
        <v>167</v>
      </c>
      <c r="M1425" s="52" t="s">
        <v>161</v>
      </c>
      <c r="N1425" s="52" t="str">
        <f>IF(AND('331-CT'!$E$7=TH!H1425,OR(L1425="331",M1425="331")),"331",IF(AND(OR(L1425="131",M1425="131"),H1425='131-CT'!$E$7),"131",""))</f>
        <v/>
      </c>
      <c r="O1425" s="89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>154</v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783"/>
    </row>
    <row r="1426" spans="1:28" s="911" customFormat="1" ht="15.75" customHeight="1">
      <c r="A1426" s="906" t="str">
        <f>IF(B1426&lt;&gt;"",IF(AND(B1426&gt;=_TM1,B1426&lt;=_TM2,OR(TH!L1426="1111",TH!M1426="1111")),TH!D1426,""),"")</f>
        <v/>
      </c>
      <c r="B1426" s="907">
        <f t="shared" si="413"/>
        <v>4</v>
      </c>
      <c r="C1426" s="48">
        <f t="shared" si="407"/>
        <v>41734</v>
      </c>
      <c r="D1426" s="48" t="s">
        <v>1376</v>
      </c>
      <c r="E1426" s="908">
        <v>41734</v>
      </c>
      <c r="F1426" s="909" t="s">
        <v>330</v>
      </c>
      <c r="G1426" s="49"/>
      <c r="H1426" s="913" t="s">
        <v>1365</v>
      </c>
      <c r="I1426" s="249">
        <v>24</v>
      </c>
      <c r="J1426" s="249">
        <v>41000</v>
      </c>
      <c r="K1426" s="910">
        <f t="shared" si="417"/>
        <v>984000</v>
      </c>
      <c r="L1426" s="52" t="s">
        <v>167</v>
      </c>
      <c r="M1426" s="52" t="s">
        <v>161</v>
      </c>
      <c r="N1426" s="52" t="str">
        <f>IF(AND('331-CT'!$E$7=TH!H1426,OR(L1426="331",M1426="331")),"331",IF(AND(OR(L1426="131",M1426="131"),H1426='131-CT'!$E$7),"131",""))</f>
        <v/>
      </c>
      <c r="O1426" s="89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>154</v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783"/>
    </row>
    <row r="1427" spans="1:28" s="911" customFormat="1" ht="15.75" customHeight="1">
      <c r="A1427" s="906" t="str">
        <f>IF(B1427&lt;&gt;"",IF(AND(B1427&gt;=_TM1,B1427&lt;=_TM2,OR(TH!L1427="1111",TH!M1427="1111")),TH!D1427,""),"")</f>
        <v/>
      </c>
      <c r="B1427" s="907">
        <f t="shared" si="413"/>
        <v>5</v>
      </c>
      <c r="C1427" s="48">
        <f t="shared" ref="C1427:C1444" si="418">E1427</f>
        <v>41790</v>
      </c>
      <c r="D1427" s="48" t="s">
        <v>1376</v>
      </c>
      <c r="E1427" s="912">
        <v>41790</v>
      </c>
      <c r="F1427" s="49" t="s">
        <v>330</v>
      </c>
      <c r="G1427" s="49"/>
      <c r="H1427" s="913" t="s">
        <v>1365</v>
      </c>
      <c r="I1427" s="249">
        <v>24</v>
      </c>
      <c r="J1427" s="249">
        <v>44000</v>
      </c>
      <c r="K1427" s="910">
        <f t="shared" si="417"/>
        <v>1056000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9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>154</v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783"/>
    </row>
    <row r="1428" spans="1:28" s="911" customFormat="1" ht="15.75" customHeight="1">
      <c r="A1428" s="906" t="str">
        <f>IF(B1428&lt;&gt;"",IF(AND(B1428&gt;=_TM1,B1428&lt;=_TM2,OR(TH!L1428="1111",TH!M1428="1111")),TH!D1428,""),"")</f>
        <v/>
      </c>
      <c r="B1428" s="907">
        <f t="shared" si="413"/>
        <v>7</v>
      </c>
      <c r="C1428" s="48">
        <f t="shared" si="418"/>
        <v>41821</v>
      </c>
      <c r="D1428" s="48" t="s">
        <v>1376</v>
      </c>
      <c r="E1428" s="912">
        <v>41821</v>
      </c>
      <c r="F1428" s="49" t="s">
        <v>330</v>
      </c>
      <c r="G1428" s="49"/>
      <c r="H1428" s="913" t="s">
        <v>1365</v>
      </c>
      <c r="I1428" s="249">
        <v>24</v>
      </c>
      <c r="J1428" s="249">
        <v>45000</v>
      </c>
      <c r="K1428" s="910">
        <f t="shared" si="417"/>
        <v>1080000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9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783"/>
    </row>
    <row r="1429" spans="1:28" s="911" customFormat="1" ht="15.75" customHeight="1">
      <c r="A1429" s="906" t="str">
        <f>IF(B1429&lt;&gt;"",IF(AND(B1429&gt;=_TM1,B1429&lt;=_TM2,OR(TH!L1429="1111",TH!M1429="1111")),TH!D1429,""),"")</f>
        <v/>
      </c>
      <c r="B1429" s="907">
        <f t="shared" si="413"/>
        <v>7</v>
      </c>
      <c r="C1429" s="48">
        <f t="shared" si="418"/>
        <v>41842</v>
      </c>
      <c r="D1429" s="48" t="s">
        <v>1376</v>
      </c>
      <c r="E1429" s="912">
        <v>41842</v>
      </c>
      <c r="F1429" s="49" t="s">
        <v>1017</v>
      </c>
      <c r="G1429" s="49"/>
      <c r="H1429" s="913" t="s">
        <v>1365</v>
      </c>
      <c r="I1429" s="249">
        <v>1500</v>
      </c>
      <c r="J1429" s="249">
        <v>11000</v>
      </c>
      <c r="K1429" s="910">
        <f t="shared" si="417"/>
        <v>16500000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9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783"/>
    </row>
    <row r="1430" spans="1:28" s="911" customFormat="1" ht="15.75" customHeight="1">
      <c r="A1430" s="906" t="str">
        <f>IF(B1430&lt;&gt;"",IF(AND(B1430&gt;=_TM1,B1430&lt;=_TM2,OR(TH!L1430="1111",TH!M1430="1111")),TH!D1430,""),"")</f>
        <v/>
      </c>
      <c r="B1430" s="907">
        <f t="shared" si="413"/>
        <v>7</v>
      </c>
      <c r="C1430" s="48">
        <f t="shared" si="418"/>
        <v>41851</v>
      </c>
      <c r="D1430" s="48" t="s">
        <v>1376</v>
      </c>
      <c r="E1430" s="912">
        <v>41851</v>
      </c>
      <c r="F1430" s="49" t="s">
        <v>1022</v>
      </c>
      <c r="G1430" s="49"/>
      <c r="H1430" s="913" t="s">
        <v>1365</v>
      </c>
      <c r="I1430" s="249">
        <v>25</v>
      </c>
      <c r="J1430" s="249">
        <v>20000</v>
      </c>
      <c r="K1430" s="910">
        <f t="shared" si="417"/>
        <v>500000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9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783"/>
    </row>
    <row r="1431" spans="1:28" s="911" customFormat="1" ht="15.75" customHeight="1">
      <c r="A1431" s="906" t="str">
        <f>IF(B1431&lt;&gt;"",IF(AND(B1431&gt;=_TM1,B1431&lt;=_TM2,OR(TH!L1431="1111",TH!M1431="1111")),TH!D1431,""),"")</f>
        <v/>
      </c>
      <c r="B1431" s="907">
        <f t="shared" si="413"/>
        <v>7</v>
      </c>
      <c r="C1431" s="48">
        <f t="shared" si="418"/>
        <v>41851</v>
      </c>
      <c r="D1431" s="48" t="s">
        <v>1376</v>
      </c>
      <c r="E1431" s="48">
        <v>41851</v>
      </c>
      <c r="F1431" s="49" t="s">
        <v>1023</v>
      </c>
      <c r="G1431" s="49"/>
      <c r="H1431" s="913" t="s">
        <v>1365</v>
      </c>
      <c r="I1431" s="249">
        <v>100</v>
      </c>
      <c r="J1431" s="249">
        <v>20000</v>
      </c>
      <c r="K1431" s="910">
        <f t="shared" si="417"/>
        <v>2000000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9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>x</v>
      </c>
      <c r="AB1431" s="783"/>
    </row>
    <row r="1432" spans="1:28" s="911" customFormat="1" ht="15.75" customHeight="1">
      <c r="A1432" s="906" t="str">
        <f>IF(B1432&lt;&gt;"",IF(AND(B1432&gt;=_TM1,B1432&lt;=_TM2,OR(TH!L1432="1111",TH!M1432="1111")),TH!D1432,""),"")</f>
        <v/>
      </c>
      <c r="B1432" s="907">
        <f t="shared" si="413"/>
        <v>8</v>
      </c>
      <c r="C1432" s="48">
        <f t="shared" si="418"/>
        <v>41858</v>
      </c>
      <c r="D1432" s="48" t="s">
        <v>1376</v>
      </c>
      <c r="E1432" s="48">
        <v>41858</v>
      </c>
      <c r="F1432" s="49" t="s">
        <v>1127</v>
      </c>
      <c r="G1432" s="49"/>
      <c r="H1432" s="913" t="s">
        <v>1365</v>
      </c>
      <c r="I1432" s="249">
        <v>55</v>
      </c>
      <c r="J1432" s="249">
        <v>360000</v>
      </c>
      <c r="K1432" s="910">
        <f t="shared" si="417"/>
        <v>19800000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9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>x</v>
      </c>
      <c r="AB1432" s="783"/>
    </row>
    <row r="1433" spans="1:28" s="911" customFormat="1" ht="15.75" customHeight="1">
      <c r="A1433" s="906" t="str">
        <f>IF(B1433&lt;&gt;"",IF(AND(B1433&gt;=_TM1,B1433&lt;=_TM2,OR(TH!L1433="1111",TH!M1433="1111")),TH!D1433,""),"")</f>
        <v/>
      </c>
      <c r="B1433" s="907">
        <f t="shared" ref="B1433:B1440" si="419">IF(C1433&lt;&gt;"",MONTH(C1433),"")</f>
        <v>8</v>
      </c>
      <c r="C1433" s="48">
        <f t="shared" ref="C1433:C1440" si="420">E1433</f>
        <v>41870</v>
      </c>
      <c r="D1433" s="48" t="s">
        <v>1376</v>
      </c>
      <c r="E1433" s="48">
        <v>41870</v>
      </c>
      <c r="F1433" s="909" t="s">
        <v>330</v>
      </c>
      <c r="G1433" s="49"/>
      <c r="H1433" s="913" t="s">
        <v>1365</v>
      </c>
      <c r="I1433" s="249">
        <v>24</v>
      </c>
      <c r="J1433" s="249">
        <v>45000</v>
      </c>
      <c r="K1433" s="910">
        <f t="shared" ref="K1433:K1440" si="421">ROUND(I1433*J1433,0)</f>
        <v>1080000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9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>x</v>
      </c>
      <c r="AB1433" s="783"/>
    </row>
    <row r="1434" spans="1:28" s="911" customFormat="1" ht="15.75" customHeight="1">
      <c r="A1434" s="906" t="str">
        <f>IF(B1434&lt;&gt;"",IF(AND(B1434&gt;=_TM1,B1434&lt;=_TM2,OR(TH!L1434="1111",TH!M1434="1111")),TH!D1434,""),"")</f>
        <v/>
      </c>
      <c r="B1434" s="907">
        <f t="shared" si="419"/>
        <v>9</v>
      </c>
      <c r="C1434" s="48">
        <f t="shared" si="420"/>
        <v>41901</v>
      </c>
      <c r="D1434" s="48" t="s">
        <v>1376</v>
      </c>
      <c r="E1434" s="48">
        <v>41901</v>
      </c>
      <c r="F1434" s="49" t="s">
        <v>1127</v>
      </c>
      <c r="G1434" s="49"/>
      <c r="H1434" s="913" t="s">
        <v>1365</v>
      </c>
      <c r="I1434" s="249">
        <v>110</v>
      </c>
      <c r="J1434" s="249">
        <v>360000</v>
      </c>
      <c r="K1434" s="910">
        <f t="shared" si="421"/>
        <v>39600000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9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>x</v>
      </c>
      <c r="AB1434" s="783"/>
    </row>
    <row r="1435" spans="1:28" s="911" customFormat="1" ht="15.75" customHeight="1">
      <c r="A1435" s="906" t="str">
        <f>IF(B1435&lt;&gt;"",IF(AND(B1435&gt;=_TM1,B1435&lt;=_TM2,OR(TH!L1435="1111",TH!M1435="1111")),TH!D1435,""),"")</f>
        <v/>
      </c>
      <c r="B1435" s="907">
        <f t="shared" si="419"/>
        <v>9</v>
      </c>
      <c r="C1435" s="48">
        <f t="shared" si="420"/>
        <v>41902</v>
      </c>
      <c r="D1435" s="48" t="s">
        <v>1376</v>
      </c>
      <c r="E1435" s="914">
        <v>41902</v>
      </c>
      <c r="F1435" s="915" t="s">
        <v>330</v>
      </c>
      <c r="G1435" s="916"/>
      <c r="H1435" s="913" t="s">
        <v>1365</v>
      </c>
      <c r="I1435" s="249">
        <v>24</v>
      </c>
      <c r="J1435" s="249">
        <v>45000</v>
      </c>
      <c r="K1435" s="910">
        <f t="shared" si="421"/>
        <v>1080000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9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>x</v>
      </c>
      <c r="AB1435" s="783"/>
    </row>
    <row r="1436" spans="1:28" s="911" customFormat="1" ht="15.75" customHeight="1">
      <c r="A1436" s="906" t="str">
        <f>IF(B1436&lt;&gt;"",IF(AND(B1436&gt;=_TM1,B1436&lt;=_TM2,OR(TH!L1436="1111",TH!M1436="1111")),TH!D1436,""),"")</f>
        <v/>
      </c>
      <c r="B1436" s="907">
        <f t="shared" si="419"/>
        <v>10</v>
      </c>
      <c r="C1436" s="48">
        <f t="shared" si="420"/>
        <v>41914</v>
      </c>
      <c r="D1436" s="48" t="s">
        <v>1376</v>
      </c>
      <c r="E1436" s="48">
        <v>41914</v>
      </c>
      <c r="F1436" s="909" t="s">
        <v>1127</v>
      </c>
      <c r="G1436" s="49"/>
      <c r="H1436" s="913" t="s">
        <v>1365</v>
      </c>
      <c r="I1436" s="249">
        <v>110</v>
      </c>
      <c r="J1436" s="249">
        <v>360000</v>
      </c>
      <c r="K1436" s="910">
        <f t="shared" si="421"/>
        <v>39600000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9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783"/>
    </row>
    <row r="1437" spans="1:28" s="911" customFormat="1" ht="15.75" customHeight="1">
      <c r="A1437" s="906" t="str">
        <f>IF(B1437&lt;&gt;"",IF(AND(B1437&gt;=_TM1,B1437&lt;=_TM2,OR(TH!L1437="1111",TH!M1437="1111")),TH!D1437,""),"")</f>
        <v/>
      </c>
      <c r="B1437" s="907">
        <f t="shared" si="419"/>
        <v>10</v>
      </c>
      <c r="C1437" s="48">
        <f t="shared" si="420"/>
        <v>41914</v>
      </c>
      <c r="D1437" s="48" t="s">
        <v>1376</v>
      </c>
      <c r="E1437" s="48">
        <v>41914</v>
      </c>
      <c r="F1437" s="49" t="s">
        <v>1017</v>
      </c>
      <c r="G1437" s="49"/>
      <c r="H1437" s="913" t="s">
        <v>1365</v>
      </c>
      <c r="I1437" s="249">
        <v>1500</v>
      </c>
      <c r="J1437" s="249">
        <v>11000</v>
      </c>
      <c r="K1437" s="910">
        <f t="shared" si="421"/>
        <v>16500000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9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783"/>
    </row>
    <row r="1438" spans="1:28" s="911" customFormat="1" ht="15.75" customHeight="1">
      <c r="A1438" s="906" t="str">
        <f>IF(B1438&lt;&gt;"",IF(AND(B1438&gt;=_TM1,B1438&lt;=_TM2,OR(TH!L1438="1111",TH!M1438="1111")),TH!D1438,""),"")</f>
        <v/>
      </c>
      <c r="B1438" s="907">
        <f t="shared" si="419"/>
        <v>10</v>
      </c>
      <c r="C1438" s="48">
        <f t="shared" si="420"/>
        <v>41919</v>
      </c>
      <c r="D1438" s="48" t="s">
        <v>1376</v>
      </c>
      <c r="E1438" s="914">
        <v>41919</v>
      </c>
      <c r="F1438" s="915" t="s">
        <v>1322</v>
      </c>
      <c r="G1438" s="916"/>
      <c r="H1438" s="913" t="s">
        <v>1365</v>
      </c>
      <c r="I1438" s="249">
        <v>100</v>
      </c>
      <c r="J1438" s="249">
        <v>17500</v>
      </c>
      <c r="K1438" s="910">
        <f t="shared" si="421"/>
        <v>1750000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9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783"/>
    </row>
    <row r="1439" spans="1:28" s="911" customFormat="1" ht="15.75" customHeight="1">
      <c r="A1439" s="906" t="str">
        <f>IF(B1439&lt;&gt;"",IF(AND(B1439&gt;=_TM1,B1439&lt;=_TM2,OR(TH!L1439="1111",TH!M1439="1111")),TH!D1439,""),"")</f>
        <v/>
      </c>
      <c r="B1439" s="907">
        <f t="shared" si="419"/>
        <v>10</v>
      </c>
      <c r="C1439" s="48">
        <f t="shared" si="420"/>
        <v>41922</v>
      </c>
      <c r="D1439" s="48" t="s">
        <v>1376</v>
      </c>
      <c r="E1439" s="48">
        <v>41922</v>
      </c>
      <c r="F1439" s="909" t="s">
        <v>350</v>
      </c>
      <c r="G1439" s="49"/>
      <c r="H1439" s="913" t="s">
        <v>1365</v>
      </c>
      <c r="I1439" s="249">
        <v>150</v>
      </c>
      <c r="J1439" s="249">
        <v>20454</v>
      </c>
      <c r="K1439" s="910">
        <f t="shared" si="421"/>
        <v>3068100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9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>x</v>
      </c>
      <c r="AA1439" s="52" t="str">
        <f>IF(AND(B1439&lt;=NKC!$N$8,B1439&gt;=NKC!$M$8),"x","")</f>
        <v/>
      </c>
      <c r="AB1439" s="783"/>
    </row>
    <row r="1440" spans="1:28" s="911" customFormat="1" ht="15.75" customHeight="1">
      <c r="A1440" s="906" t="str">
        <f>IF(B1440&lt;&gt;"",IF(AND(B1440&gt;=_TM1,B1440&lt;=_TM2,OR(TH!L1440="1111",TH!M1440="1111")),TH!D1440,""),"")</f>
        <v/>
      </c>
      <c r="B1440" s="907">
        <f t="shared" si="419"/>
        <v>10</v>
      </c>
      <c r="C1440" s="48">
        <f t="shared" si="420"/>
        <v>41943</v>
      </c>
      <c r="D1440" s="48" t="s">
        <v>1376</v>
      </c>
      <c r="E1440" s="48">
        <v>41943</v>
      </c>
      <c r="F1440" s="49" t="s">
        <v>330</v>
      </c>
      <c r="G1440" s="49"/>
      <c r="H1440" s="913" t="s">
        <v>1365</v>
      </c>
      <c r="I1440" s="249">
        <v>24</v>
      </c>
      <c r="J1440" s="249">
        <v>45000</v>
      </c>
      <c r="K1440" s="910">
        <f t="shared" si="421"/>
        <v>1080000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9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783"/>
    </row>
    <row r="1441" spans="1:28" s="911" customFormat="1" ht="15.75" customHeight="1">
      <c r="A1441" s="906" t="str">
        <f>IF(B1441&lt;&gt;"",IF(AND(B1441&gt;=_TM1,B1441&lt;=_TM2,OR(TH!L1441="1111",TH!M1441="1111")),TH!D1441,""),"")</f>
        <v/>
      </c>
      <c r="B1441" s="907">
        <f t="shared" si="413"/>
        <v>12</v>
      </c>
      <c r="C1441" s="48">
        <f t="shared" si="418"/>
        <v>41993</v>
      </c>
      <c r="D1441" s="48" t="s">
        <v>1376</v>
      </c>
      <c r="E1441" s="48">
        <v>41993</v>
      </c>
      <c r="F1441" s="909" t="s">
        <v>330</v>
      </c>
      <c r="G1441" s="49"/>
      <c r="H1441" s="913" t="s">
        <v>1365</v>
      </c>
      <c r="I1441" s="249">
        <v>24</v>
      </c>
      <c r="J1441" s="249">
        <v>45000</v>
      </c>
      <c r="K1441" s="910">
        <f t="shared" si="417"/>
        <v>1080000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9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783"/>
    </row>
    <row r="1442" spans="1:28" s="850" customFormat="1" ht="15.75" customHeight="1">
      <c r="A1442" s="838" t="str">
        <f>IF(B1442&lt;&gt;"",IF(AND(B1442&gt;=_TM1,B1442&lt;=_TM2,OR(TH!L1442="1111",TH!M1442="1111")),TH!D1442,""),"")</f>
        <v/>
      </c>
      <c r="B1442" s="839">
        <f t="shared" si="413"/>
        <v>1</v>
      </c>
      <c r="C1442" s="927">
        <f t="shared" si="418"/>
        <v>41642</v>
      </c>
      <c r="D1442" s="841" t="s">
        <v>1377</v>
      </c>
      <c r="E1442" s="841">
        <v>41642</v>
      </c>
      <c r="F1442" s="851" t="s">
        <v>1355</v>
      </c>
      <c r="G1442" s="852" t="s">
        <v>418</v>
      </c>
      <c r="H1442" s="903" t="s">
        <v>1365</v>
      </c>
      <c r="I1442" s="845">
        <v>530</v>
      </c>
      <c r="J1442" s="845">
        <v>14813</v>
      </c>
      <c r="K1442" s="846">
        <f t="shared" ref="K1442" si="422">ROUND(I1442*J1442,0)</f>
        <v>7850890</v>
      </c>
      <c r="L1442" s="837" t="s">
        <v>167</v>
      </c>
      <c r="M1442" s="837" t="s">
        <v>159</v>
      </c>
      <c r="N1442" s="52" t="str">
        <f>IF(AND('331-CT'!$E$7=TH!H1442,OR(L1442="331",M1442="331")),"331",IF(AND(OR(L1442="131",M1442="131"),H1442='131-CT'!$E$7),"131",""))</f>
        <v/>
      </c>
      <c r="O1442" s="89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8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413"/>
        <v>1</v>
      </c>
      <c r="C1443" s="37">
        <f t="shared" si="418"/>
        <v>41642</v>
      </c>
      <c r="D1443" s="191" t="s">
        <v>1377</v>
      </c>
      <c r="E1443" s="191">
        <v>41642</v>
      </c>
      <c r="F1443" s="192" t="s">
        <v>1333</v>
      </c>
      <c r="G1443" s="463" t="s">
        <v>422</v>
      </c>
      <c r="H1443" s="193" t="s">
        <v>1365</v>
      </c>
      <c r="I1443" s="251">
        <v>90</v>
      </c>
      <c r="J1443" s="251">
        <v>31288</v>
      </c>
      <c r="K1443" s="563">
        <f t="shared" ref="K1443:K1444" si="423">ROUND(I1443*J1443,0)</f>
        <v>2815920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9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09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413"/>
        <v>1</v>
      </c>
      <c r="C1444" s="37">
        <f t="shared" si="418"/>
        <v>41642</v>
      </c>
      <c r="D1444" s="191" t="s">
        <v>1377</v>
      </c>
      <c r="E1444" s="191">
        <v>41642</v>
      </c>
      <c r="F1444" s="192" t="s">
        <v>1334</v>
      </c>
      <c r="G1444" s="463" t="s">
        <v>422</v>
      </c>
      <c r="H1444" s="193" t="s">
        <v>1365</v>
      </c>
      <c r="I1444" s="251">
        <v>201</v>
      </c>
      <c r="J1444" s="251">
        <v>13517</v>
      </c>
      <c r="K1444" s="563">
        <f t="shared" si="423"/>
        <v>2716917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9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09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ref="B1445:B1512" si="424">IF(C1445&lt;&gt;"",MONTH(C1445),"")</f>
        <v>1</v>
      </c>
      <c r="C1445" s="37">
        <f t="shared" ref="C1445:C1512" si="425">E1445</f>
        <v>41642</v>
      </c>
      <c r="D1445" s="191" t="s">
        <v>1377</v>
      </c>
      <c r="E1445" s="191">
        <v>41642</v>
      </c>
      <c r="F1445" s="192" t="s">
        <v>1348</v>
      </c>
      <c r="G1445" s="463" t="s">
        <v>422</v>
      </c>
      <c r="H1445" s="193" t="s">
        <v>1365</v>
      </c>
      <c r="I1445" s="251">
        <v>108</v>
      </c>
      <c r="J1445" s="251">
        <v>14978</v>
      </c>
      <c r="K1445" s="563">
        <f t="shared" ref="K1445:K1512" si="426">ROUND(I1445*J1445,0)</f>
        <v>1617624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9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09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424"/>
        <v>1</v>
      </c>
      <c r="C1446" s="37">
        <f t="shared" si="425"/>
        <v>41661</v>
      </c>
      <c r="D1446" s="191" t="s">
        <v>1377</v>
      </c>
      <c r="E1446" s="191">
        <v>41661</v>
      </c>
      <c r="F1446" s="192" t="s">
        <v>1332</v>
      </c>
      <c r="G1446" s="463" t="s">
        <v>424</v>
      </c>
      <c r="H1446" s="193" t="s">
        <v>1365</v>
      </c>
      <c r="I1446" s="251">
        <v>300</v>
      </c>
      <c r="J1446" s="251">
        <v>13621</v>
      </c>
      <c r="K1446" s="563">
        <f t="shared" si="426"/>
        <v>4086300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9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09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424"/>
        <v>1</v>
      </c>
      <c r="C1447" s="37">
        <f t="shared" si="425"/>
        <v>41661</v>
      </c>
      <c r="D1447" s="191" t="s">
        <v>1377</v>
      </c>
      <c r="E1447" s="191">
        <v>41661</v>
      </c>
      <c r="F1447" s="192" t="s">
        <v>1326</v>
      </c>
      <c r="G1447" s="463" t="s">
        <v>427</v>
      </c>
      <c r="H1447" s="193" t="s">
        <v>1365</v>
      </c>
      <c r="I1447" s="251">
        <v>104</v>
      </c>
      <c r="J1447" s="251">
        <v>24095</v>
      </c>
      <c r="K1447" s="563">
        <f t="shared" si="426"/>
        <v>2505880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9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09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424"/>
        <v>1</v>
      </c>
      <c r="C1448" s="37">
        <f t="shared" si="425"/>
        <v>41661</v>
      </c>
      <c r="D1448" s="191" t="s">
        <v>1377</v>
      </c>
      <c r="E1448" s="191">
        <v>41661</v>
      </c>
      <c r="F1448" s="192" t="s">
        <v>1328</v>
      </c>
      <c r="G1448" s="463" t="s">
        <v>427</v>
      </c>
      <c r="H1448" s="193" t="s">
        <v>1365</v>
      </c>
      <c r="I1448" s="251">
        <v>100</v>
      </c>
      <c r="J1448" s="251">
        <v>24922</v>
      </c>
      <c r="K1448" s="563">
        <f t="shared" si="426"/>
        <v>2492200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9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09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424"/>
        <v>1</v>
      </c>
      <c r="C1449" s="37">
        <f t="shared" si="425"/>
        <v>41661</v>
      </c>
      <c r="D1449" s="191" t="s">
        <v>1377</v>
      </c>
      <c r="E1449" s="191">
        <v>41661</v>
      </c>
      <c r="F1449" s="192" t="s">
        <v>1354</v>
      </c>
      <c r="G1449" s="463" t="s">
        <v>427</v>
      </c>
      <c r="H1449" s="193" t="s">
        <v>1365</v>
      </c>
      <c r="I1449" s="251">
        <v>215</v>
      </c>
      <c r="J1449" s="251">
        <v>9200</v>
      </c>
      <c r="K1449" s="563">
        <f t="shared" si="426"/>
        <v>1978000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9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09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424"/>
        <v>1</v>
      </c>
      <c r="C1450" s="37">
        <f t="shared" si="425"/>
        <v>41661</v>
      </c>
      <c r="D1450" s="191" t="s">
        <v>1377</v>
      </c>
      <c r="E1450" s="191">
        <v>41661</v>
      </c>
      <c r="F1450" s="192" t="s">
        <v>1352</v>
      </c>
      <c r="G1450" s="463" t="s">
        <v>427</v>
      </c>
      <c r="H1450" s="193" t="s">
        <v>1365</v>
      </c>
      <c r="I1450" s="251">
        <v>50</v>
      </c>
      <c r="J1450" s="251">
        <v>22812</v>
      </c>
      <c r="K1450" s="563">
        <f t="shared" si="426"/>
        <v>1140600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9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09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424"/>
        <v>1</v>
      </c>
      <c r="C1451" s="37">
        <f t="shared" si="425"/>
        <v>41661</v>
      </c>
      <c r="D1451" s="191" t="s">
        <v>1377</v>
      </c>
      <c r="E1451" s="191">
        <v>41661</v>
      </c>
      <c r="F1451" s="192" t="s">
        <v>1340</v>
      </c>
      <c r="G1451" s="463" t="s">
        <v>427</v>
      </c>
      <c r="H1451" s="193" t="s">
        <v>1365</v>
      </c>
      <c r="I1451" s="251">
        <v>150</v>
      </c>
      <c r="J1451" s="251">
        <v>14784</v>
      </c>
      <c r="K1451" s="563">
        <f t="shared" si="426"/>
        <v>2217600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9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09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424"/>
        <v>1</v>
      </c>
      <c r="C1452" s="37">
        <f t="shared" si="425"/>
        <v>41661</v>
      </c>
      <c r="D1452" s="191" t="s">
        <v>1377</v>
      </c>
      <c r="E1452" s="191">
        <v>41661</v>
      </c>
      <c r="F1452" s="192" t="s">
        <v>995</v>
      </c>
      <c r="G1452" s="463" t="s">
        <v>432</v>
      </c>
      <c r="H1452" s="193" t="s">
        <v>1365</v>
      </c>
      <c r="I1452" s="251">
        <v>654</v>
      </c>
      <c r="J1452" s="251">
        <v>15220</v>
      </c>
      <c r="K1452" s="563">
        <f t="shared" si="426"/>
        <v>9953880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9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09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424"/>
        <v>1</v>
      </c>
      <c r="C1453" s="37">
        <f t="shared" si="425"/>
        <v>41661</v>
      </c>
      <c r="D1453" s="191" t="s">
        <v>1377</v>
      </c>
      <c r="E1453" s="191">
        <v>41661</v>
      </c>
      <c r="F1453" s="192" t="s">
        <v>1344</v>
      </c>
      <c r="G1453" s="463" t="s">
        <v>434</v>
      </c>
      <c r="H1453" s="193" t="s">
        <v>1365</v>
      </c>
      <c r="I1453" s="251">
        <v>101</v>
      </c>
      <c r="J1453" s="251">
        <v>22982</v>
      </c>
      <c r="K1453" s="563">
        <f t="shared" si="426"/>
        <v>2321182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9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09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424"/>
        <v>2</v>
      </c>
      <c r="C1454" s="37">
        <f t="shared" si="425"/>
        <v>41681</v>
      </c>
      <c r="D1454" s="191" t="s">
        <v>1377</v>
      </c>
      <c r="E1454" s="191">
        <v>41681</v>
      </c>
      <c r="F1454" s="192" t="s">
        <v>1343</v>
      </c>
      <c r="G1454" s="463" t="s">
        <v>437</v>
      </c>
      <c r="H1454" s="193" t="s">
        <v>1365</v>
      </c>
      <c r="I1454" s="251">
        <v>203</v>
      </c>
      <c r="J1454" s="251">
        <v>22277</v>
      </c>
      <c r="K1454" s="563">
        <f t="shared" si="426"/>
        <v>4522231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9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09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ref="B1455:B1457" si="427">IF(C1455&lt;&gt;"",MONTH(C1455),"")</f>
        <v>2</v>
      </c>
      <c r="C1455" s="37">
        <f t="shared" ref="C1455:C1457" si="428">E1455</f>
        <v>41681</v>
      </c>
      <c r="D1455" s="191" t="s">
        <v>1377</v>
      </c>
      <c r="E1455" s="191">
        <v>41681</v>
      </c>
      <c r="F1455" s="192" t="s">
        <v>1342</v>
      </c>
      <c r="G1455" s="463" t="s">
        <v>437</v>
      </c>
      <c r="H1455" s="193" t="s">
        <v>1365</v>
      </c>
      <c r="I1455" s="251">
        <v>203</v>
      </c>
      <c r="J1455" s="251">
        <v>20765</v>
      </c>
      <c r="K1455" s="563">
        <f t="shared" ref="K1455:K1457" si="429">ROUND(I1455*J1455,0)</f>
        <v>4215295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9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09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427"/>
        <v>2</v>
      </c>
      <c r="C1456" s="37">
        <f t="shared" si="428"/>
        <v>41686</v>
      </c>
      <c r="D1456" s="191" t="s">
        <v>1377</v>
      </c>
      <c r="E1456" s="191">
        <v>41686</v>
      </c>
      <c r="F1456" s="192" t="s">
        <v>1345</v>
      </c>
      <c r="G1456" s="463" t="s">
        <v>440</v>
      </c>
      <c r="H1456" s="193" t="s">
        <v>1365</v>
      </c>
      <c r="I1456" s="251">
        <v>100</v>
      </c>
      <c r="J1456" s="251">
        <v>23890</v>
      </c>
      <c r="K1456" s="563">
        <f t="shared" si="429"/>
        <v>2389000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9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09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427"/>
        <v>2</v>
      </c>
      <c r="C1457" s="37">
        <f t="shared" si="428"/>
        <v>41687</v>
      </c>
      <c r="D1457" s="191" t="s">
        <v>1377</v>
      </c>
      <c r="E1457" s="191">
        <v>41687</v>
      </c>
      <c r="F1457" s="192" t="s">
        <v>1323</v>
      </c>
      <c r="G1457" s="463" t="s">
        <v>442</v>
      </c>
      <c r="H1457" s="193" t="s">
        <v>1365</v>
      </c>
      <c r="I1457" s="251">
        <v>100</v>
      </c>
      <c r="J1457" s="251">
        <v>23210</v>
      </c>
      <c r="K1457" s="563">
        <f t="shared" si="429"/>
        <v>2321000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9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09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424"/>
        <v>2</v>
      </c>
      <c r="C1458" s="37">
        <f t="shared" si="425"/>
        <v>41687</v>
      </c>
      <c r="D1458" s="191" t="s">
        <v>1377</v>
      </c>
      <c r="E1458" s="191">
        <v>41687</v>
      </c>
      <c r="F1458" s="192" t="s">
        <v>1324</v>
      </c>
      <c r="G1458" s="463" t="s">
        <v>442</v>
      </c>
      <c r="H1458" s="193" t="s">
        <v>1365</v>
      </c>
      <c r="I1458" s="251">
        <v>100</v>
      </c>
      <c r="J1458" s="251">
        <v>21848</v>
      </c>
      <c r="K1458" s="563">
        <f t="shared" si="426"/>
        <v>2184800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9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09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424"/>
        <v>2</v>
      </c>
      <c r="C1459" s="37">
        <f t="shared" si="425"/>
        <v>41688</v>
      </c>
      <c r="D1459" s="191" t="s">
        <v>1377</v>
      </c>
      <c r="E1459" s="191">
        <v>41688</v>
      </c>
      <c r="F1459" s="192" t="s">
        <v>1355</v>
      </c>
      <c r="G1459" s="463" t="s">
        <v>443</v>
      </c>
      <c r="H1459" s="193" t="s">
        <v>1365</v>
      </c>
      <c r="I1459" s="251">
        <v>305</v>
      </c>
      <c r="J1459" s="251">
        <v>14813</v>
      </c>
      <c r="K1459" s="563">
        <f t="shared" si="426"/>
        <v>4517965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9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09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ref="B1460" si="430">IF(C1460&lt;&gt;"",MONTH(C1460),"")</f>
        <v>2</v>
      </c>
      <c r="C1460" s="37">
        <f t="shared" ref="C1460" si="431">E1460</f>
        <v>41688</v>
      </c>
      <c r="D1460" s="191" t="s">
        <v>1377</v>
      </c>
      <c r="E1460" s="191">
        <v>41688</v>
      </c>
      <c r="F1460" s="192" t="s">
        <v>1330</v>
      </c>
      <c r="G1460" s="463" t="s">
        <v>443</v>
      </c>
      <c r="H1460" s="193" t="s">
        <v>1365</v>
      </c>
      <c r="I1460" s="251">
        <v>188</v>
      </c>
      <c r="J1460" s="251">
        <v>13125</v>
      </c>
      <c r="K1460" s="563">
        <f t="shared" ref="K1460" si="432">ROUND(I1460*J1460,0)</f>
        <v>2467500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9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09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424"/>
        <v>2</v>
      </c>
      <c r="C1461" s="37">
        <f t="shared" si="425"/>
        <v>41688</v>
      </c>
      <c r="D1461" s="191" t="s">
        <v>1377</v>
      </c>
      <c r="E1461" s="191">
        <v>41688</v>
      </c>
      <c r="F1461" s="192" t="s">
        <v>1336</v>
      </c>
      <c r="G1461" s="463" t="s">
        <v>443</v>
      </c>
      <c r="H1461" s="193" t="s">
        <v>1365</v>
      </c>
      <c r="I1461" s="251">
        <v>142</v>
      </c>
      <c r="J1461" s="251">
        <v>18617</v>
      </c>
      <c r="K1461" s="563">
        <f t="shared" si="426"/>
        <v>2643614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9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09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424"/>
        <v>2</v>
      </c>
      <c r="C1462" s="37">
        <f t="shared" si="425"/>
        <v>41691</v>
      </c>
      <c r="D1462" s="191" t="s">
        <v>1377</v>
      </c>
      <c r="E1462" s="191">
        <v>41691</v>
      </c>
      <c r="F1462" s="192" t="s">
        <v>1353</v>
      </c>
      <c r="G1462" s="463" t="s">
        <v>444</v>
      </c>
      <c r="H1462" s="193" t="s">
        <v>1365</v>
      </c>
      <c r="I1462" s="251">
        <v>250</v>
      </c>
      <c r="J1462" s="251">
        <v>26903</v>
      </c>
      <c r="K1462" s="563">
        <f t="shared" si="426"/>
        <v>6725750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9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09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424"/>
        <v>2</v>
      </c>
      <c r="C1463" s="37">
        <f t="shared" si="425"/>
        <v>41691</v>
      </c>
      <c r="D1463" s="191" t="s">
        <v>1377</v>
      </c>
      <c r="E1463" s="191">
        <v>41691</v>
      </c>
      <c r="F1463" s="192" t="s">
        <v>1350</v>
      </c>
      <c r="G1463" s="463" t="s">
        <v>444</v>
      </c>
      <c r="H1463" s="193" t="s">
        <v>1365</v>
      </c>
      <c r="I1463" s="251">
        <v>50</v>
      </c>
      <c r="J1463" s="251">
        <v>20420</v>
      </c>
      <c r="K1463" s="563">
        <f t="shared" si="426"/>
        <v>1021000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9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09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424"/>
        <v>2</v>
      </c>
      <c r="C1464" s="37">
        <f t="shared" si="425"/>
        <v>41694</v>
      </c>
      <c r="D1464" s="191" t="s">
        <v>1377</v>
      </c>
      <c r="E1464" s="191">
        <v>41694</v>
      </c>
      <c r="F1464" s="192" t="s">
        <v>995</v>
      </c>
      <c r="G1464" s="463" t="s">
        <v>447</v>
      </c>
      <c r="H1464" s="193" t="s">
        <v>1365</v>
      </c>
      <c r="I1464" s="251">
        <v>500</v>
      </c>
      <c r="J1464" s="251">
        <v>15220</v>
      </c>
      <c r="K1464" s="563">
        <f t="shared" si="426"/>
        <v>7610000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9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09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424"/>
        <v>2</v>
      </c>
      <c r="C1465" s="37">
        <f t="shared" si="425"/>
        <v>41695</v>
      </c>
      <c r="D1465" s="191" t="s">
        <v>1377</v>
      </c>
      <c r="E1465" s="191">
        <v>41695</v>
      </c>
      <c r="F1465" s="192" t="s">
        <v>1360</v>
      </c>
      <c r="G1465" s="463" t="s">
        <v>449</v>
      </c>
      <c r="H1465" s="193" t="s">
        <v>1365</v>
      </c>
      <c r="I1465" s="251">
        <v>135</v>
      </c>
      <c r="J1465" s="251">
        <v>12665</v>
      </c>
      <c r="K1465" s="563">
        <f t="shared" si="426"/>
        <v>1709775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9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09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424"/>
        <v>2</v>
      </c>
      <c r="C1466" s="37">
        <f t="shared" si="425"/>
        <v>41695</v>
      </c>
      <c r="D1466" s="191" t="s">
        <v>1377</v>
      </c>
      <c r="E1466" s="191">
        <v>41695</v>
      </c>
      <c r="F1466" s="192" t="s">
        <v>1341</v>
      </c>
      <c r="G1466" s="463" t="s">
        <v>449</v>
      </c>
      <c r="H1466" s="193" t="s">
        <v>1365</v>
      </c>
      <c r="I1466" s="251">
        <v>206</v>
      </c>
      <c r="J1466" s="251">
        <v>19958</v>
      </c>
      <c r="K1466" s="563">
        <f t="shared" si="426"/>
        <v>4111348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9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09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424"/>
        <v>2</v>
      </c>
      <c r="C1467" s="37">
        <f t="shared" si="425"/>
        <v>41695</v>
      </c>
      <c r="D1467" s="191" t="s">
        <v>1377</v>
      </c>
      <c r="E1467" s="191">
        <v>41695</v>
      </c>
      <c r="F1467" s="192" t="s">
        <v>1358</v>
      </c>
      <c r="G1467" s="463" t="s">
        <v>449</v>
      </c>
      <c r="H1467" s="193" t="s">
        <v>1365</v>
      </c>
      <c r="I1467" s="251">
        <v>406</v>
      </c>
      <c r="J1467" s="251">
        <v>8462.4187192118225</v>
      </c>
      <c r="K1467" s="563">
        <f t="shared" si="426"/>
        <v>3435742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9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09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424"/>
        <v>2</v>
      </c>
      <c r="C1468" s="37">
        <f t="shared" si="425"/>
        <v>41695</v>
      </c>
      <c r="D1468" s="191" t="s">
        <v>1377</v>
      </c>
      <c r="E1468" s="191">
        <v>41695</v>
      </c>
      <c r="F1468" s="192" t="s">
        <v>1325</v>
      </c>
      <c r="G1468" s="463" t="s">
        <v>449</v>
      </c>
      <c r="H1468" s="193" t="s">
        <v>1365</v>
      </c>
      <c r="I1468" s="251">
        <v>50</v>
      </c>
      <c r="J1468" s="251">
        <v>28987</v>
      </c>
      <c r="K1468" s="563">
        <f t="shared" si="426"/>
        <v>1449350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9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09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424"/>
        <v>2</v>
      </c>
      <c r="C1469" s="37">
        <f t="shared" si="425"/>
        <v>41695</v>
      </c>
      <c r="D1469" s="191" t="s">
        <v>1377</v>
      </c>
      <c r="E1469" s="191">
        <v>41695</v>
      </c>
      <c r="F1469" s="192" t="s">
        <v>1349</v>
      </c>
      <c r="G1469" s="463" t="s">
        <v>453</v>
      </c>
      <c r="H1469" s="193" t="s">
        <v>1365</v>
      </c>
      <c r="I1469" s="251">
        <v>150</v>
      </c>
      <c r="J1469" s="251">
        <v>15456</v>
      </c>
      <c r="K1469" s="563">
        <f t="shared" si="426"/>
        <v>2318400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9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09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424"/>
        <v>2</v>
      </c>
      <c r="C1470" s="37">
        <f t="shared" si="425"/>
        <v>41695</v>
      </c>
      <c r="D1470" s="191" t="s">
        <v>1377</v>
      </c>
      <c r="E1470" s="191">
        <v>41695</v>
      </c>
      <c r="F1470" s="192" t="s">
        <v>1346</v>
      </c>
      <c r="G1470" s="463" t="s">
        <v>453</v>
      </c>
      <c r="H1470" s="193" t="s">
        <v>1365</v>
      </c>
      <c r="I1470" s="251">
        <v>114</v>
      </c>
      <c r="J1470" s="251">
        <v>21888</v>
      </c>
      <c r="K1470" s="563">
        <f t="shared" si="426"/>
        <v>2495232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9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09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424"/>
        <v>2</v>
      </c>
      <c r="C1471" s="37">
        <f t="shared" si="425"/>
        <v>41695</v>
      </c>
      <c r="D1471" s="191" t="s">
        <v>1377</v>
      </c>
      <c r="E1471" s="191">
        <v>41695</v>
      </c>
      <c r="F1471" s="192" t="s">
        <v>1325</v>
      </c>
      <c r="G1471" s="463" t="s">
        <v>453</v>
      </c>
      <c r="H1471" s="193" t="s">
        <v>1365</v>
      </c>
      <c r="I1471" s="251">
        <v>26</v>
      </c>
      <c r="J1471" s="251">
        <v>28987</v>
      </c>
      <c r="K1471" s="563">
        <f t="shared" si="426"/>
        <v>753662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9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09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424"/>
        <v>2</v>
      </c>
      <c r="C1472" s="37">
        <f t="shared" si="425"/>
        <v>41695</v>
      </c>
      <c r="D1472" s="191" t="s">
        <v>1377</v>
      </c>
      <c r="E1472" s="191">
        <v>41695</v>
      </c>
      <c r="F1472" s="192" t="s">
        <v>1347</v>
      </c>
      <c r="G1472" s="463" t="s">
        <v>457</v>
      </c>
      <c r="H1472" s="193" t="s">
        <v>1365</v>
      </c>
      <c r="I1472" s="251">
        <v>100</v>
      </c>
      <c r="J1472" s="251">
        <v>25603</v>
      </c>
      <c r="K1472" s="563">
        <f t="shared" si="426"/>
        <v>2560300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9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09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424"/>
        <v>3</v>
      </c>
      <c r="C1473" s="37">
        <f t="shared" si="425"/>
        <v>41699</v>
      </c>
      <c r="D1473" s="191" t="s">
        <v>1377</v>
      </c>
      <c r="E1473" s="191">
        <v>41699</v>
      </c>
      <c r="F1473" s="192" t="s">
        <v>997</v>
      </c>
      <c r="G1473" s="463" t="s">
        <v>460</v>
      </c>
      <c r="H1473" s="193" t="s">
        <v>1365</v>
      </c>
      <c r="I1473" s="251">
        <v>600</v>
      </c>
      <c r="J1473" s="251">
        <v>13400</v>
      </c>
      <c r="K1473" s="563">
        <f t="shared" si="426"/>
        <v>8040000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9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09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424"/>
        <v>3</v>
      </c>
      <c r="C1474" s="37">
        <f t="shared" si="425"/>
        <v>41701</v>
      </c>
      <c r="D1474" s="191" t="s">
        <v>1377</v>
      </c>
      <c r="E1474" s="191">
        <v>41701</v>
      </c>
      <c r="F1474" s="192" t="s">
        <v>1356</v>
      </c>
      <c r="G1474" s="463" t="s">
        <v>462</v>
      </c>
      <c r="H1474" s="193" t="s">
        <v>1365</v>
      </c>
      <c r="I1474" s="251">
        <v>250</v>
      </c>
      <c r="J1474" s="251">
        <v>17792</v>
      </c>
      <c r="K1474" s="563">
        <f t="shared" si="426"/>
        <v>4448000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9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09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424"/>
        <v>3</v>
      </c>
      <c r="C1475" s="37">
        <f t="shared" si="425"/>
        <v>41701</v>
      </c>
      <c r="D1475" s="191" t="s">
        <v>1377</v>
      </c>
      <c r="E1475" s="191">
        <v>41701</v>
      </c>
      <c r="F1475" s="192" t="s">
        <v>997</v>
      </c>
      <c r="G1475" s="463" t="s">
        <v>462</v>
      </c>
      <c r="H1475" s="193" t="s">
        <v>1365</v>
      </c>
      <c r="I1475" s="251">
        <v>412</v>
      </c>
      <c r="J1475" s="251">
        <v>13400</v>
      </c>
      <c r="K1475" s="563">
        <f t="shared" si="426"/>
        <v>5520800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9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09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424"/>
        <v>3</v>
      </c>
      <c r="C1476" s="37">
        <f t="shared" si="425"/>
        <v>41701</v>
      </c>
      <c r="D1476" s="191" t="s">
        <v>1377</v>
      </c>
      <c r="E1476" s="191">
        <v>41701</v>
      </c>
      <c r="F1476" s="192" t="s">
        <v>1339</v>
      </c>
      <c r="G1476" s="463" t="s">
        <v>464</v>
      </c>
      <c r="H1476" s="193" t="s">
        <v>1365</v>
      </c>
      <c r="I1476" s="251">
        <v>242</v>
      </c>
      <c r="J1476" s="251">
        <v>13306</v>
      </c>
      <c r="K1476" s="563">
        <f t="shared" si="426"/>
        <v>3220052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9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09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424"/>
        <v>3</v>
      </c>
      <c r="C1477" s="37">
        <f t="shared" si="425"/>
        <v>41707</v>
      </c>
      <c r="D1477" s="191" t="s">
        <v>1377</v>
      </c>
      <c r="E1477" s="191">
        <v>41707</v>
      </c>
      <c r="F1477" s="192" t="s">
        <v>1335</v>
      </c>
      <c r="G1477" s="463" t="s">
        <v>467</v>
      </c>
      <c r="H1477" s="193" t="s">
        <v>1365</v>
      </c>
      <c r="I1477" s="251">
        <v>497</v>
      </c>
      <c r="J1477" s="251">
        <v>11416</v>
      </c>
      <c r="K1477" s="563">
        <f t="shared" si="426"/>
        <v>5673752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9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09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424"/>
        <v>3</v>
      </c>
      <c r="C1478" s="37">
        <f t="shared" si="425"/>
        <v>41715</v>
      </c>
      <c r="D1478" s="191" t="s">
        <v>1377</v>
      </c>
      <c r="E1478" s="191">
        <v>41715</v>
      </c>
      <c r="F1478" s="192" t="s">
        <v>1329</v>
      </c>
      <c r="G1478" s="463" t="s">
        <v>468</v>
      </c>
      <c r="H1478" s="193" t="s">
        <v>1365</v>
      </c>
      <c r="I1478" s="251">
        <v>110</v>
      </c>
      <c r="J1478" s="251">
        <v>11059.2</v>
      </c>
      <c r="K1478" s="563">
        <f t="shared" si="426"/>
        <v>1216512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9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09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424"/>
        <v>3</v>
      </c>
      <c r="C1479" s="37">
        <f t="shared" si="425"/>
        <v>41715</v>
      </c>
      <c r="D1479" s="191" t="s">
        <v>1377</v>
      </c>
      <c r="E1479" s="191">
        <v>41715</v>
      </c>
      <c r="F1479" s="192" t="s">
        <v>1359</v>
      </c>
      <c r="G1479" s="463" t="s">
        <v>468</v>
      </c>
      <c r="H1479" s="193" t="s">
        <v>1365</v>
      </c>
      <c r="I1479" s="251">
        <v>350</v>
      </c>
      <c r="J1479" s="251">
        <v>7823</v>
      </c>
      <c r="K1479" s="563">
        <f t="shared" si="426"/>
        <v>2738050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9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09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424"/>
        <v>3</v>
      </c>
      <c r="C1480" s="37">
        <f t="shared" si="425"/>
        <v>41717</v>
      </c>
      <c r="D1480" s="191" t="s">
        <v>1377</v>
      </c>
      <c r="E1480" s="191">
        <v>41717</v>
      </c>
      <c r="F1480" s="192" t="s">
        <v>1357</v>
      </c>
      <c r="G1480" s="463" t="s">
        <v>471</v>
      </c>
      <c r="H1480" s="193" t="s">
        <v>1365</v>
      </c>
      <c r="I1480" s="251">
        <v>265</v>
      </c>
      <c r="J1480" s="251">
        <v>14434</v>
      </c>
      <c r="K1480" s="563">
        <f t="shared" si="426"/>
        <v>3825010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9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09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424"/>
        <v>3</v>
      </c>
      <c r="C1481" s="37">
        <f t="shared" si="425"/>
        <v>41721</v>
      </c>
      <c r="D1481" s="191" t="s">
        <v>1377</v>
      </c>
      <c r="E1481" s="191">
        <v>41721</v>
      </c>
      <c r="F1481" s="192" t="s">
        <v>1004</v>
      </c>
      <c r="G1481" s="463" t="s">
        <v>474</v>
      </c>
      <c r="H1481" s="193" t="s">
        <v>1365</v>
      </c>
      <c r="I1481" s="251">
        <v>515</v>
      </c>
      <c r="J1481" s="251">
        <v>20620</v>
      </c>
      <c r="K1481" s="563">
        <f t="shared" si="426"/>
        <v>10619300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9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09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424"/>
        <v>3</v>
      </c>
      <c r="C1482" s="37">
        <f t="shared" si="425"/>
        <v>41725</v>
      </c>
      <c r="D1482" s="191" t="s">
        <v>1377</v>
      </c>
      <c r="E1482" s="191">
        <v>41725</v>
      </c>
      <c r="F1482" s="192" t="s">
        <v>1331</v>
      </c>
      <c r="G1482" s="463" t="s">
        <v>476</v>
      </c>
      <c r="H1482" s="193" t="s">
        <v>1365</v>
      </c>
      <c r="I1482" s="251">
        <v>40</v>
      </c>
      <c r="J1482" s="251">
        <v>15724</v>
      </c>
      <c r="K1482" s="563">
        <f t="shared" si="426"/>
        <v>628960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9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09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424"/>
        <v>3</v>
      </c>
      <c r="C1483" s="37">
        <f t="shared" si="425"/>
        <v>41725</v>
      </c>
      <c r="D1483" s="191" t="s">
        <v>1377</v>
      </c>
      <c r="E1483" s="191">
        <v>41725</v>
      </c>
      <c r="F1483" s="192" t="s">
        <v>1331</v>
      </c>
      <c r="G1483" s="463" t="s">
        <v>476</v>
      </c>
      <c r="H1483" s="193" t="s">
        <v>1365</v>
      </c>
      <c r="I1483" s="251">
        <v>60</v>
      </c>
      <c r="J1483" s="251">
        <v>15724</v>
      </c>
      <c r="K1483" s="563">
        <f t="shared" si="426"/>
        <v>943440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9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09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424"/>
        <v>3</v>
      </c>
      <c r="C1484" s="37">
        <f t="shared" si="425"/>
        <v>41725</v>
      </c>
      <c r="D1484" s="191" t="s">
        <v>1377</v>
      </c>
      <c r="E1484" s="191">
        <v>41725</v>
      </c>
      <c r="F1484" s="192" t="s">
        <v>1329</v>
      </c>
      <c r="G1484" s="463" t="s">
        <v>476</v>
      </c>
      <c r="H1484" s="193" t="s">
        <v>1365</v>
      </c>
      <c r="I1484" s="251">
        <v>40</v>
      </c>
      <c r="J1484" s="251">
        <v>11059.2</v>
      </c>
      <c r="K1484" s="563">
        <f t="shared" si="426"/>
        <v>442368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9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09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424"/>
        <v>3</v>
      </c>
      <c r="C1485" s="37">
        <f t="shared" si="425"/>
        <v>41725</v>
      </c>
      <c r="D1485" s="191" t="s">
        <v>1377</v>
      </c>
      <c r="E1485" s="191">
        <v>41725</v>
      </c>
      <c r="F1485" s="192" t="s">
        <v>1329</v>
      </c>
      <c r="G1485" s="463" t="s">
        <v>476</v>
      </c>
      <c r="H1485" s="193" t="s">
        <v>1365</v>
      </c>
      <c r="I1485" s="251">
        <v>50</v>
      </c>
      <c r="J1485" s="251">
        <v>11059.2</v>
      </c>
      <c r="K1485" s="563">
        <f t="shared" si="426"/>
        <v>552960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9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09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424"/>
        <v>3</v>
      </c>
      <c r="C1486" s="37">
        <f t="shared" si="425"/>
        <v>41725</v>
      </c>
      <c r="D1486" s="191" t="s">
        <v>1377</v>
      </c>
      <c r="E1486" s="191">
        <v>41725</v>
      </c>
      <c r="F1486" s="192" t="s">
        <v>1004</v>
      </c>
      <c r="G1486" s="463" t="s">
        <v>482</v>
      </c>
      <c r="H1486" s="193" t="s">
        <v>1365</v>
      </c>
      <c r="I1486" s="251">
        <v>355</v>
      </c>
      <c r="J1486" s="251">
        <v>20620</v>
      </c>
      <c r="K1486" s="563">
        <f t="shared" si="426"/>
        <v>7320100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9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09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424"/>
        <v>3</v>
      </c>
      <c r="C1487" s="37">
        <f t="shared" si="425"/>
        <v>41725</v>
      </c>
      <c r="D1487" s="191" t="s">
        <v>1377</v>
      </c>
      <c r="E1487" s="191">
        <v>41725</v>
      </c>
      <c r="F1487" s="192" t="s">
        <v>1351</v>
      </c>
      <c r="G1487" s="463" t="s">
        <v>482</v>
      </c>
      <c r="H1487" s="193" t="s">
        <v>1365</v>
      </c>
      <c r="I1487" s="251">
        <v>60</v>
      </c>
      <c r="J1487" s="251">
        <v>17222</v>
      </c>
      <c r="K1487" s="563">
        <f t="shared" si="426"/>
        <v>1033320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9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09"/>
    </row>
    <row r="1488" spans="1:28" s="850" customFormat="1" ht="15.75" customHeight="1">
      <c r="A1488" s="838" t="str">
        <f>IF(B1488&lt;&gt;"",IF(AND(B1488&gt;=_TM1,B1488&lt;=_TM2,OR(TH!L1488="1111",TH!M1488="1111")),TH!D1488,""),"")</f>
        <v/>
      </c>
      <c r="B1488" s="839">
        <f t="shared" si="424"/>
        <v>3</v>
      </c>
      <c r="C1488" s="927">
        <f t="shared" si="425"/>
        <v>41727</v>
      </c>
      <c r="D1488" s="191" t="s">
        <v>1377</v>
      </c>
      <c r="E1488" s="841">
        <v>41727</v>
      </c>
      <c r="F1488" s="851" t="s">
        <v>1178</v>
      </c>
      <c r="G1488" s="852" t="s">
        <v>484</v>
      </c>
      <c r="H1488" s="903" t="s">
        <v>1365</v>
      </c>
      <c r="I1488" s="845">
        <v>270</v>
      </c>
      <c r="J1488" s="845">
        <v>12615</v>
      </c>
      <c r="K1488" s="846">
        <f t="shared" si="426"/>
        <v>3406050</v>
      </c>
      <c r="L1488" s="837" t="s">
        <v>167</v>
      </c>
      <c r="M1488" s="837" t="s">
        <v>159</v>
      </c>
      <c r="N1488" s="52" t="str">
        <f>IF(AND('331-CT'!$E$7=TH!H1488,OR(L1488="331",M1488="331")),"331",IF(AND(OR(L1488="131",M1488="131"),H1488='131-CT'!$E$7),"131",""))</f>
        <v/>
      </c>
      <c r="O1488" s="89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8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424"/>
        <v>3</v>
      </c>
      <c r="C1489" s="37">
        <f t="shared" si="425"/>
        <v>41727</v>
      </c>
      <c r="D1489" s="191" t="s">
        <v>1377</v>
      </c>
      <c r="E1489" s="191">
        <v>41727</v>
      </c>
      <c r="F1489" s="192" t="s">
        <v>1159</v>
      </c>
      <c r="G1489" s="463" t="s">
        <v>484</v>
      </c>
      <c r="H1489" s="193" t="s">
        <v>1365</v>
      </c>
      <c r="I1489" s="251">
        <v>150</v>
      </c>
      <c r="J1489" s="251">
        <v>10513</v>
      </c>
      <c r="K1489" s="563">
        <f t="shared" si="426"/>
        <v>1576950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9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09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424"/>
        <v>3</v>
      </c>
      <c r="C1490" s="37">
        <f t="shared" si="425"/>
        <v>41727</v>
      </c>
      <c r="D1490" s="191" t="s">
        <v>1377</v>
      </c>
      <c r="E1490" s="191">
        <v>41727</v>
      </c>
      <c r="F1490" s="192" t="s">
        <v>1172</v>
      </c>
      <c r="G1490" s="463" t="s">
        <v>484</v>
      </c>
      <c r="H1490" s="193" t="s">
        <v>1365</v>
      </c>
      <c r="I1490" s="251">
        <v>425</v>
      </c>
      <c r="J1490" s="251">
        <v>7888</v>
      </c>
      <c r="K1490" s="563">
        <f t="shared" si="426"/>
        <v>3352400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9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09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424"/>
        <v>3</v>
      </c>
      <c r="C1491" s="37">
        <f t="shared" si="425"/>
        <v>41727</v>
      </c>
      <c r="D1491" s="191" t="s">
        <v>1377</v>
      </c>
      <c r="E1491" s="191">
        <v>41727</v>
      </c>
      <c r="F1491" s="192" t="s">
        <v>1177</v>
      </c>
      <c r="G1491" s="463" t="s">
        <v>484</v>
      </c>
      <c r="H1491" s="193" t="s">
        <v>1365</v>
      </c>
      <c r="I1491" s="251">
        <v>270</v>
      </c>
      <c r="J1491" s="251">
        <v>11020</v>
      </c>
      <c r="K1491" s="563">
        <f t="shared" si="426"/>
        <v>2975400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9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09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424"/>
        <v>3</v>
      </c>
      <c r="C1492" s="37">
        <f t="shared" si="425"/>
        <v>41727</v>
      </c>
      <c r="D1492" s="191" t="s">
        <v>1377</v>
      </c>
      <c r="E1492" s="191">
        <v>41727</v>
      </c>
      <c r="F1492" s="192" t="s">
        <v>1094</v>
      </c>
      <c r="G1492" s="463" t="s">
        <v>489</v>
      </c>
      <c r="H1492" s="193" t="s">
        <v>1365</v>
      </c>
      <c r="I1492" s="251">
        <v>135</v>
      </c>
      <c r="J1492" s="251">
        <v>23957</v>
      </c>
      <c r="K1492" s="563">
        <f t="shared" si="426"/>
        <v>3234195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9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09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424"/>
        <v>3</v>
      </c>
      <c r="C1493" s="37">
        <f t="shared" si="425"/>
        <v>41727</v>
      </c>
      <c r="D1493" s="191" t="s">
        <v>1377</v>
      </c>
      <c r="E1493" s="191">
        <v>41727</v>
      </c>
      <c r="F1493" s="192" t="s">
        <v>1180</v>
      </c>
      <c r="G1493" s="463" t="s">
        <v>489</v>
      </c>
      <c r="H1493" s="193" t="s">
        <v>1365</v>
      </c>
      <c r="I1493" s="251">
        <v>350</v>
      </c>
      <c r="J1493" s="251">
        <v>8549</v>
      </c>
      <c r="K1493" s="563">
        <f t="shared" si="426"/>
        <v>2992150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9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09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424"/>
        <v>4</v>
      </c>
      <c r="C1494" s="37">
        <f t="shared" si="425"/>
        <v>41730</v>
      </c>
      <c r="D1494" s="191" t="s">
        <v>1377</v>
      </c>
      <c r="E1494" s="191">
        <v>41730</v>
      </c>
      <c r="F1494" s="192" t="s">
        <v>1093</v>
      </c>
      <c r="G1494" s="463" t="s">
        <v>493</v>
      </c>
      <c r="H1494" s="193" t="s">
        <v>1365</v>
      </c>
      <c r="I1494" s="251">
        <v>95</v>
      </c>
      <c r="J1494" s="251">
        <v>21683</v>
      </c>
      <c r="K1494" s="563">
        <f t="shared" si="426"/>
        <v>2059885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9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>154</v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09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424"/>
        <v>4</v>
      </c>
      <c r="C1495" s="37">
        <f t="shared" si="425"/>
        <v>41730</v>
      </c>
      <c r="D1495" s="191" t="s">
        <v>1377</v>
      </c>
      <c r="E1495" s="191">
        <v>41730</v>
      </c>
      <c r="F1495" s="192" t="s">
        <v>1071</v>
      </c>
      <c r="G1495" s="463" t="s">
        <v>493</v>
      </c>
      <c r="H1495" s="193" t="s">
        <v>1365</v>
      </c>
      <c r="I1495" s="251">
        <v>200</v>
      </c>
      <c r="J1495" s="251">
        <v>17318</v>
      </c>
      <c r="K1495" s="563">
        <f t="shared" si="426"/>
        <v>3463600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9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>154</v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09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424"/>
        <v>4</v>
      </c>
      <c r="C1496" s="37">
        <f t="shared" si="425"/>
        <v>41737</v>
      </c>
      <c r="D1496" s="191" t="s">
        <v>1377</v>
      </c>
      <c r="E1496" s="191">
        <v>41737</v>
      </c>
      <c r="F1496" s="192" t="s">
        <v>1175</v>
      </c>
      <c r="G1496" s="463" t="s">
        <v>495</v>
      </c>
      <c r="H1496" s="193" t="s">
        <v>1365</v>
      </c>
      <c r="I1496" s="251">
        <v>720</v>
      </c>
      <c r="J1496" s="251">
        <v>9161</v>
      </c>
      <c r="K1496" s="563">
        <f t="shared" si="426"/>
        <v>6595920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9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154</v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09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424"/>
        <v>4</v>
      </c>
      <c r="C1497" s="37">
        <f t="shared" si="425"/>
        <v>41737</v>
      </c>
      <c r="D1497" s="191" t="s">
        <v>1377</v>
      </c>
      <c r="E1497" s="191">
        <v>41737</v>
      </c>
      <c r="F1497" s="192" t="s">
        <v>1181</v>
      </c>
      <c r="G1497" s="463" t="s">
        <v>495</v>
      </c>
      <c r="H1497" s="193" t="s">
        <v>1365</v>
      </c>
      <c r="I1497" s="251">
        <v>126</v>
      </c>
      <c r="J1497" s="251">
        <v>19712</v>
      </c>
      <c r="K1497" s="563">
        <f t="shared" si="426"/>
        <v>2483712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9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154</v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09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424"/>
        <v>4</v>
      </c>
      <c r="C1498" s="37">
        <f t="shared" si="425"/>
        <v>41741</v>
      </c>
      <c r="D1498" s="191" t="s">
        <v>1377</v>
      </c>
      <c r="E1498" s="191">
        <v>41741</v>
      </c>
      <c r="F1498" s="192" t="s">
        <v>1069</v>
      </c>
      <c r="G1498" s="463" t="s">
        <v>498</v>
      </c>
      <c r="H1498" s="193" t="s">
        <v>1365</v>
      </c>
      <c r="I1498" s="251">
        <v>50</v>
      </c>
      <c r="J1498" s="251">
        <v>14978</v>
      </c>
      <c r="K1498" s="563">
        <f t="shared" si="426"/>
        <v>748900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9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154</v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09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424"/>
        <v>4</v>
      </c>
      <c r="C1499" s="37">
        <f t="shared" si="425"/>
        <v>41743</v>
      </c>
      <c r="D1499" s="191" t="s">
        <v>1377</v>
      </c>
      <c r="E1499" s="191">
        <v>41743</v>
      </c>
      <c r="F1499" s="192" t="s">
        <v>1160</v>
      </c>
      <c r="G1499" s="463" t="s">
        <v>499</v>
      </c>
      <c r="H1499" s="193" t="s">
        <v>1365</v>
      </c>
      <c r="I1499" s="251">
        <v>400</v>
      </c>
      <c r="J1499" s="251">
        <v>17618</v>
      </c>
      <c r="K1499" s="563">
        <f t="shared" si="426"/>
        <v>7047200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9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154</v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09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424"/>
        <v>4</v>
      </c>
      <c r="C1500" s="37">
        <f t="shared" si="425"/>
        <v>41743</v>
      </c>
      <c r="D1500" s="191" t="s">
        <v>1377</v>
      </c>
      <c r="E1500" s="191">
        <v>41743</v>
      </c>
      <c r="F1500" s="192" t="s">
        <v>1195</v>
      </c>
      <c r="G1500" s="463" t="s">
        <v>501</v>
      </c>
      <c r="H1500" s="193" t="s">
        <v>1365</v>
      </c>
      <c r="I1500" s="251">
        <v>170</v>
      </c>
      <c r="J1500" s="251">
        <v>10495</v>
      </c>
      <c r="K1500" s="563">
        <f t="shared" si="426"/>
        <v>1784150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9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154</v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09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424"/>
        <v>4</v>
      </c>
      <c r="C1501" s="37">
        <f t="shared" si="425"/>
        <v>41743</v>
      </c>
      <c r="D1501" s="191" t="s">
        <v>1377</v>
      </c>
      <c r="E1501" s="191">
        <v>41743</v>
      </c>
      <c r="F1501" s="192" t="s">
        <v>1183</v>
      </c>
      <c r="G1501" s="463" t="s">
        <v>501</v>
      </c>
      <c r="H1501" s="193" t="s">
        <v>1365</v>
      </c>
      <c r="I1501" s="251">
        <v>80</v>
      </c>
      <c r="J1501" s="251">
        <v>10261</v>
      </c>
      <c r="K1501" s="563">
        <f t="shared" si="426"/>
        <v>820880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9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154</v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09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424"/>
        <v>4</v>
      </c>
      <c r="C1502" s="37">
        <f t="shared" si="425"/>
        <v>41743</v>
      </c>
      <c r="D1502" s="191" t="s">
        <v>1377</v>
      </c>
      <c r="E1502" s="191">
        <v>41743</v>
      </c>
      <c r="F1502" s="192" t="s">
        <v>1176</v>
      </c>
      <c r="G1502" s="463" t="s">
        <v>501</v>
      </c>
      <c r="H1502" s="193" t="s">
        <v>1365</v>
      </c>
      <c r="I1502" s="251">
        <v>90</v>
      </c>
      <c r="J1502" s="251">
        <v>16280</v>
      </c>
      <c r="K1502" s="563">
        <f t="shared" si="426"/>
        <v>1465200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9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154</v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09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424"/>
        <v>4</v>
      </c>
      <c r="C1503" s="37">
        <f t="shared" si="425"/>
        <v>41743</v>
      </c>
      <c r="D1503" s="191" t="s">
        <v>1377</v>
      </c>
      <c r="E1503" s="191">
        <v>41743</v>
      </c>
      <c r="F1503" s="192" t="s">
        <v>1100</v>
      </c>
      <c r="G1503" s="463" t="s">
        <v>501</v>
      </c>
      <c r="H1503" s="193" t="s">
        <v>1365</v>
      </c>
      <c r="I1503" s="251">
        <v>50</v>
      </c>
      <c r="J1503" s="251">
        <v>20328</v>
      </c>
      <c r="K1503" s="563">
        <f t="shared" si="426"/>
        <v>1016400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9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154</v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09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424"/>
        <v>4</v>
      </c>
      <c r="C1504" s="37">
        <f t="shared" si="425"/>
        <v>41745</v>
      </c>
      <c r="D1504" s="191" t="s">
        <v>1377</v>
      </c>
      <c r="E1504" s="191">
        <v>41745</v>
      </c>
      <c r="F1504" s="192" t="s">
        <v>1194</v>
      </c>
      <c r="G1504" s="463" t="s">
        <v>505</v>
      </c>
      <c r="H1504" s="193" t="s">
        <v>1365</v>
      </c>
      <c r="I1504" s="251">
        <v>250</v>
      </c>
      <c r="J1504" s="251">
        <v>25186</v>
      </c>
      <c r="K1504" s="563">
        <f t="shared" si="426"/>
        <v>6296500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9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154</v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09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424"/>
        <v>4</v>
      </c>
      <c r="C1505" s="37">
        <f t="shared" si="425"/>
        <v>41747</v>
      </c>
      <c r="D1505" s="191" t="s">
        <v>1377</v>
      </c>
      <c r="E1505" s="191">
        <v>41747</v>
      </c>
      <c r="F1505" s="192" t="s">
        <v>1174</v>
      </c>
      <c r="G1505" s="463" t="s">
        <v>506</v>
      </c>
      <c r="H1505" s="193" t="s">
        <v>1365</v>
      </c>
      <c r="I1505" s="251">
        <v>250</v>
      </c>
      <c r="J1505" s="251">
        <v>29920</v>
      </c>
      <c r="K1505" s="563">
        <f t="shared" si="426"/>
        <v>7480000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9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154</v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09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424"/>
        <v>4</v>
      </c>
      <c r="C1506" s="37">
        <f t="shared" si="425"/>
        <v>41747</v>
      </c>
      <c r="D1506" s="191" t="s">
        <v>1377</v>
      </c>
      <c r="E1506" s="191">
        <v>41747</v>
      </c>
      <c r="F1506" s="192" t="s">
        <v>1175</v>
      </c>
      <c r="G1506" s="463" t="s">
        <v>506</v>
      </c>
      <c r="H1506" s="193" t="s">
        <v>1365</v>
      </c>
      <c r="I1506" s="251">
        <v>30</v>
      </c>
      <c r="J1506" s="251">
        <v>9161</v>
      </c>
      <c r="K1506" s="563">
        <f t="shared" si="426"/>
        <v>274830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9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154</v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09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424"/>
        <v>4</v>
      </c>
      <c r="C1507" s="37">
        <f t="shared" si="425"/>
        <v>41749</v>
      </c>
      <c r="D1507" s="191" t="s">
        <v>1377</v>
      </c>
      <c r="E1507" s="191">
        <v>41749</v>
      </c>
      <c r="F1507" s="192" t="s">
        <v>1141</v>
      </c>
      <c r="G1507" s="463" t="s">
        <v>507</v>
      </c>
      <c r="H1507" s="193" t="s">
        <v>1365</v>
      </c>
      <c r="I1507" s="251">
        <v>271</v>
      </c>
      <c r="J1507" s="251">
        <v>10701</v>
      </c>
      <c r="K1507" s="563">
        <f t="shared" si="426"/>
        <v>2899971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9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154</v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09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424"/>
        <v>4</v>
      </c>
      <c r="C1508" s="37">
        <f t="shared" si="425"/>
        <v>41749</v>
      </c>
      <c r="D1508" s="191" t="s">
        <v>1377</v>
      </c>
      <c r="E1508" s="191">
        <v>41749</v>
      </c>
      <c r="F1508" s="192" t="s">
        <v>1152</v>
      </c>
      <c r="G1508" s="463" t="s">
        <v>507</v>
      </c>
      <c r="H1508" s="193" t="s">
        <v>1365</v>
      </c>
      <c r="I1508" s="251">
        <v>500</v>
      </c>
      <c r="J1508" s="251">
        <v>7888</v>
      </c>
      <c r="K1508" s="563">
        <f t="shared" si="426"/>
        <v>3944000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9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>154</v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09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424"/>
        <v>4</v>
      </c>
      <c r="C1509" s="37">
        <f t="shared" si="425"/>
        <v>41752</v>
      </c>
      <c r="D1509" s="191" t="s">
        <v>1377</v>
      </c>
      <c r="E1509" s="191">
        <v>41752</v>
      </c>
      <c r="F1509" s="192" t="s">
        <v>1170</v>
      </c>
      <c r="G1509" s="463" t="s">
        <v>509</v>
      </c>
      <c r="H1509" s="193" t="s">
        <v>1365</v>
      </c>
      <c r="I1509" s="251">
        <v>150</v>
      </c>
      <c r="J1509" s="251">
        <v>16315</v>
      </c>
      <c r="K1509" s="563">
        <f t="shared" si="426"/>
        <v>2447250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9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>154</v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09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424"/>
        <v>4</v>
      </c>
      <c r="C1510" s="37">
        <f t="shared" si="425"/>
        <v>41752</v>
      </c>
      <c r="D1510" s="191" t="s">
        <v>1377</v>
      </c>
      <c r="E1510" s="191">
        <v>41752</v>
      </c>
      <c r="F1510" s="192" t="s">
        <v>1071</v>
      </c>
      <c r="G1510" s="463" t="s">
        <v>509</v>
      </c>
      <c r="H1510" s="193" t="s">
        <v>1365</v>
      </c>
      <c r="I1510" s="251">
        <v>185</v>
      </c>
      <c r="J1510" s="251">
        <v>17318</v>
      </c>
      <c r="K1510" s="563">
        <f t="shared" si="426"/>
        <v>3203830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9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>154</v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09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424"/>
        <v>4</v>
      </c>
      <c r="C1511" s="37">
        <f t="shared" si="425"/>
        <v>41759</v>
      </c>
      <c r="D1511" s="191" t="s">
        <v>1377</v>
      </c>
      <c r="E1511" s="191">
        <v>41759</v>
      </c>
      <c r="F1511" s="192" t="s">
        <v>1155</v>
      </c>
      <c r="G1511" s="463" t="s">
        <v>510</v>
      </c>
      <c r="H1511" s="193" t="s">
        <v>1365</v>
      </c>
      <c r="I1511" s="251">
        <v>500</v>
      </c>
      <c r="J1511" s="251">
        <v>14784</v>
      </c>
      <c r="K1511" s="563">
        <f t="shared" si="426"/>
        <v>7392000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9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>154</v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09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424"/>
        <v>4</v>
      </c>
      <c r="C1512" s="37">
        <f t="shared" si="425"/>
        <v>41759</v>
      </c>
      <c r="D1512" s="191" t="s">
        <v>1377</v>
      </c>
      <c r="E1512" s="191">
        <v>41759</v>
      </c>
      <c r="F1512" s="192" t="s">
        <v>1338</v>
      </c>
      <c r="G1512" s="463" t="s">
        <v>510</v>
      </c>
      <c r="H1512" s="193" t="s">
        <v>1365</v>
      </c>
      <c r="I1512" s="251">
        <v>121</v>
      </c>
      <c r="J1512" s="251">
        <v>13625</v>
      </c>
      <c r="K1512" s="563">
        <f t="shared" si="426"/>
        <v>1648625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9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>154</v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09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ref="B1513:B1574" si="433">IF(C1513&lt;&gt;"",MONTH(C1513),"")</f>
        <v>5</v>
      </c>
      <c r="C1513" s="37">
        <f t="shared" ref="C1513:C1574" si="434">E1513</f>
        <v>41762</v>
      </c>
      <c r="D1513" s="191" t="s">
        <v>1377</v>
      </c>
      <c r="E1513" s="191">
        <v>41762</v>
      </c>
      <c r="F1513" s="192" t="s">
        <v>1071</v>
      </c>
      <c r="G1513" s="463" t="s">
        <v>511</v>
      </c>
      <c r="H1513" s="193" t="s">
        <v>1365</v>
      </c>
      <c r="I1513" s="251">
        <v>175</v>
      </c>
      <c r="J1513" s="251">
        <v>17318</v>
      </c>
      <c r="K1513" s="563">
        <f t="shared" ref="K1513:K1574" si="435">ROUND(I1513*J1513,0)</f>
        <v>3030650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9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>154</v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09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433"/>
        <v>5</v>
      </c>
      <c r="C1514" s="37">
        <f t="shared" si="434"/>
        <v>41762</v>
      </c>
      <c r="D1514" s="191" t="s">
        <v>1377</v>
      </c>
      <c r="E1514" s="191">
        <v>41762</v>
      </c>
      <c r="F1514" s="192" t="s">
        <v>1141</v>
      </c>
      <c r="G1514" s="463" t="s">
        <v>511</v>
      </c>
      <c r="H1514" s="193" t="s">
        <v>1365</v>
      </c>
      <c r="I1514" s="251">
        <v>100</v>
      </c>
      <c r="J1514" s="251">
        <v>10701</v>
      </c>
      <c r="K1514" s="563">
        <f t="shared" si="435"/>
        <v>1070100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9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>154</v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09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433"/>
        <v>5</v>
      </c>
      <c r="C1515" s="37">
        <f t="shared" si="434"/>
        <v>41769</v>
      </c>
      <c r="D1515" s="191" t="s">
        <v>1377</v>
      </c>
      <c r="E1515" s="191">
        <v>41769</v>
      </c>
      <c r="F1515" s="192" t="s">
        <v>1148</v>
      </c>
      <c r="G1515" s="463" t="s">
        <v>513</v>
      </c>
      <c r="H1515" s="193" t="s">
        <v>1365</v>
      </c>
      <c r="I1515" s="251">
        <v>200</v>
      </c>
      <c r="J1515" s="251">
        <v>18203</v>
      </c>
      <c r="K1515" s="563">
        <f t="shared" si="435"/>
        <v>3640600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9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>154</v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09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433"/>
        <v>5</v>
      </c>
      <c r="C1516" s="37">
        <f t="shared" si="434"/>
        <v>41771</v>
      </c>
      <c r="D1516" s="191" t="s">
        <v>1377</v>
      </c>
      <c r="E1516" s="191">
        <v>41771</v>
      </c>
      <c r="F1516" s="192" t="s">
        <v>1337</v>
      </c>
      <c r="G1516" s="463" t="s">
        <v>514</v>
      </c>
      <c r="H1516" s="193" t="s">
        <v>1365</v>
      </c>
      <c r="I1516" s="251">
        <v>137</v>
      </c>
      <c r="J1516" s="251">
        <v>18605</v>
      </c>
      <c r="K1516" s="563">
        <f t="shared" si="435"/>
        <v>2548885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9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>154</v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09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433"/>
        <v>5</v>
      </c>
      <c r="C1517" s="37">
        <f t="shared" si="434"/>
        <v>41771</v>
      </c>
      <c r="D1517" s="191" t="s">
        <v>1377</v>
      </c>
      <c r="E1517" s="191">
        <v>41771</v>
      </c>
      <c r="F1517" s="192" t="s">
        <v>1156</v>
      </c>
      <c r="G1517" s="463" t="s">
        <v>516</v>
      </c>
      <c r="H1517" s="193" t="s">
        <v>1365</v>
      </c>
      <c r="I1517" s="251">
        <v>500</v>
      </c>
      <c r="J1517" s="251">
        <v>19008</v>
      </c>
      <c r="K1517" s="563">
        <f t="shared" si="435"/>
        <v>9504000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9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>154</v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09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433"/>
        <v>5</v>
      </c>
      <c r="C1518" s="37">
        <f t="shared" si="434"/>
        <v>41771</v>
      </c>
      <c r="D1518" s="191" t="s">
        <v>1377</v>
      </c>
      <c r="E1518" s="191">
        <v>41771</v>
      </c>
      <c r="F1518" s="192" t="s">
        <v>1156</v>
      </c>
      <c r="G1518" s="463" t="s">
        <v>518</v>
      </c>
      <c r="H1518" s="193" t="s">
        <v>1365</v>
      </c>
      <c r="I1518" s="251">
        <v>500</v>
      </c>
      <c r="J1518" s="251">
        <v>19008</v>
      </c>
      <c r="K1518" s="563">
        <f t="shared" si="435"/>
        <v>9504000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9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>154</v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09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433"/>
        <v>5</v>
      </c>
      <c r="C1519" s="37">
        <f t="shared" si="434"/>
        <v>41771</v>
      </c>
      <c r="D1519" s="191" t="s">
        <v>1377</v>
      </c>
      <c r="E1519" s="191">
        <v>41771</v>
      </c>
      <c r="F1519" s="192" t="s">
        <v>1173</v>
      </c>
      <c r="G1519" s="463" t="s">
        <v>518</v>
      </c>
      <c r="H1519" s="193" t="s">
        <v>1365</v>
      </c>
      <c r="I1519" s="251">
        <v>435</v>
      </c>
      <c r="J1519" s="251">
        <v>9515</v>
      </c>
      <c r="K1519" s="563">
        <f t="shared" si="435"/>
        <v>4139025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9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>154</v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09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433"/>
        <v>5</v>
      </c>
      <c r="C1520" s="37">
        <f t="shared" si="434"/>
        <v>41775</v>
      </c>
      <c r="D1520" s="191" t="s">
        <v>1377</v>
      </c>
      <c r="E1520" s="191">
        <v>41775</v>
      </c>
      <c r="F1520" s="192" t="s">
        <v>1141</v>
      </c>
      <c r="G1520" s="463" t="s">
        <v>520</v>
      </c>
      <c r="H1520" s="193" t="s">
        <v>1365</v>
      </c>
      <c r="I1520" s="251">
        <v>205</v>
      </c>
      <c r="J1520" s="251">
        <v>10701</v>
      </c>
      <c r="K1520" s="563">
        <f t="shared" si="435"/>
        <v>2193705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9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>154</v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09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433"/>
        <v>5</v>
      </c>
      <c r="C1521" s="37">
        <f t="shared" si="434"/>
        <v>41775</v>
      </c>
      <c r="D1521" s="191" t="s">
        <v>1377</v>
      </c>
      <c r="E1521" s="191">
        <v>41775</v>
      </c>
      <c r="F1521" s="192" t="s">
        <v>1067</v>
      </c>
      <c r="G1521" s="463" t="s">
        <v>520</v>
      </c>
      <c r="H1521" s="193" t="s">
        <v>1365</v>
      </c>
      <c r="I1521" s="251">
        <v>100</v>
      </c>
      <c r="J1521" s="251">
        <v>11792</v>
      </c>
      <c r="K1521" s="563">
        <f t="shared" si="435"/>
        <v>1179200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9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>154</v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09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433"/>
        <v>5</v>
      </c>
      <c r="C1522" s="37">
        <f t="shared" si="434"/>
        <v>41775</v>
      </c>
      <c r="D1522" s="191" t="s">
        <v>1377</v>
      </c>
      <c r="E1522" s="191">
        <v>41775</v>
      </c>
      <c r="F1522" s="192" t="s">
        <v>1182</v>
      </c>
      <c r="G1522" s="463" t="s">
        <v>520</v>
      </c>
      <c r="H1522" s="193" t="s">
        <v>1365</v>
      </c>
      <c r="I1522" s="251">
        <v>350</v>
      </c>
      <c r="J1522" s="251">
        <v>8282</v>
      </c>
      <c r="K1522" s="563">
        <f t="shared" si="435"/>
        <v>2898700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9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>154</v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09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433"/>
        <v>5</v>
      </c>
      <c r="C1523" s="37">
        <f t="shared" si="434"/>
        <v>41775</v>
      </c>
      <c r="D1523" s="191" t="s">
        <v>1377</v>
      </c>
      <c r="E1523" s="191">
        <v>41775</v>
      </c>
      <c r="F1523" s="192" t="s">
        <v>1181</v>
      </c>
      <c r="G1523" s="463" t="s">
        <v>520</v>
      </c>
      <c r="H1523" s="193" t="s">
        <v>1365</v>
      </c>
      <c r="I1523" s="251">
        <v>147</v>
      </c>
      <c r="J1523" s="251">
        <v>19712</v>
      </c>
      <c r="K1523" s="563">
        <f t="shared" si="435"/>
        <v>2897664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9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>154</v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09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433"/>
        <v>5</v>
      </c>
      <c r="C1524" s="37">
        <f t="shared" si="434"/>
        <v>41776</v>
      </c>
      <c r="D1524" s="191" t="s">
        <v>1377</v>
      </c>
      <c r="E1524" s="191">
        <v>41776</v>
      </c>
      <c r="F1524" s="192" t="s">
        <v>1179</v>
      </c>
      <c r="G1524" s="463" t="s">
        <v>522</v>
      </c>
      <c r="H1524" s="193" t="s">
        <v>1365</v>
      </c>
      <c r="I1524" s="251">
        <v>30</v>
      </c>
      <c r="J1524" s="251">
        <v>19690</v>
      </c>
      <c r="K1524" s="563">
        <f t="shared" si="435"/>
        <v>590700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9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>154</v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09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433"/>
        <v>5</v>
      </c>
      <c r="C1525" s="37">
        <f t="shared" si="434"/>
        <v>41776</v>
      </c>
      <c r="D1525" s="191" t="s">
        <v>1377</v>
      </c>
      <c r="E1525" s="191">
        <v>41776</v>
      </c>
      <c r="F1525" s="192" t="s">
        <v>1171</v>
      </c>
      <c r="G1525" s="463" t="s">
        <v>522</v>
      </c>
      <c r="H1525" s="193" t="s">
        <v>1365</v>
      </c>
      <c r="I1525" s="251">
        <v>420</v>
      </c>
      <c r="J1525" s="251">
        <v>10150</v>
      </c>
      <c r="K1525" s="563">
        <f t="shared" si="435"/>
        <v>4263000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9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>154</v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09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433"/>
        <v>5</v>
      </c>
      <c r="C1526" s="37">
        <f t="shared" si="434"/>
        <v>41777</v>
      </c>
      <c r="D1526" s="191" t="s">
        <v>1377</v>
      </c>
      <c r="E1526" s="191">
        <v>41777</v>
      </c>
      <c r="F1526" s="192" t="s">
        <v>1175</v>
      </c>
      <c r="G1526" s="463" t="s">
        <v>525</v>
      </c>
      <c r="H1526" s="193" t="s">
        <v>1365</v>
      </c>
      <c r="I1526" s="251">
        <v>32</v>
      </c>
      <c r="J1526" s="251">
        <v>9161</v>
      </c>
      <c r="K1526" s="563">
        <f t="shared" si="435"/>
        <v>293152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9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>154</v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09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433"/>
        <v>5</v>
      </c>
      <c r="C1527" s="37">
        <f t="shared" si="434"/>
        <v>41777</v>
      </c>
      <c r="D1527" s="191" t="s">
        <v>1377</v>
      </c>
      <c r="E1527" s="191">
        <v>41777</v>
      </c>
      <c r="F1527" s="192" t="s">
        <v>1150</v>
      </c>
      <c r="G1527" s="463" t="s">
        <v>526</v>
      </c>
      <c r="H1527" s="193" t="s">
        <v>1365</v>
      </c>
      <c r="I1527" s="251">
        <v>300</v>
      </c>
      <c r="J1527" s="251">
        <v>15893</v>
      </c>
      <c r="K1527" s="563">
        <f t="shared" si="435"/>
        <v>4767900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9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>154</v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09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433"/>
        <v>5</v>
      </c>
      <c r="C1528" s="37">
        <f t="shared" si="434"/>
        <v>41778</v>
      </c>
      <c r="D1528" s="191" t="s">
        <v>1377</v>
      </c>
      <c r="E1528" s="191">
        <v>41778</v>
      </c>
      <c r="F1528" s="192" t="s">
        <v>1069</v>
      </c>
      <c r="G1528" s="463" t="s">
        <v>528</v>
      </c>
      <c r="H1528" s="193" t="s">
        <v>1365</v>
      </c>
      <c r="I1528" s="251">
        <v>500</v>
      </c>
      <c r="J1528" s="251">
        <v>14978</v>
      </c>
      <c r="K1528" s="563">
        <f t="shared" si="435"/>
        <v>7489000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9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>154</v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09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433"/>
        <v>5</v>
      </c>
      <c r="C1529" s="37">
        <f t="shared" si="434"/>
        <v>41783</v>
      </c>
      <c r="D1529" s="191" t="s">
        <v>1377</v>
      </c>
      <c r="E1529" s="191">
        <v>41783</v>
      </c>
      <c r="F1529" s="192" t="s">
        <v>1166</v>
      </c>
      <c r="G1529" s="463" t="s">
        <v>529</v>
      </c>
      <c r="H1529" s="193" t="s">
        <v>1365</v>
      </c>
      <c r="I1529" s="251">
        <v>1000</v>
      </c>
      <c r="J1529" s="251">
        <v>10231</v>
      </c>
      <c r="K1529" s="563">
        <f t="shared" si="435"/>
        <v>10231000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9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>154</v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09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433"/>
        <v>5</v>
      </c>
      <c r="C1530" s="37">
        <f t="shared" si="434"/>
        <v>41785</v>
      </c>
      <c r="D1530" s="191" t="s">
        <v>1377</v>
      </c>
      <c r="E1530" s="191">
        <v>41785</v>
      </c>
      <c r="F1530" s="192" t="s">
        <v>1149</v>
      </c>
      <c r="G1530" s="463" t="s">
        <v>530</v>
      </c>
      <c r="H1530" s="193" t="s">
        <v>1365</v>
      </c>
      <c r="I1530" s="251">
        <v>250</v>
      </c>
      <c r="J1530" s="251">
        <v>16447</v>
      </c>
      <c r="K1530" s="563">
        <f t="shared" si="435"/>
        <v>4111750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9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>154</v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09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433"/>
        <v>5</v>
      </c>
      <c r="C1531" s="37">
        <f t="shared" si="434"/>
        <v>41785</v>
      </c>
      <c r="D1531" s="191" t="s">
        <v>1377</v>
      </c>
      <c r="E1531" s="191">
        <v>41785</v>
      </c>
      <c r="F1531" s="192" t="s">
        <v>1327</v>
      </c>
      <c r="G1531" s="463" t="s">
        <v>531</v>
      </c>
      <c r="H1531" s="193" t="s">
        <v>1365</v>
      </c>
      <c r="I1531" s="251">
        <v>100</v>
      </c>
      <c r="J1531" s="251">
        <v>23455</v>
      </c>
      <c r="K1531" s="563">
        <f t="shared" si="435"/>
        <v>2345500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9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>154</v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09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433"/>
        <v>5</v>
      </c>
      <c r="C1532" s="37">
        <f t="shared" si="434"/>
        <v>41785</v>
      </c>
      <c r="D1532" s="191" t="s">
        <v>1377</v>
      </c>
      <c r="E1532" s="191">
        <v>41785</v>
      </c>
      <c r="F1532" s="192" t="s">
        <v>1179</v>
      </c>
      <c r="G1532" s="463" t="s">
        <v>531</v>
      </c>
      <c r="H1532" s="193" t="s">
        <v>1365</v>
      </c>
      <c r="I1532" s="251">
        <v>80</v>
      </c>
      <c r="J1532" s="251">
        <v>19690</v>
      </c>
      <c r="K1532" s="563">
        <f t="shared" si="435"/>
        <v>1575200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9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>154</v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09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433"/>
        <v>5</v>
      </c>
      <c r="C1533" s="37">
        <f t="shared" si="434"/>
        <v>41785</v>
      </c>
      <c r="D1533" s="191" t="s">
        <v>1377</v>
      </c>
      <c r="E1533" s="191">
        <v>41785</v>
      </c>
      <c r="F1533" s="192" t="s">
        <v>1169</v>
      </c>
      <c r="G1533" s="463" t="s">
        <v>531</v>
      </c>
      <c r="H1533" s="193" t="s">
        <v>1365</v>
      </c>
      <c r="I1533" s="251">
        <v>350</v>
      </c>
      <c r="J1533" s="251">
        <v>8584</v>
      </c>
      <c r="K1533" s="563">
        <f t="shared" si="435"/>
        <v>3004400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9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>154</v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09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433"/>
        <v>5</v>
      </c>
      <c r="C1534" s="37">
        <f t="shared" si="434"/>
        <v>41785</v>
      </c>
      <c r="D1534" s="191" t="s">
        <v>1377</v>
      </c>
      <c r="E1534" s="191">
        <v>41785</v>
      </c>
      <c r="F1534" s="192" t="s">
        <v>1151</v>
      </c>
      <c r="G1534" s="463" t="s">
        <v>534</v>
      </c>
      <c r="H1534" s="193" t="s">
        <v>1365</v>
      </c>
      <c r="I1534" s="251">
        <v>100</v>
      </c>
      <c r="J1534" s="251">
        <v>12241</v>
      </c>
      <c r="K1534" s="563">
        <f t="shared" si="435"/>
        <v>1224100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9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>154</v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09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433"/>
        <v>5</v>
      </c>
      <c r="C1535" s="37">
        <f t="shared" si="434"/>
        <v>41786</v>
      </c>
      <c r="D1535" s="191" t="s">
        <v>1377</v>
      </c>
      <c r="E1535" s="191">
        <v>41786</v>
      </c>
      <c r="F1535" s="192" t="s">
        <v>1095</v>
      </c>
      <c r="G1535" s="463" t="s">
        <v>536</v>
      </c>
      <c r="H1535" s="193" t="s">
        <v>1365</v>
      </c>
      <c r="I1535" s="251">
        <v>370</v>
      </c>
      <c r="J1535" s="251">
        <v>23232</v>
      </c>
      <c r="K1535" s="563">
        <f t="shared" si="435"/>
        <v>8595840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9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>154</v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09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433"/>
        <v>5</v>
      </c>
      <c r="C1536" s="37">
        <f t="shared" si="434"/>
        <v>41786</v>
      </c>
      <c r="D1536" s="191" t="s">
        <v>1377</v>
      </c>
      <c r="E1536" s="191">
        <v>41786</v>
      </c>
      <c r="F1536" s="192" t="s">
        <v>1141</v>
      </c>
      <c r="G1536" s="463" t="s">
        <v>538</v>
      </c>
      <c r="H1536" s="193" t="s">
        <v>1365</v>
      </c>
      <c r="I1536" s="251">
        <v>548</v>
      </c>
      <c r="J1536" s="251">
        <v>10701</v>
      </c>
      <c r="K1536" s="563">
        <f t="shared" si="435"/>
        <v>5864148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9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>154</v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09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433"/>
        <v>5</v>
      </c>
      <c r="C1537" s="37">
        <f t="shared" si="434"/>
        <v>41789</v>
      </c>
      <c r="D1537" s="191" t="s">
        <v>1377</v>
      </c>
      <c r="E1537" s="191">
        <v>41789</v>
      </c>
      <c r="F1537" s="192" t="s">
        <v>1142</v>
      </c>
      <c r="G1537" s="463" t="s">
        <v>539</v>
      </c>
      <c r="H1537" s="193" t="s">
        <v>1365</v>
      </c>
      <c r="I1537" s="251">
        <v>1000</v>
      </c>
      <c r="J1537" s="251">
        <v>15616</v>
      </c>
      <c r="K1537" s="563">
        <f t="shared" si="435"/>
        <v>15616000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9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>154</v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09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433"/>
        <v>5</v>
      </c>
      <c r="C1538" s="37">
        <f t="shared" si="434"/>
        <v>41789</v>
      </c>
      <c r="D1538" s="191" t="s">
        <v>1377</v>
      </c>
      <c r="E1538" s="191">
        <v>41789</v>
      </c>
      <c r="F1538" s="192" t="s">
        <v>1194</v>
      </c>
      <c r="G1538" s="463" t="s">
        <v>541</v>
      </c>
      <c r="H1538" s="193" t="s">
        <v>1365</v>
      </c>
      <c r="I1538" s="251">
        <v>150</v>
      </c>
      <c r="J1538" s="251">
        <v>25186</v>
      </c>
      <c r="K1538" s="563">
        <f t="shared" si="435"/>
        <v>3777900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9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>154</v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09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433"/>
        <v>5</v>
      </c>
      <c r="C1539" s="37">
        <f t="shared" si="434"/>
        <v>41789</v>
      </c>
      <c r="D1539" s="191" t="s">
        <v>1377</v>
      </c>
      <c r="E1539" s="191">
        <v>41789</v>
      </c>
      <c r="F1539" s="192" t="s">
        <v>1175</v>
      </c>
      <c r="G1539" s="463" t="s">
        <v>542</v>
      </c>
      <c r="H1539" s="193" t="s">
        <v>1365</v>
      </c>
      <c r="I1539" s="251">
        <v>40</v>
      </c>
      <c r="J1539" s="251">
        <v>9161</v>
      </c>
      <c r="K1539" s="563">
        <f t="shared" si="435"/>
        <v>366440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9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>154</v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09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433"/>
        <v>6</v>
      </c>
      <c r="C1540" s="37">
        <f t="shared" si="434"/>
        <v>41791</v>
      </c>
      <c r="D1540" s="191" t="s">
        <v>1377</v>
      </c>
      <c r="E1540" s="191">
        <v>41791</v>
      </c>
      <c r="F1540" s="192" t="s">
        <v>1142</v>
      </c>
      <c r="G1540" s="463" t="s">
        <v>543</v>
      </c>
      <c r="H1540" s="193" t="s">
        <v>1365</v>
      </c>
      <c r="I1540" s="251">
        <v>150</v>
      </c>
      <c r="J1540" s="251">
        <v>15616</v>
      </c>
      <c r="K1540" s="563">
        <f t="shared" si="435"/>
        <v>2342400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9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>154</v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09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433"/>
        <v>6</v>
      </c>
      <c r="C1541" s="37">
        <f t="shared" si="434"/>
        <v>41791</v>
      </c>
      <c r="D1541" s="191" t="s">
        <v>1377</v>
      </c>
      <c r="E1541" s="191">
        <v>41791</v>
      </c>
      <c r="F1541" s="192" t="s">
        <v>1194</v>
      </c>
      <c r="G1541" s="463" t="s">
        <v>543</v>
      </c>
      <c r="H1541" s="193" t="s">
        <v>1365</v>
      </c>
      <c r="I1541" s="251">
        <v>100</v>
      </c>
      <c r="J1541" s="251">
        <v>25186</v>
      </c>
      <c r="K1541" s="563">
        <f t="shared" si="435"/>
        <v>2518600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9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>154</v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09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433"/>
        <v>6</v>
      </c>
      <c r="C1542" s="37">
        <f t="shared" si="434"/>
        <v>41791</v>
      </c>
      <c r="D1542" s="191" t="s">
        <v>1377</v>
      </c>
      <c r="E1542" s="191">
        <v>41791</v>
      </c>
      <c r="F1542" s="192" t="s">
        <v>1176</v>
      </c>
      <c r="G1542" s="463" t="s">
        <v>543</v>
      </c>
      <c r="H1542" s="193" t="s">
        <v>1365</v>
      </c>
      <c r="I1542" s="251">
        <v>60</v>
      </c>
      <c r="J1542" s="251">
        <v>16280</v>
      </c>
      <c r="K1542" s="563">
        <f t="shared" si="435"/>
        <v>976800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9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>154</v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09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433"/>
        <v>6</v>
      </c>
      <c r="C1543" s="37">
        <f t="shared" si="434"/>
        <v>41791</v>
      </c>
      <c r="D1543" s="191" t="s">
        <v>1377</v>
      </c>
      <c r="E1543" s="191">
        <v>41791</v>
      </c>
      <c r="F1543" s="192" t="s">
        <v>1100</v>
      </c>
      <c r="G1543" s="463" t="s">
        <v>543</v>
      </c>
      <c r="H1543" s="193" t="s">
        <v>1365</v>
      </c>
      <c r="I1543" s="251">
        <v>50</v>
      </c>
      <c r="J1543" s="251">
        <v>20328</v>
      </c>
      <c r="K1543" s="563">
        <f t="shared" si="435"/>
        <v>1016400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9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>154</v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09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433"/>
        <v>6</v>
      </c>
      <c r="C1544" s="37">
        <f t="shared" si="434"/>
        <v>41792</v>
      </c>
      <c r="D1544" s="191" t="s">
        <v>1377</v>
      </c>
      <c r="E1544" s="191">
        <v>41792</v>
      </c>
      <c r="F1544" s="192" t="s">
        <v>1099</v>
      </c>
      <c r="G1544" s="463" t="s">
        <v>545</v>
      </c>
      <c r="H1544" s="193" t="s">
        <v>1365</v>
      </c>
      <c r="I1544" s="251">
        <v>190</v>
      </c>
      <c r="J1544" s="251">
        <v>20821</v>
      </c>
      <c r="K1544" s="563">
        <f t="shared" si="435"/>
        <v>3955990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9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>154</v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09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433"/>
        <v>6</v>
      </c>
      <c r="C1545" s="37">
        <f t="shared" si="434"/>
        <v>41792</v>
      </c>
      <c r="D1545" s="191" t="s">
        <v>1377</v>
      </c>
      <c r="E1545" s="191">
        <v>41792</v>
      </c>
      <c r="F1545" s="192" t="s">
        <v>1162</v>
      </c>
      <c r="G1545" s="463" t="s">
        <v>545</v>
      </c>
      <c r="H1545" s="193" t="s">
        <v>1365</v>
      </c>
      <c r="I1545" s="251">
        <v>200</v>
      </c>
      <c r="J1545" s="251">
        <v>22968</v>
      </c>
      <c r="K1545" s="563">
        <f t="shared" si="435"/>
        <v>4593600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9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>154</v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09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433"/>
        <v>6</v>
      </c>
      <c r="C1546" s="37">
        <f t="shared" si="434"/>
        <v>41792</v>
      </c>
      <c r="D1546" s="191" t="s">
        <v>1377</v>
      </c>
      <c r="E1546" s="191">
        <v>41792</v>
      </c>
      <c r="F1546" s="192" t="s">
        <v>1153</v>
      </c>
      <c r="G1546" s="463" t="s">
        <v>549</v>
      </c>
      <c r="H1546" s="193" t="s">
        <v>1365</v>
      </c>
      <c r="I1546" s="251">
        <v>100</v>
      </c>
      <c r="J1546" s="251">
        <v>9147</v>
      </c>
      <c r="K1546" s="563">
        <f t="shared" si="435"/>
        <v>914700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9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>154</v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09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433"/>
        <v>6</v>
      </c>
      <c r="C1547" s="37">
        <f t="shared" si="434"/>
        <v>41792</v>
      </c>
      <c r="D1547" s="191" t="s">
        <v>1377</v>
      </c>
      <c r="E1547" s="191">
        <v>41792</v>
      </c>
      <c r="F1547" s="192" t="s">
        <v>1096</v>
      </c>
      <c r="G1547" s="463" t="s">
        <v>549</v>
      </c>
      <c r="H1547" s="193" t="s">
        <v>1365</v>
      </c>
      <c r="I1547" s="251">
        <v>40</v>
      </c>
      <c r="J1547" s="251">
        <v>22176</v>
      </c>
      <c r="K1547" s="563">
        <f t="shared" si="435"/>
        <v>887040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9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>154</v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09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433"/>
        <v>6</v>
      </c>
      <c r="C1548" s="37">
        <f t="shared" si="434"/>
        <v>41796</v>
      </c>
      <c r="D1548" s="191" t="s">
        <v>1377</v>
      </c>
      <c r="E1548" s="191">
        <v>41796</v>
      </c>
      <c r="F1548" s="192" t="s">
        <v>1179</v>
      </c>
      <c r="G1548" s="463" t="s">
        <v>553</v>
      </c>
      <c r="H1548" s="193" t="s">
        <v>1365</v>
      </c>
      <c r="I1548" s="251">
        <v>80</v>
      </c>
      <c r="J1548" s="251">
        <v>19690</v>
      </c>
      <c r="K1548" s="563">
        <f t="shared" si="435"/>
        <v>1575200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9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>154</v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09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433"/>
        <v>6</v>
      </c>
      <c r="C1549" s="37">
        <f t="shared" si="434"/>
        <v>41803</v>
      </c>
      <c r="D1549" s="191" t="s">
        <v>1377</v>
      </c>
      <c r="E1549" s="191">
        <v>41803</v>
      </c>
      <c r="F1549" s="192" t="s">
        <v>1168</v>
      </c>
      <c r="G1549" s="463" t="s">
        <v>555</v>
      </c>
      <c r="H1549" s="193" t="s">
        <v>1365</v>
      </c>
      <c r="I1549" s="251">
        <v>400</v>
      </c>
      <c r="J1549" s="251">
        <v>22704</v>
      </c>
      <c r="K1549" s="563">
        <f t="shared" si="435"/>
        <v>9081600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9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>154</v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09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433"/>
        <v>6</v>
      </c>
      <c r="C1550" s="37">
        <f t="shared" si="434"/>
        <v>41804</v>
      </c>
      <c r="D1550" s="191" t="s">
        <v>1377</v>
      </c>
      <c r="E1550" s="191">
        <v>41804</v>
      </c>
      <c r="F1550" s="192" t="s">
        <v>1175</v>
      </c>
      <c r="G1550" s="463" t="s">
        <v>556</v>
      </c>
      <c r="H1550" s="193" t="s">
        <v>1365</v>
      </c>
      <c r="I1550" s="251">
        <v>150</v>
      </c>
      <c r="J1550" s="251">
        <v>9161</v>
      </c>
      <c r="K1550" s="563">
        <f t="shared" si="435"/>
        <v>1374150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9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>154</v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09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433"/>
        <v>6</v>
      </c>
      <c r="C1551" s="37">
        <f t="shared" si="434"/>
        <v>41807</v>
      </c>
      <c r="D1551" s="191" t="s">
        <v>1377</v>
      </c>
      <c r="E1551" s="191">
        <v>41807</v>
      </c>
      <c r="F1551" s="192" t="s">
        <v>1071</v>
      </c>
      <c r="G1551" s="463" t="s">
        <v>557</v>
      </c>
      <c r="H1551" s="193" t="s">
        <v>1365</v>
      </c>
      <c r="I1551" s="251">
        <v>190</v>
      </c>
      <c r="J1551" s="251">
        <v>17318</v>
      </c>
      <c r="K1551" s="563">
        <f t="shared" si="435"/>
        <v>3290420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9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>154</v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09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433"/>
        <v>6</v>
      </c>
      <c r="C1552" s="37">
        <f t="shared" si="434"/>
        <v>41810</v>
      </c>
      <c r="D1552" s="191" t="s">
        <v>1377</v>
      </c>
      <c r="E1552" s="191">
        <v>41810</v>
      </c>
      <c r="F1552" s="192" t="s">
        <v>1161</v>
      </c>
      <c r="G1552" s="463" t="s">
        <v>558</v>
      </c>
      <c r="H1552" s="193" t="s">
        <v>1365</v>
      </c>
      <c r="I1552" s="251">
        <v>250</v>
      </c>
      <c r="J1552" s="251">
        <v>25186</v>
      </c>
      <c r="K1552" s="563">
        <f t="shared" si="435"/>
        <v>6296500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9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>154</v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09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433"/>
        <v>6</v>
      </c>
      <c r="C1553" s="37">
        <f t="shared" si="434"/>
        <v>41811</v>
      </c>
      <c r="D1553" s="191" t="s">
        <v>1377</v>
      </c>
      <c r="E1553" s="191">
        <v>41811</v>
      </c>
      <c r="F1553" s="192" t="s">
        <v>1097</v>
      </c>
      <c r="G1553" s="463" t="s">
        <v>560</v>
      </c>
      <c r="H1553" s="193" t="s">
        <v>1365</v>
      </c>
      <c r="I1553" s="251">
        <v>415</v>
      </c>
      <c r="J1553" s="251">
        <v>14784</v>
      </c>
      <c r="K1553" s="563">
        <f t="shared" si="435"/>
        <v>6135360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9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>154</v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09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433"/>
        <v>6</v>
      </c>
      <c r="C1554" s="37">
        <f t="shared" si="434"/>
        <v>41811</v>
      </c>
      <c r="D1554" s="191" t="s">
        <v>1377</v>
      </c>
      <c r="E1554" s="191">
        <v>41811</v>
      </c>
      <c r="F1554" s="192" t="s">
        <v>1155</v>
      </c>
      <c r="G1554" s="463" t="s">
        <v>560</v>
      </c>
      <c r="H1554" s="193" t="s">
        <v>1365</v>
      </c>
      <c r="I1554" s="251">
        <v>100</v>
      </c>
      <c r="J1554" s="251">
        <v>14784</v>
      </c>
      <c r="K1554" s="563">
        <f t="shared" si="435"/>
        <v>1478400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9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>154</v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09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433"/>
        <v>6</v>
      </c>
      <c r="C1555" s="37">
        <f t="shared" si="434"/>
        <v>41812</v>
      </c>
      <c r="D1555" s="191" t="s">
        <v>1377</v>
      </c>
      <c r="E1555" s="191">
        <v>41812</v>
      </c>
      <c r="F1555" s="192" t="s">
        <v>1141</v>
      </c>
      <c r="G1555" s="463" t="s">
        <v>564</v>
      </c>
      <c r="H1555" s="193" t="s">
        <v>1365</v>
      </c>
      <c r="I1555" s="251">
        <v>541</v>
      </c>
      <c r="J1555" s="251">
        <v>10701</v>
      </c>
      <c r="K1555" s="563">
        <f t="shared" si="435"/>
        <v>5789241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9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>154</v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09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433"/>
        <v>6</v>
      </c>
      <c r="C1556" s="37">
        <f t="shared" si="434"/>
        <v>41815</v>
      </c>
      <c r="D1556" s="191" t="s">
        <v>1377</v>
      </c>
      <c r="E1556" s="191">
        <v>41815</v>
      </c>
      <c r="F1556" s="192" t="s">
        <v>1070</v>
      </c>
      <c r="G1556" s="463" t="s">
        <v>565</v>
      </c>
      <c r="H1556" s="193" t="s">
        <v>1365</v>
      </c>
      <c r="I1556" s="251">
        <v>750</v>
      </c>
      <c r="J1556" s="251">
        <v>20038</v>
      </c>
      <c r="K1556" s="563">
        <f t="shared" si="435"/>
        <v>15028500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9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>154</v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09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433"/>
        <v>6</v>
      </c>
      <c r="C1557" s="37">
        <f t="shared" si="434"/>
        <v>41817</v>
      </c>
      <c r="D1557" s="191" t="s">
        <v>1377</v>
      </c>
      <c r="E1557" s="191">
        <v>41817</v>
      </c>
      <c r="F1557" s="192" t="s">
        <v>1068</v>
      </c>
      <c r="G1557" s="463" t="s">
        <v>567</v>
      </c>
      <c r="H1557" s="193" t="s">
        <v>1365</v>
      </c>
      <c r="I1557" s="251">
        <v>296</v>
      </c>
      <c r="J1557" s="251">
        <v>16447</v>
      </c>
      <c r="K1557" s="563">
        <f t="shared" si="435"/>
        <v>4868312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9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>154</v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09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433"/>
        <v>6</v>
      </c>
      <c r="C1558" s="37">
        <f t="shared" si="434"/>
        <v>41817</v>
      </c>
      <c r="D1558" s="191" t="s">
        <v>1377</v>
      </c>
      <c r="E1558" s="191">
        <v>41817</v>
      </c>
      <c r="F1558" s="192" t="s">
        <v>1167</v>
      </c>
      <c r="G1558" s="463" t="s">
        <v>567</v>
      </c>
      <c r="H1558" s="193" t="s">
        <v>1365</v>
      </c>
      <c r="I1558" s="251">
        <v>250</v>
      </c>
      <c r="J1558" s="251">
        <v>16262</v>
      </c>
      <c r="K1558" s="563">
        <f t="shared" si="435"/>
        <v>4065500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9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>154</v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09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433"/>
        <v>6</v>
      </c>
      <c r="C1559" s="37">
        <f t="shared" si="434"/>
        <v>41817</v>
      </c>
      <c r="D1559" s="191" t="s">
        <v>1377</v>
      </c>
      <c r="E1559" s="191">
        <v>41817</v>
      </c>
      <c r="F1559" s="192" t="s">
        <v>1098</v>
      </c>
      <c r="G1559" s="463" t="s">
        <v>569</v>
      </c>
      <c r="H1559" s="193" t="s">
        <v>1365</v>
      </c>
      <c r="I1559" s="251">
        <v>100</v>
      </c>
      <c r="J1559" s="251">
        <v>17279</v>
      </c>
      <c r="K1559" s="563">
        <f t="shared" si="435"/>
        <v>1727900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9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>154</v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09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433"/>
        <v>6</v>
      </c>
      <c r="C1560" s="37">
        <f t="shared" si="434"/>
        <v>41817</v>
      </c>
      <c r="D1560" s="191" t="s">
        <v>1377</v>
      </c>
      <c r="E1560" s="191">
        <v>41817</v>
      </c>
      <c r="F1560" s="192" t="s">
        <v>1096</v>
      </c>
      <c r="G1560" s="463" t="s">
        <v>569</v>
      </c>
      <c r="H1560" s="193" t="s">
        <v>1365</v>
      </c>
      <c r="I1560" s="251">
        <v>40</v>
      </c>
      <c r="J1560" s="251">
        <v>22176</v>
      </c>
      <c r="K1560" s="563">
        <f t="shared" si="435"/>
        <v>887040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9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>154</v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09"/>
    </row>
    <row r="1561" spans="1:28" s="850" customFormat="1" ht="15.75" customHeight="1">
      <c r="A1561" s="838" t="str">
        <f>IF(B1561&lt;&gt;"",IF(AND(B1561&gt;=_TM1,B1561&lt;=_TM2,OR(TH!L1561="1111",TH!M1561="1111")),TH!D1561,""),"")</f>
        <v/>
      </c>
      <c r="B1561" s="839">
        <f t="shared" si="433"/>
        <v>7</v>
      </c>
      <c r="C1561" s="927">
        <f t="shared" si="434"/>
        <v>41821</v>
      </c>
      <c r="D1561" s="191" t="s">
        <v>1377</v>
      </c>
      <c r="E1561" s="841">
        <v>41821</v>
      </c>
      <c r="F1561" s="851" t="s">
        <v>1145</v>
      </c>
      <c r="G1561" s="852"/>
      <c r="H1561" s="903" t="s">
        <v>1365</v>
      </c>
      <c r="I1561" s="845">
        <v>4801</v>
      </c>
      <c r="J1561" s="845">
        <v>9500</v>
      </c>
      <c r="K1561" s="846">
        <f t="shared" si="435"/>
        <v>45609500</v>
      </c>
      <c r="L1561" s="837" t="s">
        <v>167</v>
      </c>
      <c r="M1561" s="837" t="s">
        <v>159</v>
      </c>
      <c r="N1561" s="52" t="str">
        <f>IF(AND('331-CT'!$E$7=TH!H1561,OR(L1561="331",M1561="331")),"331",IF(AND(OR(L1561="131",M1561="131"),H1561='131-CT'!$E$7),"131",""))</f>
        <v/>
      </c>
      <c r="O1561" s="89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>x</v>
      </c>
      <c r="AB1561" s="848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433"/>
        <v>7</v>
      </c>
      <c r="C1562" s="37">
        <f t="shared" si="434"/>
        <v>41835</v>
      </c>
      <c r="D1562" s="191" t="s">
        <v>1377</v>
      </c>
      <c r="E1562" s="191">
        <v>41835</v>
      </c>
      <c r="F1562" s="192" t="s">
        <v>1075</v>
      </c>
      <c r="G1562" s="463"/>
      <c r="H1562" s="193" t="s">
        <v>1365</v>
      </c>
      <c r="I1562" s="251">
        <v>10230</v>
      </c>
      <c r="J1562" s="251">
        <v>8500</v>
      </c>
      <c r="K1562" s="563">
        <f t="shared" si="435"/>
        <v>86955000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9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>x</v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>x</v>
      </c>
      <c r="AB1562" s="809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433"/>
        <v>7</v>
      </c>
      <c r="C1563" s="37">
        <f t="shared" si="434"/>
        <v>41848</v>
      </c>
      <c r="D1563" s="191" t="s">
        <v>1377</v>
      </c>
      <c r="E1563" s="191">
        <v>41848</v>
      </c>
      <c r="F1563" s="192" t="s">
        <v>1075</v>
      </c>
      <c r="G1563" s="463"/>
      <c r="H1563" s="193" t="s">
        <v>1365</v>
      </c>
      <c r="I1563" s="251">
        <v>7379</v>
      </c>
      <c r="J1563" s="251">
        <v>7500</v>
      </c>
      <c r="K1563" s="563">
        <f t="shared" si="435"/>
        <v>55342500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9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>x</v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>x</v>
      </c>
      <c r="AB1563" s="809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433"/>
        <v>8</v>
      </c>
      <c r="C1564" s="37">
        <f t="shared" si="434"/>
        <v>41852</v>
      </c>
      <c r="D1564" s="191" t="s">
        <v>1377</v>
      </c>
      <c r="E1564" s="191">
        <v>41852</v>
      </c>
      <c r="F1564" s="192" t="s">
        <v>1075</v>
      </c>
      <c r="G1564" s="463"/>
      <c r="H1564" s="193" t="s">
        <v>1365</v>
      </c>
      <c r="I1564" s="251">
        <v>5973</v>
      </c>
      <c r="J1564" s="251">
        <v>7200</v>
      </c>
      <c r="K1564" s="563">
        <f t="shared" si="435"/>
        <v>43005600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9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>x</v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>x</v>
      </c>
      <c r="AB1564" s="809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433"/>
        <v>8</v>
      </c>
      <c r="C1565" s="37">
        <f t="shared" si="434"/>
        <v>41866</v>
      </c>
      <c r="D1565" s="191" t="s">
        <v>1377</v>
      </c>
      <c r="E1565" s="191">
        <v>41866</v>
      </c>
      <c r="F1565" s="192" t="s">
        <v>1075</v>
      </c>
      <c r="G1565" s="463"/>
      <c r="H1565" s="193" t="s">
        <v>1365</v>
      </c>
      <c r="I1565" s="251">
        <v>9665</v>
      </c>
      <c r="J1565" s="251">
        <v>8500</v>
      </c>
      <c r="K1565" s="563">
        <f t="shared" si="435"/>
        <v>82152500</v>
      </c>
      <c r="L1565" s="39" t="s">
        <v>167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89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>x</v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>x</v>
      </c>
      <c r="AB1565" s="809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433"/>
        <v>9</v>
      </c>
      <c r="C1566" s="37">
        <f t="shared" si="434"/>
        <v>41883</v>
      </c>
      <c r="D1566" s="191" t="s">
        <v>1377</v>
      </c>
      <c r="E1566" s="191">
        <v>41883</v>
      </c>
      <c r="F1566" s="192" t="s">
        <v>1079</v>
      </c>
      <c r="G1566" s="463"/>
      <c r="H1566" s="193" t="s">
        <v>1365</v>
      </c>
      <c r="I1566" s="251">
        <v>10578</v>
      </c>
      <c r="J1566" s="251">
        <v>9500</v>
      </c>
      <c r="K1566" s="563">
        <f t="shared" si="435"/>
        <v>100491000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9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>x</v>
      </c>
      <c r="AB1566" s="809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433"/>
        <v>9</v>
      </c>
      <c r="C1567" s="37">
        <f t="shared" si="434"/>
        <v>41892</v>
      </c>
      <c r="D1567" s="191" t="s">
        <v>1377</v>
      </c>
      <c r="E1567" s="191">
        <v>41892</v>
      </c>
      <c r="F1567" s="192" t="s">
        <v>1075</v>
      </c>
      <c r="G1567" s="463"/>
      <c r="H1567" s="193" t="s">
        <v>1365</v>
      </c>
      <c r="I1567" s="251">
        <v>7247</v>
      </c>
      <c r="J1567" s="251">
        <v>8500</v>
      </c>
      <c r="K1567" s="563">
        <f t="shared" si="435"/>
        <v>61599500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9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>x</v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>x</v>
      </c>
      <c r="AB1567" s="809"/>
    </row>
    <row r="1568" spans="1:28" s="850" customFormat="1" ht="15.75" customHeight="1">
      <c r="A1568" s="838" t="str">
        <f>IF(B1568&lt;&gt;"",IF(AND(B1568&gt;=_TM1,B1568&lt;=_TM2,OR(TH!L1568="1111",TH!M1568="1111")),TH!D1568,""),"")</f>
        <v/>
      </c>
      <c r="B1568" s="839">
        <f t="shared" si="433"/>
        <v>10</v>
      </c>
      <c r="C1568" s="927">
        <f t="shared" si="434"/>
        <v>41913</v>
      </c>
      <c r="D1568" s="191" t="s">
        <v>1377</v>
      </c>
      <c r="E1568" s="841">
        <v>41913</v>
      </c>
      <c r="F1568" s="851" t="s">
        <v>1012</v>
      </c>
      <c r="G1568" s="852"/>
      <c r="H1568" s="903" t="s">
        <v>1365</v>
      </c>
      <c r="I1568" s="845">
        <v>1777</v>
      </c>
      <c r="J1568" s="845">
        <v>9450</v>
      </c>
      <c r="K1568" s="846">
        <f t="shared" si="435"/>
        <v>16792650</v>
      </c>
      <c r="L1568" s="837" t="s">
        <v>167</v>
      </c>
      <c r="M1568" s="837" t="s">
        <v>159</v>
      </c>
      <c r="N1568" s="52" t="str">
        <f>IF(AND('331-CT'!$E$7=TH!H1568,OR(L1568="331",M1568="331")),"331",IF(AND(OR(L1568="131",M1568="131"),H1568='131-CT'!$E$7),"131",""))</f>
        <v/>
      </c>
      <c r="O1568" s="89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8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433"/>
        <v>10</v>
      </c>
      <c r="C1569" s="37">
        <f t="shared" si="434"/>
        <v>41917</v>
      </c>
      <c r="D1569" s="191" t="s">
        <v>1377</v>
      </c>
      <c r="E1569" s="191">
        <v>41917</v>
      </c>
      <c r="F1569" s="192" t="s">
        <v>1079</v>
      </c>
      <c r="G1569" s="463"/>
      <c r="H1569" s="193" t="s">
        <v>1365</v>
      </c>
      <c r="I1569" s="251">
        <v>1629</v>
      </c>
      <c r="J1569" s="251">
        <v>9500</v>
      </c>
      <c r="K1569" s="563">
        <f t="shared" si="435"/>
        <v>15475500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9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09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433"/>
        <v>10</v>
      </c>
      <c r="C1570" s="37">
        <f t="shared" si="434"/>
        <v>41917</v>
      </c>
      <c r="D1570" s="191" t="s">
        <v>1377</v>
      </c>
      <c r="E1570" s="191">
        <v>41917</v>
      </c>
      <c r="F1570" s="192" t="s">
        <v>1075</v>
      </c>
      <c r="G1570" s="463"/>
      <c r="H1570" s="193" t="s">
        <v>1365</v>
      </c>
      <c r="I1570" s="251">
        <v>1663</v>
      </c>
      <c r="J1570" s="251">
        <v>7200</v>
      </c>
      <c r="K1570" s="563">
        <f t="shared" si="435"/>
        <v>11973600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9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>x</v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09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433"/>
        <v>10</v>
      </c>
      <c r="C1571" s="37">
        <f t="shared" si="434"/>
        <v>41927</v>
      </c>
      <c r="D1571" s="191" t="s">
        <v>1377</v>
      </c>
      <c r="E1571" s="191">
        <v>41927</v>
      </c>
      <c r="F1571" s="192" t="s">
        <v>1075</v>
      </c>
      <c r="G1571" s="463"/>
      <c r="H1571" s="193" t="s">
        <v>1365</v>
      </c>
      <c r="I1571" s="251">
        <v>1821</v>
      </c>
      <c r="J1571" s="251">
        <v>7500</v>
      </c>
      <c r="K1571" s="563">
        <f t="shared" si="435"/>
        <v>13657500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9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>x</v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09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433"/>
        <v>10</v>
      </c>
      <c r="C1572" s="37">
        <f t="shared" si="434"/>
        <v>41927</v>
      </c>
      <c r="D1572" s="191" t="s">
        <v>1377</v>
      </c>
      <c r="E1572" s="191">
        <v>41927</v>
      </c>
      <c r="F1572" s="192" t="s">
        <v>1012</v>
      </c>
      <c r="G1572" s="463"/>
      <c r="H1572" s="193" t="s">
        <v>1365</v>
      </c>
      <c r="I1572" s="251">
        <v>4879</v>
      </c>
      <c r="J1572" s="251">
        <v>9600</v>
      </c>
      <c r="K1572" s="563">
        <f t="shared" si="435"/>
        <v>46838400</v>
      </c>
      <c r="L1572" s="39" t="s">
        <v>167</v>
      </c>
      <c r="M1572" s="39" t="s">
        <v>159</v>
      </c>
      <c r="N1572" s="52" t="str">
        <f>IF(AND('331-CT'!$E$7=TH!H1572,OR(L1572="331",M1572="331")),"331",IF(AND(OR(L1572="131",M1572="131"),H1572='131-CT'!$E$7),"131",""))</f>
        <v/>
      </c>
      <c r="O1572" s="89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09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433"/>
        <v>10</v>
      </c>
      <c r="C1573" s="37">
        <f t="shared" si="434"/>
        <v>41933</v>
      </c>
      <c r="D1573" s="191" t="s">
        <v>1377</v>
      </c>
      <c r="E1573" s="191">
        <v>41933</v>
      </c>
      <c r="F1573" s="192" t="s">
        <v>1075</v>
      </c>
      <c r="G1573" s="463"/>
      <c r="H1573" s="193" t="s">
        <v>1365</v>
      </c>
      <c r="I1573" s="251">
        <v>14240</v>
      </c>
      <c r="J1573" s="251">
        <v>8500</v>
      </c>
      <c r="K1573" s="563">
        <f t="shared" si="435"/>
        <v>121040000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9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>x</v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09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433"/>
        <v>10</v>
      </c>
      <c r="C1574" s="37">
        <f t="shared" si="434"/>
        <v>41933</v>
      </c>
      <c r="D1574" s="191" t="s">
        <v>1377</v>
      </c>
      <c r="E1574" s="191">
        <v>41933</v>
      </c>
      <c r="F1574" s="192" t="s">
        <v>1012</v>
      </c>
      <c r="G1574" s="463"/>
      <c r="H1574" s="193" t="s">
        <v>1365</v>
      </c>
      <c r="I1574" s="251">
        <v>5508</v>
      </c>
      <c r="J1574" s="251">
        <v>9600</v>
      </c>
      <c r="K1574" s="563">
        <f t="shared" si="435"/>
        <v>52876800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9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09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ref="B1575:B1620" si="436">IF(C1575&lt;&gt;"",MONTH(C1575),"")</f>
        <v>10</v>
      </c>
      <c r="C1575" s="37">
        <f t="shared" ref="C1575:C1582" si="437">E1575</f>
        <v>41939</v>
      </c>
      <c r="D1575" s="191" t="s">
        <v>1377</v>
      </c>
      <c r="E1575" s="191">
        <v>41939</v>
      </c>
      <c r="F1575" s="192" t="s">
        <v>1012</v>
      </c>
      <c r="G1575" s="463"/>
      <c r="H1575" s="193" t="s">
        <v>1365</v>
      </c>
      <c r="I1575" s="251">
        <v>5195</v>
      </c>
      <c r="J1575" s="251">
        <v>9600</v>
      </c>
      <c r="K1575" s="563">
        <f t="shared" ref="K1575:K1582" si="438">ROUND(I1575*J1575,0)</f>
        <v>49872000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9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09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436"/>
        <v>11</v>
      </c>
      <c r="C1576" s="37">
        <f t="shared" si="437"/>
        <v>41944</v>
      </c>
      <c r="D1576" s="191" t="s">
        <v>1377</v>
      </c>
      <c r="E1576" s="191">
        <v>41944</v>
      </c>
      <c r="F1576" s="192" t="s">
        <v>1012</v>
      </c>
      <c r="G1576" s="463"/>
      <c r="H1576" s="193" t="s">
        <v>1365</v>
      </c>
      <c r="I1576" s="251">
        <v>6242</v>
      </c>
      <c r="J1576" s="251">
        <v>9600</v>
      </c>
      <c r="K1576" s="563">
        <f t="shared" si="438"/>
        <v>59923200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9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09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436"/>
        <v>11</v>
      </c>
      <c r="C1577" s="37">
        <f t="shared" si="437"/>
        <v>41950</v>
      </c>
      <c r="D1577" s="191" t="s">
        <v>1377</v>
      </c>
      <c r="E1577" s="191">
        <v>41950</v>
      </c>
      <c r="F1577" s="192" t="s">
        <v>1012</v>
      </c>
      <c r="G1577" s="463"/>
      <c r="H1577" s="193" t="s">
        <v>1365</v>
      </c>
      <c r="I1577" s="251">
        <v>3526</v>
      </c>
      <c r="J1577" s="251">
        <v>9600</v>
      </c>
      <c r="K1577" s="563">
        <f t="shared" si="438"/>
        <v>33849600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9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09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436"/>
        <v>11</v>
      </c>
      <c r="C1578" s="37">
        <f t="shared" si="437"/>
        <v>41961</v>
      </c>
      <c r="D1578" s="191" t="s">
        <v>1377</v>
      </c>
      <c r="E1578" s="191">
        <v>41961</v>
      </c>
      <c r="F1578" s="192" t="s">
        <v>1075</v>
      </c>
      <c r="G1578" s="463"/>
      <c r="H1578" s="193" t="s">
        <v>1365</v>
      </c>
      <c r="I1578" s="251">
        <v>10090</v>
      </c>
      <c r="J1578" s="251">
        <v>8500</v>
      </c>
      <c r="K1578" s="563">
        <f t="shared" si="438"/>
        <v>85765000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9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>x</v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09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436"/>
        <v>11</v>
      </c>
      <c r="C1579" s="37">
        <f t="shared" si="437"/>
        <v>41964</v>
      </c>
      <c r="D1579" s="191" t="s">
        <v>1377</v>
      </c>
      <c r="E1579" s="191">
        <v>41964</v>
      </c>
      <c r="F1579" s="192" t="s">
        <v>1104</v>
      </c>
      <c r="G1579" s="463"/>
      <c r="H1579" s="193" t="s">
        <v>1365</v>
      </c>
      <c r="I1579" s="251">
        <v>2032</v>
      </c>
      <c r="J1579" s="251">
        <v>11600</v>
      </c>
      <c r="K1579" s="563">
        <f t="shared" si="438"/>
        <v>23571200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9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09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436"/>
        <v>12</v>
      </c>
      <c r="C1580" s="37">
        <f t="shared" si="437"/>
        <v>41974</v>
      </c>
      <c r="D1580" s="191" t="s">
        <v>1377</v>
      </c>
      <c r="E1580" s="191">
        <v>41974</v>
      </c>
      <c r="F1580" s="192" t="s">
        <v>1012</v>
      </c>
      <c r="G1580" s="463"/>
      <c r="H1580" s="193" t="s">
        <v>1365</v>
      </c>
      <c r="I1580" s="251">
        <v>4756</v>
      </c>
      <c r="J1580" s="251">
        <v>9600</v>
      </c>
      <c r="K1580" s="563">
        <f t="shared" si="438"/>
        <v>45657600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9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09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436"/>
        <v>12</v>
      </c>
      <c r="C1581" s="37">
        <f t="shared" si="437"/>
        <v>41988</v>
      </c>
      <c r="D1581" s="191" t="s">
        <v>1377</v>
      </c>
      <c r="E1581" s="191">
        <v>41988</v>
      </c>
      <c r="F1581" s="192" t="s">
        <v>1108</v>
      </c>
      <c r="G1581" s="463"/>
      <c r="H1581" s="193" t="s">
        <v>1365</v>
      </c>
      <c r="I1581" s="251">
        <v>1305</v>
      </c>
      <c r="J1581" s="251">
        <v>9600</v>
      </c>
      <c r="K1581" s="563">
        <f t="shared" si="438"/>
        <v>12528000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9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09"/>
    </row>
    <row r="1582" spans="1:28" s="850" customFormat="1" ht="15.75" customHeight="1">
      <c r="A1582" s="838" t="str">
        <f>IF(B1582&lt;&gt;"",IF(AND(B1582&gt;=_TM1,B1582&lt;=_TM2,OR(TH!L1582="1111",TH!M1582="1111")),TH!D1582,""),"")</f>
        <v/>
      </c>
      <c r="B1582" s="839">
        <f t="shared" si="436"/>
        <v>1</v>
      </c>
      <c r="C1582" s="927">
        <f t="shared" si="437"/>
        <v>41645</v>
      </c>
      <c r="D1582" s="841" t="s">
        <v>1378</v>
      </c>
      <c r="E1582" s="841">
        <v>41645</v>
      </c>
      <c r="F1582" s="851" t="s">
        <v>417</v>
      </c>
      <c r="G1582" s="852" t="s">
        <v>418</v>
      </c>
      <c r="H1582" s="844" t="s">
        <v>1371</v>
      </c>
      <c r="I1582" s="845">
        <v>2110</v>
      </c>
      <c r="J1582" s="845">
        <v>5680.7204068749725</v>
      </c>
      <c r="K1582" s="846">
        <f t="shared" si="438"/>
        <v>11986320</v>
      </c>
      <c r="L1582" s="928" t="s">
        <v>169</v>
      </c>
      <c r="M1582" s="847" t="s">
        <v>167</v>
      </c>
      <c r="N1582" s="52" t="str">
        <f>IF(AND('331-CT'!$E$7=TH!H1582,OR(L1582="331",M1582="331")),"331",IF(AND(OR(L1582="131",M1582="131"),H1582='131-CT'!$E$7),"131",""))</f>
        <v/>
      </c>
      <c r="O1582" s="89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8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436"/>
        <v>1</v>
      </c>
      <c r="C1583" s="48">
        <f t="shared" ref="C1583:C1646" si="439">E1583</f>
        <v>41645</v>
      </c>
      <c r="D1583" s="908" t="s">
        <v>1378</v>
      </c>
      <c r="E1583" s="908">
        <v>41645</v>
      </c>
      <c r="F1583" s="909" t="s">
        <v>421</v>
      </c>
      <c r="G1583" s="930" t="s">
        <v>422</v>
      </c>
      <c r="H1583" s="913" t="s">
        <v>1371</v>
      </c>
      <c r="I1583" s="249">
        <v>500</v>
      </c>
      <c r="J1583" s="249">
        <v>13025.593459007674</v>
      </c>
      <c r="K1583" s="910">
        <f t="shared" ref="K1583:K1646" si="440">ROUND(I1583*J1583,0)</f>
        <v>6512797</v>
      </c>
      <c r="L1583" s="890" t="s">
        <v>169</v>
      </c>
      <c r="M1583" s="929" t="s">
        <v>167</v>
      </c>
      <c r="N1583" s="52" t="str">
        <f>IF(AND('331-CT'!$E$7=TH!H1583,OR(L1583="331",M1583="331")),"331",IF(AND(OR(L1583="131",M1583="131"),H1583='131-CT'!$E$7),"131",""))</f>
        <v/>
      </c>
      <c r="O1583" s="89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8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436"/>
        <v>1</v>
      </c>
      <c r="C1584" s="48">
        <f t="shared" si="439"/>
        <v>41645</v>
      </c>
      <c r="D1584" s="908" t="s">
        <v>1378</v>
      </c>
      <c r="E1584" s="908">
        <v>41645</v>
      </c>
      <c r="F1584" s="909" t="s">
        <v>445</v>
      </c>
      <c r="G1584" s="930" t="s">
        <v>422</v>
      </c>
      <c r="H1584" s="913" t="s">
        <v>1371</v>
      </c>
      <c r="I1584" s="249">
        <v>1000</v>
      </c>
      <c r="J1584" s="249">
        <v>3577.5434590076748</v>
      </c>
      <c r="K1584" s="910">
        <f t="shared" si="440"/>
        <v>3577543</v>
      </c>
      <c r="L1584" s="890" t="s">
        <v>169</v>
      </c>
      <c r="M1584" s="929" t="s">
        <v>167</v>
      </c>
      <c r="N1584" s="52" t="str">
        <f>IF(AND('331-CT'!$E$7=TH!H1584,OR(L1584="331",M1584="331")),"331",IF(AND(OR(L1584="131",M1584="131"),H1584='131-CT'!$E$7),"131",""))</f>
        <v/>
      </c>
      <c r="O1584" s="89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8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436"/>
        <v>1</v>
      </c>
      <c r="C1585" s="48">
        <f t="shared" si="439"/>
        <v>41664</v>
      </c>
      <c r="D1585" s="908" t="s">
        <v>1378</v>
      </c>
      <c r="E1585" s="908">
        <v>41664</v>
      </c>
      <c r="F1585" s="909" t="s">
        <v>423</v>
      </c>
      <c r="G1585" s="930" t="s">
        <v>424</v>
      </c>
      <c r="H1585" s="913" t="s">
        <v>1371</v>
      </c>
      <c r="I1585" s="249">
        <v>510</v>
      </c>
      <c r="J1585" s="249">
        <v>9972.2724001841434</v>
      </c>
      <c r="K1585" s="910">
        <f t="shared" si="440"/>
        <v>5085859</v>
      </c>
      <c r="L1585" s="890" t="s">
        <v>169</v>
      </c>
      <c r="M1585" s="929" t="s">
        <v>167</v>
      </c>
      <c r="N1585" s="52" t="str">
        <f>IF(AND('331-CT'!$E$7=TH!H1585,OR(L1585="331",M1585="331")),"331",IF(AND(OR(L1585="131",M1585="131"),H1585='131-CT'!$E$7),"131",""))</f>
        <v/>
      </c>
      <c r="O1585" s="89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8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436"/>
        <v>1</v>
      </c>
      <c r="C1586" s="48">
        <f t="shared" si="439"/>
        <v>41664</v>
      </c>
      <c r="D1586" s="908" t="s">
        <v>1378</v>
      </c>
      <c r="E1586" s="908">
        <v>41664</v>
      </c>
      <c r="F1586" s="909" t="s">
        <v>426</v>
      </c>
      <c r="G1586" s="930" t="s">
        <v>427</v>
      </c>
      <c r="H1586" s="913" t="s">
        <v>1371</v>
      </c>
      <c r="I1586" s="249">
        <v>563</v>
      </c>
      <c r="J1586" s="249">
        <v>10837.503828457053</v>
      </c>
      <c r="K1586" s="910">
        <f t="shared" si="440"/>
        <v>6101515</v>
      </c>
      <c r="L1586" s="890" t="s">
        <v>169</v>
      </c>
      <c r="M1586" s="929" t="s">
        <v>167</v>
      </c>
      <c r="N1586" s="52" t="str">
        <f>IF(AND('331-CT'!$E$7=TH!H1586,OR(L1586="331",M1586="331")),"331",IF(AND(OR(L1586="131",M1586="131"),H1586='131-CT'!$E$7),"131",""))</f>
        <v/>
      </c>
      <c r="O1586" s="89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8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436"/>
        <v>1</v>
      </c>
      <c r="C1587" s="48">
        <f t="shared" si="439"/>
        <v>41664</v>
      </c>
      <c r="D1587" s="908" t="s">
        <v>1378</v>
      </c>
      <c r="E1587" s="908">
        <v>41664</v>
      </c>
      <c r="F1587" s="909" t="s">
        <v>428</v>
      </c>
      <c r="G1587" s="930" t="s">
        <v>427</v>
      </c>
      <c r="H1587" s="913" t="s">
        <v>1371</v>
      </c>
      <c r="I1587" s="249">
        <v>234</v>
      </c>
      <c r="J1587" s="249">
        <v>10412.910911999126</v>
      </c>
      <c r="K1587" s="910">
        <f t="shared" si="440"/>
        <v>2436621</v>
      </c>
      <c r="L1587" s="890" t="s">
        <v>169</v>
      </c>
      <c r="M1587" s="929" t="s">
        <v>167</v>
      </c>
      <c r="N1587" s="52" t="str">
        <f>IF(AND('331-CT'!$E$7=TH!H1587,OR(L1587="331",M1587="331")),"331",IF(AND(OR(L1587="131",M1587="131"),H1587='131-CT'!$E$7),"131",""))</f>
        <v/>
      </c>
      <c r="O1587" s="89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8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436"/>
        <v>1</v>
      </c>
      <c r="C1588" s="48">
        <f t="shared" si="439"/>
        <v>41664</v>
      </c>
      <c r="D1588" s="908" t="s">
        <v>1378</v>
      </c>
      <c r="E1588" s="908">
        <v>41664</v>
      </c>
      <c r="F1588" s="909" t="s">
        <v>429</v>
      </c>
      <c r="G1588" s="930" t="s">
        <v>427</v>
      </c>
      <c r="H1588" s="913" t="s">
        <v>1371</v>
      </c>
      <c r="I1588" s="249">
        <v>233</v>
      </c>
      <c r="J1588" s="249">
        <v>6855.1984289647553</v>
      </c>
      <c r="K1588" s="910">
        <f t="shared" si="440"/>
        <v>1597261</v>
      </c>
      <c r="L1588" s="890" t="s">
        <v>169</v>
      </c>
      <c r="M1588" s="929" t="s">
        <v>167</v>
      </c>
      <c r="N1588" s="52" t="str">
        <f>IF(AND('331-CT'!$E$7=TH!H1588,OR(L1588="331",M1588="331")),"331",IF(AND(OR(L1588="131",M1588="131"),H1588='131-CT'!$E$7),"131",""))</f>
        <v/>
      </c>
      <c r="O1588" s="89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8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436"/>
        <v>1</v>
      </c>
      <c r="C1589" s="48">
        <f t="shared" si="439"/>
        <v>41664</v>
      </c>
      <c r="D1589" s="908" t="s">
        <v>1378</v>
      </c>
      <c r="E1589" s="908">
        <v>41664</v>
      </c>
      <c r="F1589" s="909" t="s">
        <v>430</v>
      </c>
      <c r="G1589" s="930" t="s">
        <v>427</v>
      </c>
      <c r="H1589" s="913" t="s">
        <v>1371</v>
      </c>
      <c r="I1589" s="249">
        <v>308</v>
      </c>
      <c r="J1589" s="249">
        <v>9159.919459007675</v>
      </c>
      <c r="K1589" s="910">
        <f t="shared" si="440"/>
        <v>2821255</v>
      </c>
      <c r="L1589" s="890" t="s">
        <v>169</v>
      </c>
      <c r="M1589" s="929" t="s">
        <v>167</v>
      </c>
      <c r="N1589" s="52" t="str">
        <f>IF(AND('331-CT'!$E$7=TH!H1589,OR(L1589="331",M1589="331")),"331",IF(AND(OR(L1589="131",M1589="131"),H1589='131-CT'!$E$7),"131",""))</f>
        <v/>
      </c>
      <c r="O1589" s="89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8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436"/>
        <v>1</v>
      </c>
      <c r="C1590" s="48">
        <f t="shared" si="439"/>
        <v>41664</v>
      </c>
      <c r="D1590" s="908" t="s">
        <v>1378</v>
      </c>
      <c r="E1590" s="908">
        <v>41664</v>
      </c>
      <c r="F1590" s="909" t="s">
        <v>431</v>
      </c>
      <c r="G1590" s="930" t="s">
        <v>432</v>
      </c>
      <c r="H1590" s="913" t="s">
        <v>1371</v>
      </c>
      <c r="I1590" s="249">
        <v>1038</v>
      </c>
      <c r="J1590" s="249">
        <v>11549.3992277938</v>
      </c>
      <c r="K1590" s="910">
        <f t="shared" si="440"/>
        <v>11988276</v>
      </c>
      <c r="L1590" s="890" t="s">
        <v>169</v>
      </c>
      <c r="M1590" s="929" t="s">
        <v>167</v>
      </c>
      <c r="N1590" s="52" t="str">
        <f>IF(AND('331-CT'!$E$7=TH!H1590,OR(L1590="331",M1590="331")),"331",IF(AND(OR(L1590="131",M1590="131"),H1590='131-CT'!$E$7),"131",""))</f>
        <v/>
      </c>
      <c r="O1590" s="89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8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436"/>
        <v>1</v>
      </c>
      <c r="C1591" s="48">
        <f t="shared" si="439"/>
        <v>41664</v>
      </c>
      <c r="D1591" s="908" t="s">
        <v>1378</v>
      </c>
      <c r="E1591" s="908">
        <v>41664</v>
      </c>
      <c r="F1591" s="909" t="s">
        <v>433</v>
      </c>
      <c r="G1591" s="930" t="s">
        <v>434</v>
      </c>
      <c r="H1591" s="913" t="s">
        <v>1371</v>
      </c>
      <c r="I1591" s="249">
        <v>200</v>
      </c>
      <c r="J1591" s="249">
        <v>13565.829459007673</v>
      </c>
      <c r="K1591" s="910">
        <f t="shared" si="440"/>
        <v>2713166</v>
      </c>
      <c r="L1591" s="890" t="s">
        <v>169</v>
      </c>
      <c r="M1591" s="929" t="s">
        <v>167</v>
      </c>
      <c r="N1591" s="52" t="str">
        <f>IF(AND('331-CT'!$E$7=TH!H1591,OR(L1591="331",M1591="331")),"331",IF(AND(OR(L1591="131",M1591="131"),H1591='131-CT'!$E$7),"131",""))</f>
        <v/>
      </c>
      <c r="O1591" s="89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8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436"/>
        <v>2</v>
      </c>
      <c r="C1592" s="48">
        <f t="shared" si="439"/>
        <v>41684</v>
      </c>
      <c r="D1592" s="908" t="s">
        <v>1378</v>
      </c>
      <c r="E1592" s="908">
        <v>41684</v>
      </c>
      <c r="F1592" s="909" t="s">
        <v>436</v>
      </c>
      <c r="G1592" s="930" t="s">
        <v>437</v>
      </c>
      <c r="H1592" s="913" t="s">
        <v>1371</v>
      </c>
      <c r="I1592" s="249">
        <v>588</v>
      </c>
      <c r="J1592" s="249">
        <v>9650.7885066267208</v>
      </c>
      <c r="K1592" s="910">
        <f t="shared" si="440"/>
        <v>5674664</v>
      </c>
      <c r="L1592" s="890" t="s">
        <v>169</v>
      </c>
      <c r="M1592" s="929" t="s">
        <v>167</v>
      </c>
      <c r="N1592" s="52" t="str">
        <f>IF(AND('331-CT'!$E$7=TH!H1592,OR(L1592="331",M1592="331")),"331",IF(AND(OR(L1592="131",M1592="131"),H1592='131-CT'!$E$7),"131",""))</f>
        <v/>
      </c>
      <c r="O1592" s="89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8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436"/>
        <v>2</v>
      </c>
      <c r="C1593" s="48">
        <f t="shared" si="439"/>
        <v>41684</v>
      </c>
      <c r="D1593" s="908" t="s">
        <v>1378</v>
      </c>
      <c r="E1593" s="908">
        <v>41684</v>
      </c>
      <c r="F1593" s="909" t="s">
        <v>436</v>
      </c>
      <c r="G1593" s="930" t="s">
        <v>437</v>
      </c>
      <c r="H1593" s="913" t="s">
        <v>1371</v>
      </c>
      <c r="I1593" s="249">
        <v>598</v>
      </c>
      <c r="J1593" s="249">
        <v>9008.9077533220534</v>
      </c>
      <c r="K1593" s="910">
        <f t="shared" si="440"/>
        <v>5387327</v>
      </c>
      <c r="L1593" s="890" t="s">
        <v>169</v>
      </c>
      <c r="M1593" s="929" t="s">
        <v>167</v>
      </c>
      <c r="N1593" s="52" t="str">
        <f>IF(AND('331-CT'!$E$7=TH!H1593,OR(L1593="331",M1593="331")),"331",IF(AND(OR(L1593="131",M1593="131"),H1593='131-CT'!$E$7),"131",""))</f>
        <v/>
      </c>
      <c r="O1593" s="89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8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436"/>
        <v>2</v>
      </c>
      <c r="C1594" s="48">
        <f t="shared" si="439"/>
        <v>41689</v>
      </c>
      <c r="D1594" s="908" t="s">
        <v>1378</v>
      </c>
      <c r="E1594" s="908">
        <v>41689</v>
      </c>
      <c r="F1594" s="909" t="s">
        <v>439</v>
      </c>
      <c r="G1594" s="930" t="s">
        <v>440</v>
      </c>
      <c r="H1594" s="913" t="s">
        <v>1371</v>
      </c>
      <c r="I1594" s="249">
        <v>160</v>
      </c>
      <c r="J1594" s="249">
        <v>16891.169459007673</v>
      </c>
      <c r="K1594" s="910">
        <f t="shared" si="440"/>
        <v>2702587</v>
      </c>
      <c r="L1594" s="890" t="s">
        <v>169</v>
      </c>
      <c r="M1594" s="929" t="s">
        <v>167</v>
      </c>
      <c r="N1594" s="52" t="str">
        <f>IF(AND('331-CT'!$E$7=TH!H1594,OR(L1594="331",M1594="331")),"331",IF(AND(OR(L1594="131",M1594="131"),H1594='131-CT'!$E$7),"131",""))</f>
        <v/>
      </c>
      <c r="O1594" s="89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8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436"/>
        <v>2</v>
      </c>
      <c r="C1595" s="48">
        <f t="shared" si="439"/>
        <v>41690</v>
      </c>
      <c r="D1595" s="908" t="s">
        <v>1378</v>
      </c>
      <c r="E1595" s="908">
        <v>41690</v>
      </c>
      <c r="F1595" s="909" t="s">
        <v>423</v>
      </c>
      <c r="G1595" s="930" t="s">
        <v>442</v>
      </c>
      <c r="H1595" s="913" t="s">
        <v>1371</v>
      </c>
      <c r="I1595" s="249">
        <v>500</v>
      </c>
      <c r="J1595" s="249">
        <v>10971.519459007675</v>
      </c>
      <c r="K1595" s="910">
        <f t="shared" si="440"/>
        <v>5485760</v>
      </c>
      <c r="L1595" s="890" t="s">
        <v>169</v>
      </c>
      <c r="M1595" s="929" t="s">
        <v>167</v>
      </c>
      <c r="N1595" s="52" t="str">
        <f>IF(AND('331-CT'!$E$7=TH!H1595,OR(L1595="331",M1595="331")),"331",IF(AND(OR(L1595="131",M1595="131"),H1595='131-CT'!$E$7),"131",""))</f>
        <v/>
      </c>
      <c r="O1595" s="89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8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436"/>
        <v>2</v>
      </c>
      <c r="C1596" s="48">
        <f t="shared" si="439"/>
        <v>41691</v>
      </c>
      <c r="D1596" s="908" t="s">
        <v>1378</v>
      </c>
      <c r="E1596" s="908">
        <v>41691</v>
      </c>
      <c r="F1596" s="909" t="s">
        <v>436</v>
      </c>
      <c r="G1596" s="930" t="s">
        <v>443</v>
      </c>
      <c r="H1596" s="913" t="s">
        <v>1371</v>
      </c>
      <c r="I1596" s="249">
        <v>608</v>
      </c>
      <c r="J1596" s="249">
        <v>9390.7829458497781</v>
      </c>
      <c r="K1596" s="910">
        <f t="shared" si="440"/>
        <v>5709596</v>
      </c>
      <c r="L1596" s="890" t="s">
        <v>169</v>
      </c>
      <c r="M1596" s="929" t="s">
        <v>167</v>
      </c>
      <c r="N1596" s="52" t="str">
        <f>IF(AND('331-CT'!$E$7=TH!H1596,OR(L1596="331",M1596="331")),"331",IF(AND(OR(L1596="131",M1596="131"),H1596='131-CT'!$E$7),"131",""))</f>
        <v/>
      </c>
      <c r="O1596" s="89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8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436"/>
        <v>2</v>
      </c>
      <c r="C1597" s="48">
        <f t="shared" si="439"/>
        <v>41691</v>
      </c>
      <c r="D1597" s="908" t="s">
        <v>1378</v>
      </c>
      <c r="E1597" s="908">
        <v>41691</v>
      </c>
      <c r="F1597" s="909" t="s">
        <v>436</v>
      </c>
      <c r="G1597" s="930" t="s">
        <v>443</v>
      </c>
      <c r="H1597" s="913" t="s">
        <v>1371</v>
      </c>
      <c r="I1597" s="249">
        <v>633</v>
      </c>
      <c r="J1597" s="249">
        <v>10034.349158849696</v>
      </c>
      <c r="K1597" s="910">
        <f t="shared" si="440"/>
        <v>6351743</v>
      </c>
      <c r="L1597" s="890" t="s">
        <v>169</v>
      </c>
      <c r="M1597" s="929" t="s">
        <v>167</v>
      </c>
      <c r="N1597" s="52" t="str">
        <f>IF(AND('331-CT'!$E$7=TH!H1597,OR(L1597="331",M1597="331")),"331",IF(AND(OR(L1597="131",M1597="131"),H1597='131-CT'!$E$7),"131",""))</f>
        <v/>
      </c>
      <c r="O1597" s="89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8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436"/>
        <v>2</v>
      </c>
      <c r="C1598" s="48">
        <f t="shared" si="439"/>
        <v>41694</v>
      </c>
      <c r="D1598" s="908" t="s">
        <v>1378</v>
      </c>
      <c r="E1598" s="908">
        <v>41694</v>
      </c>
      <c r="F1598" s="909" t="s">
        <v>421</v>
      </c>
      <c r="G1598" s="930" t="s">
        <v>444</v>
      </c>
      <c r="H1598" s="913" t="s">
        <v>1371</v>
      </c>
      <c r="I1598" s="249">
        <v>490</v>
      </c>
      <c r="J1598" s="249">
        <v>15685.93986717094</v>
      </c>
      <c r="K1598" s="910">
        <f t="shared" si="440"/>
        <v>7686111</v>
      </c>
      <c r="L1598" s="890" t="s">
        <v>169</v>
      </c>
      <c r="M1598" s="929" t="s">
        <v>167</v>
      </c>
      <c r="N1598" s="52" t="str">
        <f>IF(AND('331-CT'!$E$7=TH!H1598,OR(L1598="331",M1598="331")),"331",IF(AND(OR(L1598="131",M1598="131"),H1598='131-CT'!$E$7),"131",""))</f>
        <v/>
      </c>
      <c r="O1598" s="89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8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si="436"/>
        <v>2</v>
      </c>
      <c r="C1599" s="48">
        <f t="shared" si="439"/>
        <v>41694</v>
      </c>
      <c r="D1599" s="908" t="s">
        <v>1378</v>
      </c>
      <c r="E1599" s="908">
        <v>41694</v>
      </c>
      <c r="F1599" s="909" t="s">
        <v>445</v>
      </c>
      <c r="G1599" s="930" t="s">
        <v>444</v>
      </c>
      <c r="H1599" s="913" t="s">
        <v>1371</v>
      </c>
      <c r="I1599" s="249">
        <v>980</v>
      </c>
      <c r="J1599" s="249">
        <v>3001.7561937015516</v>
      </c>
      <c r="K1599" s="910">
        <f t="shared" si="440"/>
        <v>2941721</v>
      </c>
      <c r="L1599" s="890" t="s">
        <v>169</v>
      </c>
      <c r="M1599" s="929" t="s">
        <v>167</v>
      </c>
      <c r="N1599" s="52" t="str">
        <f>IF(AND('331-CT'!$E$7=TH!H1599,OR(L1599="331",M1599="331")),"331",IF(AND(OR(L1599="131",M1599="131"),H1599='131-CT'!$E$7),"131",""))</f>
        <v/>
      </c>
      <c r="O1599" s="89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8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436"/>
        <v>2</v>
      </c>
      <c r="C1600" s="48">
        <f t="shared" si="439"/>
        <v>41697</v>
      </c>
      <c r="D1600" s="908" t="s">
        <v>1378</v>
      </c>
      <c r="E1600" s="908">
        <v>41697</v>
      </c>
      <c r="F1600" s="909" t="s">
        <v>446</v>
      </c>
      <c r="G1600" s="930" t="s">
        <v>447</v>
      </c>
      <c r="H1600" s="913" t="s">
        <v>1371</v>
      </c>
      <c r="I1600" s="249">
        <v>2500</v>
      </c>
      <c r="J1600" s="249">
        <v>5003.919459007674</v>
      </c>
      <c r="K1600" s="910">
        <f t="shared" si="440"/>
        <v>12509799</v>
      </c>
      <c r="L1600" s="890" t="s">
        <v>169</v>
      </c>
      <c r="M1600" s="929" t="s">
        <v>167</v>
      </c>
      <c r="N1600" s="52" t="str">
        <f>IF(AND('331-CT'!$E$7=TH!H1600,OR(L1600="331",M1600="331")),"331",IF(AND(OR(L1600="131",M1600="131"),H1600='131-CT'!$E$7),"131",""))</f>
        <v/>
      </c>
      <c r="O1600" s="89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8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436"/>
        <v>2</v>
      </c>
      <c r="C1601" s="48">
        <f t="shared" si="439"/>
        <v>41698</v>
      </c>
      <c r="D1601" s="908" t="s">
        <v>1378</v>
      </c>
      <c r="E1601" s="908">
        <v>41698</v>
      </c>
      <c r="F1601" s="909" t="s">
        <v>448</v>
      </c>
      <c r="G1601" s="930" t="s">
        <v>449</v>
      </c>
      <c r="H1601" s="913" t="s">
        <v>1371</v>
      </c>
      <c r="I1601" s="249">
        <v>313</v>
      </c>
      <c r="J1601" s="249">
        <v>7422.4593951099105</v>
      </c>
      <c r="K1601" s="910">
        <f t="shared" si="440"/>
        <v>2323230</v>
      </c>
      <c r="L1601" s="890" t="s">
        <v>169</v>
      </c>
      <c r="M1601" s="929" t="s">
        <v>167</v>
      </c>
      <c r="N1601" s="52" t="str">
        <f>IF(AND('331-CT'!$E$7=TH!H1601,OR(L1601="331",M1601="331")),"331",IF(AND(OR(L1601="131",M1601="131"),H1601='131-CT'!$E$7),"131",""))</f>
        <v/>
      </c>
      <c r="O1601" s="89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8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436"/>
        <v>2</v>
      </c>
      <c r="C1602" s="48">
        <f t="shared" si="439"/>
        <v>41698</v>
      </c>
      <c r="D1602" s="908" t="s">
        <v>1378</v>
      </c>
      <c r="E1602" s="908">
        <v>41698</v>
      </c>
      <c r="F1602" s="909" t="s">
        <v>430</v>
      </c>
      <c r="G1602" s="930" t="s">
        <v>449</v>
      </c>
      <c r="H1602" s="913" t="s">
        <v>1371</v>
      </c>
      <c r="I1602" s="249">
        <v>586</v>
      </c>
      <c r="J1602" s="249">
        <v>8975.8716774377081</v>
      </c>
      <c r="K1602" s="910">
        <f t="shared" si="440"/>
        <v>5259861</v>
      </c>
      <c r="L1602" s="890" t="s">
        <v>169</v>
      </c>
      <c r="M1602" s="929" t="s">
        <v>167</v>
      </c>
      <c r="N1602" s="52" t="str">
        <f>IF(AND('331-CT'!$E$7=TH!H1602,OR(L1602="331",M1602="331")),"331",IF(AND(OR(L1602="131",M1602="131"),H1602='131-CT'!$E$7),"131",""))</f>
        <v/>
      </c>
      <c r="O1602" s="89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8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436"/>
        <v>2</v>
      </c>
      <c r="C1603" s="48">
        <f t="shared" si="439"/>
        <v>41698</v>
      </c>
      <c r="D1603" s="908" t="s">
        <v>1378</v>
      </c>
      <c r="E1603" s="908">
        <v>41698</v>
      </c>
      <c r="F1603" s="909" t="s">
        <v>450</v>
      </c>
      <c r="G1603" s="930" t="s">
        <v>449</v>
      </c>
      <c r="H1603" s="913" t="s">
        <v>1371</v>
      </c>
      <c r="I1603" s="249">
        <v>310</v>
      </c>
      <c r="J1603" s="249">
        <v>13042.958168685092</v>
      </c>
      <c r="K1603" s="910">
        <f t="shared" si="440"/>
        <v>4043317</v>
      </c>
      <c r="L1603" s="890" t="s">
        <v>169</v>
      </c>
      <c r="M1603" s="929" t="s">
        <v>167</v>
      </c>
      <c r="N1603" s="52" t="str">
        <f>IF(AND('331-CT'!$E$7=TH!H1603,OR(L1603="331",M1603="331")),"331",IF(AND(OR(L1603="131",M1603="131"),H1603='131-CT'!$E$7),"131",""))</f>
        <v/>
      </c>
      <c r="O1603" s="89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8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436"/>
        <v>2</v>
      </c>
      <c r="C1604" s="48">
        <f t="shared" si="439"/>
        <v>41698</v>
      </c>
      <c r="D1604" s="908" t="s">
        <v>1378</v>
      </c>
      <c r="E1604" s="908">
        <v>41698</v>
      </c>
      <c r="F1604" s="909" t="s">
        <v>451</v>
      </c>
      <c r="G1604" s="930" t="s">
        <v>449</v>
      </c>
      <c r="H1604" s="913" t="s">
        <v>1371</v>
      </c>
      <c r="I1604" s="249">
        <v>200</v>
      </c>
      <c r="J1604" s="249">
        <v>9206.669459007675</v>
      </c>
      <c r="K1604" s="910">
        <f t="shared" si="440"/>
        <v>1841334</v>
      </c>
      <c r="L1604" s="890" t="s">
        <v>169</v>
      </c>
      <c r="M1604" s="929" t="s">
        <v>167</v>
      </c>
      <c r="N1604" s="52" t="str">
        <f>IF(AND('331-CT'!$E$7=TH!H1604,OR(L1604="331",M1604="331")),"331",IF(AND(OR(L1604="131",M1604="131"),H1604='131-CT'!$E$7),"131",""))</f>
        <v/>
      </c>
      <c r="O1604" s="89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8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436"/>
        <v>2</v>
      </c>
      <c r="C1605" s="48">
        <f t="shared" si="439"/>
        <v>41698</v>
      </c>
      <c r="D1605" s="908" t="s">
        <v>1378</v>
      </c>
      <c r="E1605" s="908">
        <v>41698</v>
      </c>
      <c r="F1605" s="909" t="s">
        <v>452</v>
      </c>
      <c r="G1605" s="930" t="s">
        <v>453</v>
      </c>
      <c r="H1605" s="913" t="s">
        <v>1371</v>
      </c>
      <c r="I1605" s="249">
        <v>210</v>
      </c>
      <c r="J1605" s="249">
        <v>12999.919459007671</v>
      </c>
      <c r="K1605" s="910">
        <f t="shared" si="440"/>
        <v>2729983</v>
      </c>
      <c r="L1605" s="890" t="s">
        <v>169</v>
      </c>
      <c r="M1605" s="929" t="s">
        <v>167</v>
      </c>
      <c r="N1605" s="52" t="str">
        <f>IF(AND('331-CT'!$E$7=TH!H1605,OR(L1605="331",M1605="331")),"331",IF(AND(OR(L1605="131",M1605="131"),H1605='131-CT'!$E$7),"131",""))</f>
        <v/>
      </c>
      <c r="O1605" s="89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8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436"/>
        <v>2</v>
      </c>
      <c r="C1606" s="48">
        <f t="shared" si="439"/>
        <v>41698</v>
      </c>
      <c r="D1606" s="908" t="s">
        <v>1378</v>
      </c>
      <c r="E1606" s="908">
        <v>41698</v>
      </c>
      <c r="F1606" s="909" t="s">
        <v>455</v>
      </c>
      <c r="G1606" s="930" t="s">
        <v>453</v>
      </c>
      <c r="H1606" s="913" t="s">
        <v>1371</v>
      </c>
      <c r="I1606" s="249">
        <v>250</v>
      </c>
      <c r="J1606" s="249">
        <v>11940.847459007675</v>
      </c>
      <c r="K1606" s="910">
        <f t="shared" si="440"/>
        <v>2985212</v>
      </c>
      <c r="L1606" s="890" t="s">
        <v>169</v>
      </c>
      <c r="M1606" s="929" t="s">
        <v>167</v>
      </c>
      <c r="N1606" s="52" t="str">
        <f>IF(AND('331-CT'!$E$7=TH!H1606,OR(L1606="331",M1606="331")),"331",IF(AND(OR(L1606="131",M1606="131"),H1606='131-CT'!$E$7),"131",""))</f>
        <v/>
      </c>
      <c r="O1606" s="89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8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436"/>
        <v>2</v>
      </c>
      <c r="C1607" s="48">
        <f t="shared" si="439"/>
        <v>41698</v>
      </c>
      <c r="D1607" s="908" t="s">
        <v>1378</v>
      </c>
      <c r="E1607" s="908">
        <v>41698</v>
      </c>
      <c r="F1607" s="909" t="s">
        <v>456</v>
      </c>
      <c r="G1607" s="930" t="s">
        <v>453</v>
      </c>
      <c r="H1607" s="913" t="s">
        <v>1371</v>
      </c>
      <c r="I1607" s="249">
        <v>100</v>
      </c>
      <c r="J1607" s="249">
        <v>9496.5394590076739</v>
      </c>
      <c r="K1607" s="910">
        <f t="shared" si="440"/>
        <v>949654</v>
      </c>
      <c r="L1607" s="890" t="s">
        <v>169</v>
      </c>
      <c r="M1607" s="929" t="s">
        <v>167</v>
      </c>
      <c r="N1607" s="52" t="str">
        <f>IF(AND('331-CT'!$E$7=TH!H1607,OR(L1607="331",M1607="331")),"331",IF(AND(OR(L1607="131",M1607="131"),H1607='131-CT'!$E$7),"131",""))</f>
        <v/>
      </c>
      <c r="O1607" s="89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8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436"/>
        <v>2</v>
      </c>
      <c r="C1608" s="48">
        <f t="shared" si="439"/>
        <v>41698</v>
      </c>
      <c r="D1608" s="908" t="s">
        <v>1378</v>
      </c>
      <c r="E1608" s="908">
        <v>41698</v>
      </c>
      <c r="F1608" s="909" t="s">
        <v>446</v>
      </c>
      <c r="G1608" s="930" t="s">
        <v>457</v>
      </c>
      <c r="H1608" s="913" t="s">
        <v>1371</v>
      </c>
      <c r="I1608" s="249">
        <v>500</v>
      </c>
      <c r="J1608" s="249">
        <v>7080.5194590076744</v>
      </c>
      <c r="K1608" s="910">
        <f t="shared" si="440"/>
        <v>3540260</v>
      </c>
      <c r="L1608" s="890" t="s">
        <v>169</v>
      </c>
      <c r="M1608" s="929" t="s">
        <v>167</v>
      </c>
      <c r="N1608" s="52" t="str">
        <f>IF(AND('331-CT'!$E$7=TH!H1608,OR(L1608="331",M1608="331")),"331",IF(AND(OR(L1608="131",M1608="131"),H1608='131-CT'!$E$7),"131",""))</f>
        <v/>
      </c>
      <c r="O1608" s="89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8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436"/>
        <v>3</v>
      </c>
      <c r="C1609" s="48">
        <f t="shared" si="439"/>
        <v>41702</v>
      </c>
      <c r="D1609" s="908" t="s">
        <v>1378</v>
      </c>
      <c r="E1609" s="908">
        <v>41702</v>
      </c>
      <c r="F1609" s="909" t="s">
        <v>459</v>
      </c>
      <c r="G1609" s="930" t="s">
        <v>460</v>
      </c>
      <c r="H1609" s="913" t="s">
        <v>1371</v>
      </c>
      <c r="I1609" s="249">
        <v>1115</v>
      </c>
      <c r="J1609" s="249">
        <v>9170.6817908462381</v>
      </c>
      <c r="K1609" s="910">
        <f t="shared" si="440"/>
        <v>10225310</v>
      </c>
      <c r="L1609" s="890" t="s">
        <v>169</v>
      </c>
      <c r="M1609" s="929" t="s">
        <v>167</v>
      </c>
      <c r="N1609" s="52" t="str">
        <f>IF(AND('331-CT'!$E$7=TH!H1609,OR(L1609="331",M1609="331")),"331",IF(AND(OR(L1609="131",M1609="131"),H1609='131-CT'!$E$7),"131",""))</f>
        <v/>
      </c>
      <c r="O1609" s="89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8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436"/>
        <v>3</v>
      </c>
      <c r="C1610" s="48">
        <f t="shared" si="439"/>
        <v>41704</v>
      </c>
      <c r="D1610" s="908" t="s">
        <v>1378</v>
      </c>
      <c r="E1610" s="908">
        <v>41704</v>
      </c>
      <c r="F1610" s="909" t="s">
        <v>423</v>
      </c>
      <c r="G1610" s="930" t="s">
        <v>462</v>
      </c>
      <c r="H1610" s="913" t="s">
        <v>1371</v>
      </c>
      <c r="I1610" s="249">
        <v>505</v>
      </c>
      <c r="J1610" s="249">
        <v>10767.840251086884</v>
      </c>
      <c r="K1610" s="910">
        <f t="shared" si="440"/>
        <v>5437759</v>
      </c>
      <c r="L1610" s="890" t="s">
        <v>169</v>
      </c>
      <c r="M1610" s="929" t="s">
        <v>167</v>
      </c>
      <c r="N1610" s="52" t="str">
        <f>IF(AND('331-CT'!$E$7=TH!H1610,OR(L1610="331",M1610="331")),"331",IF(AND(OR(L1610="131",M1610="131"),H1610='131-CT'!$E$7),"131",""))</f>
        <v/>
      </c>
      <c r="O1610" s="89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8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436"/>
        <v>3</v>
      </c>
      <c r="C1611" s="48">
        <f t="shared" si="439"/>
        <v>41704</v>
      </c>
      <c r="D1611" s="908" t="s">
        <v>1378</v>
      </c>
      <c r="E1611" s="908">
        <v>41704</v>
      </c>
      <c r="F1611" s="909" t="s">
        <v>463</v>
      </c>
      <c r="G1611" s="930" t="s">
        <v>462</v>
      </c>
      <c r="H1611" s="913" t="s">
        <v>1371</v>
      </c>
      <c r="I1611" s="249">
        <v>520</v>
      </c>
      <c r="J1611" s="249">
        <v>12576.842535930751</v>
      </c>
      <c r="K1611" s="910">
        <f t="shared" si="440"/>
        <v>6539958</v>
      </c>
      <c r="L1611" s="890" t="s">
        <v>169</v>
      </c>
      <c r="M1611" s="929" t="s">
        <v>167</v>
      </c>
      <c r="N1611" s="52" t="str">
        <f>IF(AND('331-CT'!$E$7=TH!H1611,OR(L1611="331",M1611="331")),"331",IF(AND(OR(L1611="131",M1611="131"),H1611='131-CT'!$E$7),"131",""))</f>
        <v/>
      </c>
      <c r="O1611" s="89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8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436"/>
        <v>3</v>
      </c>
      <c r="C1612" s="48">
        <f t="shared" si="439"/>
        <v>41704</v>
      </c>
      <c r="D1612" s="908" t="s">
        <v>1378</v>
      </c>
      <c r="E1612" s="908">
        <v>41704</v>
      </c>
      <c r="F1612" s="909" t="s">
        <v>446</v>
      </c>
      <c r="G1612" s="930" t="s">
        <v>464</v>
      </c>
      <c r="H1612" s="913" t="s">
        <v>1371</v>
      </c>
      <c r="I1612" s="249">
        <v>1139</v>
      </c>
      <c r="J1612" s="249">
        <v>4787.0063773571028</v>
      </c>
      <c r="K1612" s="910">
        <f t="shared" si="440"/>
        <v>5452400</v>
      </c>
      <c r="L1612" s="890" t="s">
        <v>169</v>
      </c>
      <c r="M1612" s="929" t="s">
        <v>167</v>
      </c>
      <c r="N1612" s="52" t="str">
        <f>IF(AND('331-CT'!$E$7=TH!H1612,OR(L1612="331",M1612="331")),"331",IF(AND(OR(L1612="131",M1612="131"),H1612='131-CT'!$E$7),"131",""))</f>
        <v/>
      </c>
      <c r="O1612" s="89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8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436"/>
        <v>3</v>
      </c>
      <c r="C1613" s="48">
        <f t="shared" si="439"/>
        <v>41710</v>
      </c>
      <c r="D1613" s="908" t="s">
        <v>1378</v>
      </c>
      <c r="E1613" s="908">
        <v>41710</v>
      </c>
      <c r="F1613" s="909" t="s">
        <v>466</v>
      </c>
      <c r="G1613" s="930" t="s">
        <v>467</v>
      </c>
      <c r="H1613" s="913" t="s">
        <v>1371</v>
      </c>
      <c r="I1613" s="249">
        <v>1638</v>
      </c>
      <c r="J1613" s="249">
        <v>5423.7485188367345</v>
      </c>
      <c r="K1613" s="910">
        <f t="shared" si="440"/>
        <v>8884100</v>
      </c>
      <c r="L1613" s="890" t="s">
        <v>169</v>
      </c>
      <c r="M1613" s="929" t="s">
        <v>167</v>
      </c>
      <c r="N1613" s="52" t="str">
        <f>IF(AND('331-CT'!$E$7=TH!H1613,OR(L1613="331",M1613="331")),"331",IF(AND(OR(L1613="131",M1613="131"),H1613='131-CT'!$E$7),"131",""))</f>
        <v/>
      </c>
      <c r="O1613" s="89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8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436"/>
        <v>3</v>
      </c>
      <c r="C1614" s="48">
        <f t="shared" si="439"/>
        <v>41718</v>
      </c>
      <c r="D1614" s="908" t="s">
        <v>1378</v>
      </c>
      <c r="E1614" s="908">
        <v>41718</v>
      </c>
      <c r="F1614" s="909" t="s">
        <v>446</v>
      </c>
      <c r="G1614" s="930" t="s">
        <v>468</v>
      </c>
      <c r="H1614" s="913" t="s">
        <v>1371</v>
      </c>
      <c r="I1614" s="249">
        <v>110</v>
      </c>
      <c r="J1614" s="249">
        <v>13019.119459007674</v>
      </c>
      <c r="K1614" s="910">
        <f t="shared" si="440"/>
        <v>1432103</v>
      </c>
      <c r="L1614" s="890" t="s">
        <v>169</v>
      </c>
      <c r="M1614" s="929" t="s">
        <v>167</v>
      </c>
      <c r="N1614" s="52" t="str">
        <f>IF(AND('331-CT'!$E$7=TH!H1614,OR(L1614="331",M1614="331")),"331",IF(AND(OR(L1614="131",M1614="131"),H1614='131-CT'!$E$7),"131",""))</f>
        <v/>
      </c>
      <c r="O1614" s="89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8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436"/>
        <v>3</v>
      </c>
      <c r="C1615" s="48">
        <f t="shared" si="439"/>
        <v>41718</v>
      </c>
      <c r="D1615" s="908" t="s">
        <v>1378</v>
      </c>
      <c r="E1615" s="908">
        <v>41718</v>
      </c>
      <c r="F1615" s="909" t="s">
        <v>470</v>
      </c>
      <c r="G1615" s="930" t="s">
        <v>468</v>
      </c>
      <c r="H1615" s="913" t="s">
        <v>1371</v>
      </c>
      <c r="I1615" s="249">
        <v>880</v>
      </c>
      <c r="J1615" s="249">
        <v>5071.339913553129</v>
      </c>
      <c r="K1615" s="910">
        <f t="shared" si="440"/>
        <v>4462779</v>
      </c>
      <c r="L1615" s="890" t="s">
        <v>169</v>
      </c>
      <c r="M1615" s="929" t="s">
        <v>167</v>
      </c>
      <c r="N1615" s="52" t="str">
        <f>IF(AND('331-CT'!$E$7=TH!H1615,OR(L1615="331",M1615="331")),"331",IF(AND(OR(L1615="131",M1615="131"),H1615='131-CT'!$E$7),"131",""))</f>
        <v/>
      </c>
      <c r="O1615" s="89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8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436"/>
        <v>3</v>
      </c>
      <c r="C1616" s="48">
        <f t="shared" si="439"/>
        <v>41720</v>
      </c>
      <c r="D1616" s="908" t="s">
        <v>1378</v>
      </c>
      <c r="E1616" s="908">
        <v>41720</v>
      </c>
      <c r="F1616" s="909" t="s">
        <v>446</v>
      </c>
      <c r="G1616" s="930" t="s">
        <v>471</v>
      </c>
      <c r="H1616" s="913" t="s">
        <v>1371</v>
      </c>
      <c r="I1616" s="249">
        <v>214</v>
      </c>
      <c r="J1616" s="249">
        <v>19833.797963680572</v>
      </c>
      <c r="K1616" s="910">
        <f t="shared" si="440"/>
        <v>4244433</v>
      </c>
      <c r="L1616" s="890" t="s">
        <v>169</v>
      </c>
      <c r="M1616" s="929" t="s">
        <v>167</v>
      </c>
      <c r="N1616" s="52" t="str">
        <f>IF(AND('331-CT'!$E$7=TH!H1616,OR(L1616="331",M1616="331")),"331",IF(AND(OR(L1616="131",M1616="131"),H1616='131-CT'!$E$7),"131",""))</f>
        <v/>
      </c>
      <c r="O1616" s="89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8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436"/>
        <v>3</v>
      </c>
      <c r="C1617" s="48">
        <f t="shared" si="439"/>
        <v>41724</v>
      </c>
      <c r="D1617" s="908" t="s">
        <v>1378</v>
      </c>
      <c r="E1617" s="908">
        <v>41724</v>
      </c>
      <c r="F1617" s="909" t="s">
        <v>473</v>
      </c>
      <c r="G1617" s="930" t="s">
        <v>474</v>
      </c>
      <c r="H1617" s="913" t="s">
        <v>1371</v>
      </c>
      <c r="I1617" s="249">
        <v>1029</v>
      </c>
      <c r="J1617" s="249">
        <v>12279.93889535364</v>
      </c>
      <c r="K1617" s="910">
        <f t="shared" si="440"/>
        <v>12636057</v>
      </c>
      <c r="L1617" s="890" t="s">
        <v>169</v>
      </c>
      <c r="M1617" s="929" t="s">
        <v>167</v>
      </c>
      <c r="N1617" s="52" t="str">
        <f>IF(AND('331-CT'!$E$7=TH!H1617,OR(L1617="331",M1617="331")),"331",IF(AND(OR(L1617="131",M1617="131"),H1617='131-CT'!$E$7),"131",""))</f>
        <v/>
      </c>
      <c r="O1617" s="89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8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436"/>
        <v>3</v>
      </c>
      <c r="C1618" s="48">
        <f t="shared" si="439"/>
        <v>41728</v>
      </c>
      <c r="D1618" s="908" t="s">
        <v>1378</v>
      </c>
      <c r="E1618" s="908">
        <v>41728</v>
      </c>
      <c r="F1618" s="909" t="s">
        <v>475</v>
      </c>
      <c r="G1618" s="930" t="s">
        <v>476</v>
      </c>
      <c r="H1618" s="913" t="s">
        <v>1371</v>
      </c>
      <c r="I1618" s="249">
        <v>400</v>
      </c>
      <c r="J1618" s="249">
        <v>3532.3194590076732</v>
      </c>
      <c r="K1618" s="910">
        <f t="shared" si="440"/>
        <v>1412928</v>
      </c>
      <c r="L1618" s="890" t="s">
        <v>169</v>
      </c>
      <c r="M1618" s="929" t="s">
        <v>167</v>
      </c>
      <c r="N1618" s="52" t="str">
        <f>IF(AND('331-CT'!$E$7=TH!H1618,OR(L1618="331",M1618="331")),"331",IF(AND(OR(L1618="131",M1618="131"),H1618='131-CT'!$E$7),"131",""))</f>
        <v/>
      </c>
      <c r="O1618" s="89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8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436"/>
        <v>3</v>
      </c>
      <c r="C1619" s="48">
        <f t="shared" si="439"/>
        <v>41728</v>
      </c>
      <c r="D1619" s="908" t="s">
        <v>1378</v>
      </c>
      <c r="E1619" s="908">
        <v>41728</v>
      </c>
      <c r="F1619" s="909" t="s">
        <v>478</v>
      </c>
      <c r="G1619" s="930" t="s">
        <v>476</v>
      </c>
      <c r="H1619" s="913" t="s">
        <v>1371</v>
      </c>
      <c r="I1619" s="249">
        <v>600</v>
      </c>
      <c r="J1619" s="249">
        <v>3532.3194590076741</v>
      </c>
      <c r="K1619" s="910">
        <f t="shared" si="440"/>
        <v>2119392</v>
      </c>
      <c r="L1619" s="890" t="s">
        <v>169</v>
      </c>
      <c r="M1619" s="929" t="s">
        <v>167</v>
      </c>
      <c r="N1619" s="52" t="str">
        <f>IF(AND('331-CT'!$E$7=TH!H1619,OR(L1619="331",M1619="331")),"331",IF(AND(OR(L1619="131",M1619="131"),H1619='131-CT'!$E$7),"131",""))</f>
        <v/>
      </c>
      <c r="O1619" s="89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8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436"/>
        <v>3</v>
      </c>
      <c r="C1620" s="48">
        <f t="shared" si="439"/>
        <v>41728</v>
      </c>
      <c r="D1620" s="908" t="s">
        <v>1378</v>
      </c>
      <c r="E1620" s="908">
        <v>41728</v>
      </c>
      <c r="F1620" s="909" t="s">
        <v>479</v>
      </c>
      <c r="G1620" s="930" t="s">
        <v>476</v>
      </c>
      <c r="H1620" s="913" t="s">
        <v>1371</v>
      </c>
      <c r="I1620" s="249">
        <v>400</v>
      </c>
      <c r="J1620" s="249">
        <v>3065.8394590076741</v>
      </c>
      <c r="K1620" s="910">
        <f t="shared" si="440"/>
        <v>1226336</v>
      </c>
      <c r="L1620" s="890" t="s">
        <v>169</v>
      </c>
      <c r="M1620" s="929" t="s">
        <v>167</v>
      </c>
      <c r="N1620" s="52" t="str">
        <f>IF(AND('331-CT'!$E$7=TH!H1620,OR(L1620="331",M1620="331")),"331",IF(AND(OR(L1620="131",M1620="131"),H1620='131-CT'!$E$7),"131",""))</f>
        <v/>
      </c>
      <c r="O1620" s="89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8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441">IF(C1621&lt;&gt;"",MONTH(C1621),"")</f>
        <v>3</v>
      </c>
      <c r="C1621" s="48">
        <f t="shared" si="439"/>
        <v>41728</v>
      </c>
      <c r="D1621" s="908" t="s">
        <v>1378</v>
      </c>
      <c r="E1621" s="908">
        <v>41728</v>
      </c>
      <c r="F1621" s="909" t="s">
        <v>480</v>
      </c>
      <c r="G1621" s="930" t="s">
        <v>476</v>
      </c>
      <c r="H1621" s="913" t="s">
        <v>1371</v>
      </c>
      <c r="I1621" s="249">
        <v>50</v>
      </c>
      <c r="J1621" s="249">
        <v>13019.119459007674</v>
      </c>
      <c r="K1621" s="910">
        <f t="shared" si="440"/>
        <v>650956</v>
      </c>
      <c r="L1621" s="890" t="s">
        <v>169</v>
      </c>
      <c r="M1621" s="929" t="s">
        <v>167</v>
      </c>
      <c r="N1621" s="52" t="str">
        <f>IF(AND('331-CT'!$E$7=TH!H1621,OR(L1621="331",M1621="331")),"331",IF(AND(OR(L1621="131",M1621="131"),H1621='131-CT'!$E$7),"131",""))</f>
        <v/>
      </c>
      <c r="O1621" s="89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8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441"/>
        <v>3</v>
      </c>
      <c r="C1622" s="48">
        <f t="shared" si="439"/>
        <v>41728</v>
      </c>
      <c r="D1622" s="908" t="s">
        <v>1378</v>
      </c>
      <c r="E1622" s="908">
        <v>41728</v>
      </c>
      <c r="F1622" s="909" t="s">
        <v>481</v>
      </c>
      <c r="G1622" s="930" t="s">
        <v>482</v>
      </c>
      <c r="H1622" s="913" t="s">
        <v>1371</v>
      </c>
      <c r="I1622" s="249">
        <v>500</v>
      </c>
      <c r="J1622" s="249">
        <v>16600.119459007674</v>
      </c>
      <c r="K1622" s="910">
        <f t="shared" si="440"/>
        <v>8300060</v>
      </c>
      <c r="L1622" s="890" t="s">
        <v>169</v>
      </c>
      <c r="M1622" s="929" t="s">
        <v>167</v>
      </c>
      <c r="N1622" s="52" t="str">
        <f>IF(AND('331-CT'!$E$7=TH!H1622,OR(L1622="331",M1622="331")),"331",IF(AND(OR(L1622="131",M1622="131"),H1622='131-CT'!$E$7),"131",""))</f>
        <v/>
      </c>
      <c r="O1622" s="89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8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441"/>
        <v>3</v>
      </c>
      <c r="C1623" s="48">
        <f t="shared" si="439"/>
        <v>41728</v>
      </c>
      <c r="D1623" s="908" t="s">
        <v>1378</v>
      </c>
      <c r="E1623" s="908">
        <v>41728</v>
      </c>
      <c r="F1623" s="909" t="s">
        <v>445</v>
      </c>
      <c r="G1623" s="930" t="s">
        <v>482</v>
      </c>
      <c r="H1623" s="913" t="s">
        <v>1371</v>
      </c>
      <c r="I1623" s="249">
        <v>1000</v>
      </c>
      <c r="J1623" s="249">
        <v>2993.2394590076738</v>
      </c>
      <c r="K1623" s="910">
        <f t="shared" si="440"/>
        <v>2993239</v>
      </c>
      <c r="L1623" s="890" t="s">
        <v>169</v>
      </c>
      <c r="M1623" s="929" t="s">
        <v>167</v>
      </c>
      <c r="N1623" s="52" t="str">
        <f>IF(AND('331-CT'!$E$7=TH!H1623,OR(L1623="331",M1623="331")),"331",IF(AND(OR(L1623="131",M1623="131"),H1623='131-CT'!$E$7),"131",""))</f>
        <v/>
      </c>
      <c r="O1623" s="89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8"/>
    </row>
    <row r="1624" spans="1:28" s="850" customFormat="1" ht="15.75" customHeight="1">
      <c r="A1624" s="838" t="str">
        <f>IF(B1624&lt;&gt;"",IF(AND(B1624&gt;=_TM1,B1624&lt;=_TM2,OR(TH!L1624="1111",TH!M1624="1111")),TH!D1624,""),"")</f>
        <v/>
      </c>
      <c r="B1624" s="839">
        <f t="shared" si="441"/>
        <v>4</v>
      </c>
      <c r="C1624" s="927">
        <f t="shared" si="439"/>
        <v>41730</v>
      </c>
      <c r="D1624" s="908" t="s">
        <v>1378</v>
      </c>
      <c r="E1624" s="841">
        <v>41730</v>
      </c>
      <c r="F1624" s="851" t="s">
        <v>483</v>
      </c>
      <c r="G1624" s="852" t="s">
        <v>484</v>
      </c>
      <c r="H1624" s="844" t="s">
        <v>1371</v>
      </c>
      <c r="I1624" s="845">
        <v>302</v>
      </c>
      <c r="J1624" s="845">
        <v>12611.745371492716</v>
      </c>
      <c r="K1624" s="846">
        <f t="shared" si="440"/>
        <v>3808747</v>
      </c>
      <c r="L1624" s="928" t="s">
        <v>169</v>
      </c>
      <c r="M1624" s="847" t="s">
        <v>167</v>
      </c>
      <c r="N1624" s="52" t="str">
        <f>IF(AND('331-CT'!$E$7=TH!H1624,OR(L1624="331",M1624="331")),"331",IF(AND(OR(L1624="131",M1624="131"),H1624='131-CT'!$E$7),"131",""))</f>
        <v/>
      </c>
      <c r="O1624" s="89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8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441"/>
        <v>4</v>
      </c>
      <c r="C1625" s="48">
        <f t="shared" si="439"/>
        <v>41730</v>
      </c>
      <c r="D1625" s="908" t="s">
        <v>1378</v>
      </c>
      <c r="E1625" s="908">
        <v>41730</v>
      </c>
      <c r="F1625" s="909" t="s">
        <v>485</v>
      </c>
      <c r="G1625" s="930" t="s">
        <v>484</v>
      </c>
      <c r="H1625" s="913" t="s">
        <v>1371</v>
      </c>
      <c r="I1625" s="249">
        <v>300</v>
      </c>
      <c r="J1625" s="249">
        <v>6589.9341132145682</v>
      </c>
      <c r="K1625" s="910">
        <f t="shared" si="440"/>
        <v>1976980</v>
      </c>
      <c r="L1625" s="890" t="s">
        <v>169</v>
      </c>
      <c r="M1625" s="929" t="s">
        <v>167</v>
      </c>
      <c r="N1625" s="52" t="str">
        <f>IF(AND('331-CT'!$E$7=TH!H1625,OR(L1625="331",M1625="331")),"331",IF(AND(OR(L1625="131",M1625="131"),H1625='131-CT'!$E$7),"131",""))</f>
        <v/>
      </c>
      <c r="O1625" s="89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8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441"/>
        <v>4</v>
      </c>
      <c r="C1626" s="48">
        <f t="shared" si="439"/>
        <v>41730</v>
      </c>
      <c r="D1626" s="908" t="s">
        <v>1378</v>
      </c>
      <c r="E1626" s="908">
        <v>41730</v>
      </c>
      <c r="F1626" s="909" t="s">
        <v>486</v>
      </c>
      <c r="G1626" s="930" t="s">
        <v>484</v>
      </c>
      <c r="H1626" s="913" t="s">
        <v>1371</v>
      </c>
      <c r="I1626" s="249">
        <v>402</v>
      </c>
      <c r="J1626" s="249">
        <v>9672.7375958016328</v>
      </c>
      <c r="K1626" s="910">
        <f t="shared" si="440"/>
        <v>3888441</v>
      </c>
      <c r="L1626" s="890" t="s">
        <v>169</v>
      </c>
      <c r="M1626" s="929" t="s">
        <v>167</v>
      </c>
      <c r="N1626" s="52" t="str">
        <f>IF(AND('331-CT'!$E$7=TH!H1626,OR(L1626="331",M1626="331")),"331",IF(AND(OR(L1626="131",M1626="131"),H1626='131-CT'!$E$7),"131",""))</f>
        <v/>
      </c>
      <c r="O1626" s="89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8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441"/>
        <v>4</v>
      </c>
      <c r="C1627" s="48">
        <f t="shared" si="439"/>
        <v>41730</v>
      </c>
      <c r="D1627" s="908" t="s">
        <v>1378</v>
      </c>
      <c r="E1627" s="908">
        <v>41730</v>
      </c>
      <c r="F1627" s="909" t="s">
        <v>487</v>
      </c>
      <c r="G1627" s="930" t="s">
        <v>484</v>
      </c>
      <c r="H1627" s="913" t="s">
        <v>1371</v>
      </c>
      <c r="I1627" s="249">
        <v>550</v>
      </c>
      <c r="J1627" s="249">
        <v>6743.2522950327502</v>
      </c>
      <c r="K1627" s="910">
        <f t="shared" si="440"/>
        <v>3708789</v>
      </c>
      <c r="L1627" s="890" t="s">
        <v>169</v>
      </c>
      <c r="M1627" s="929" t="s">
        <v>167</v>
      </c>
      <c r="N1627" s="52" t="str">
        <f>IF(AND('331-CT'!$E$7=TH!H1627,OR(L1627="331",M1627="331")),"331",IF(AND(OR(L1627="131",M1627="131"),H1627='131-CT'!$E$7),"131",""))</f>
        <v/>
      </c>
      <c r="O1627" s="89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8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441"/>
        <v>4</v>
      </c>
      <c r="C1628" s="48">
        <f t="shared" si="439"/>
        <v>41730</v>
      </c>
      <c r="D1628" s="908" t="s">
        <v>1378</v>
      </c>
      <c r="E1628" s="908">
        <v>41730</v>
      </c>
      <c r="F1628" s="909" t="s">
        <v>488</v>
      </c>
      <c r="G1628" s="930" t="s">
        <v>489</v>
      </c>
      <c r="H1628" s="913" t="s">
        <v>1371</v>
      </c>
      <c r="I1628" s="249">
        <v>260</v>
      </c>
      <c r="J1628" s="249">
        <v>13772.645651676105</v>
      </c>
      <c r="K1628" s="910">
        <f t="shared" si="440"/>
        <v>3580888</v>
      </c>
      <c r="L1628" s="890" t="s">
        <v>169</v>
      </c>
      <c r="M1628" s="929" t="s">
        <v>167</v>
      </c>
      <c r="N1628" s="52" t="str">
        <f>IF(AND('331-CT'!$E$7=TH!H1628,OR(L1628="331",M1628="331")),"331",IF(AND(OR(L1628="131",M1628="131"),H1628='131-CT'!$E$7),"131",""))</f>
        <v/>
      </c>
      <c r="O1628" s="89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8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441"/>
        <v>4</v>
      </c>
      <c r="C1629" s="48">
        <f t="shared" si="439"/>
        <v>41730</v>
      </c>
      <c r="D1629" s="908" t="s">
        <v>1378</v>
      </c>
      <c r="E1629" s="908">
        <v>41730</v>
      </c>
      <c r="F1629" s="909" t="s">
        <v>491</v>
      </c>
      <c r="G1629" s="930" t="s">
        <v>489</v>
      </c>
      <c r="H1629" s="913" t="s">
        <v>1371</v>
      </c>
      <c r="I1629" s="249">
        <v>2100</v>
      </c>
      <c r="J1629" s="249">
        <v>2758.2674465479013</v>
      </c>
      <c r="K1629" s="910">
        <f t="shared" si="440"/>
        <v>5792362</v>
      </c>
      <c r="L1629" s="890" t="s">
        <v>169</v>
      </c>
      <c r="M1629" s="929" t="s">
        <v>167</v>
      </c>
      <c r="N1629" s="52" t="str">
        <f>IF(AND('331-CT'!$E$7=TH!H1629,OR(L1629="331",M1629="331")),"331",IF(AND(OR(L1629="131",M1629="131"),H1629='131-CT'!$E$7),"131",""))</f>
        <v/>
      </c>
      <c r="O1629" s="89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8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441"/>
        <v>4</v>
      </c>
      <c r="C1630" s="48">
        <f t="shared" si="439"/>
        <v>41733</v>
      </c>
      <c r="D1630" s="908" t="s">
        <v>1378</v>
      </c>
      <c r="E1630" s="908">
        <v>41733</v>
      </c>
      <c r="F1630" s="909" t="s">
        <v>492</v>
      </c>
      <c r="G1630" s="930" t="s">
        <v>493</v>
      </c>
      <c r="H1630" s="913" t="s">
        <v>1371</v>
      </c>
      <c r="I1630" s="249">
        <v>325</v>
      </c>
      <c r="J1630" s="249">
        <v>7671.5418055222617</v>
      </c>
      <c r="K1630" s="910">
        <f t="shared" si="440"/>
        <v>2493251</v>
      </c>
      <c r="L1630" s="890" t="s">
        <v>169</v>
      </c>
      <c r="M1630" s="929" t="s">
        <v>167</v>
      </c>
      <c r="N1630" s="52" t="str">
        <f>IF(AND('331-CT'!$E$7=TH!H1630,OR(L1630="331",M1630="331")),"331",IF(AND(OR(L1630="131",M1630="131"),H1630='131-CT'!$E$7),"131",""))</f>
        <v/>
      </c>
      <c r="O1630" s="89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8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441"/>
        <v>4</v>
      </c>
      <c r="C1631" s="48">
        <f t="shared" si="439"/>
        <v>41733</v>
      </c>
      <c r="D1631" s="908" t="s">
        <v>1378</v>
      </c>
      <c r="E1631" s="908">
        <v>41733</v>
      </c>
      <c r="F1631" s="909" t="s">
        <v>494</v>
      </c>
      <c r="G1631" s="930" t="s">
        <v>493</v>
      </c>
      <c r="H1631" s="913" t="s">
        <v>1371</v>
      </c>
      <c r="I1631" s="249">
        <v>577</v>
      </c>
      <c r="J1631" s="249">
        <v>7336.2070768194199</v>
      </c>
      <c r="K1631" s="910">
        <f t="shared" si="440"/>
        <v>4232991</v>
      </c>
      <c r="L1631" s="890" t="s">
        <v>169</v>
      </c>
      <c r="M1631" s="929" t="s">
        <v>167</v>
      </c>
      <c r="N1631" s="52" t="str">
        <f>IF(AND('331-CT'!$E$7=TH!H1631,OR(L1631="331",M1631="331")),"331",IF(AND(OR(L1631="131",M1631="131"),H1631='131-CT'!$E$7),"131",""))</f>
        <v/>
      </c>
      <c r="O1631" s="89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8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441"/>
        <v>4</v>
      </c>
      <c r="C1632" s="48">
        <f t="shared" si="439"/>
        <v>41740</v>
      </c>
      <c r="D1632" s="908" t="s">
        <v>1378</v>
      </c>
      <c r="E1632" s="908">
        <v>41740</v>
      </c>
      <c r="F1632" s="909" t="s">
        <v>436</v>
      </c>
      <c r="G1632" s="930" t="s">
        <v>495</v>
      </c>
      <c r="H1632" s="913" t="s">
        <v>1371</v>
      </c>
      <c r="I1632" s="249">
        <v>720</v>
      </c>
      <c r="J1632" s="249">
        <v>10494.434113214567</v>
      </c>
      <c r="K1632" s="910">
        <f t="shared" si="440"/>
        <v>7555993</v>
      </c>
      <c r="L1632" s="890" t="s">
        <v>169</v>
      </c>
      <c r="M1632" s="929" t="s">
        <v>167</v>
      </c>
      <c r="N1632" s="52" t="str">
        <f>IF(AND('331-CT'!$E$7=TH!H1632,OR(L1632="331",M1632="331")),"331",IF(AND(OR(L1632="131",M1632="131"),H1632='131-CT'!$E$7),"131",""))</f>
        <v/>
      </c>
      <c r="O1632" s="89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8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441"/>
        <v>4</v>
      </c>
      <c r="C1633" s="48">
        <f t="shared" si="439"/>
        <v>41740</v>
      </c>
      <c r="D1633" s="908" t="s">
        <v>1378</v>
      </c>
      <c r="E1633" s="908">
        <v>41740</v>
      </c>
      <c r="F1633" s="909" t="s">
        <v>496</v>
      </c>
      <c r="G1633" s="930" t="s">
        <v>495</v>
      </c>
      <c r="H1633" s="913" t="s">
        <v>1371</v>
      </c>
      <c r="I1633" s="249">
        <v>340</v>
      </c>
      <c r="J1633" s="249">
        <v>8638.4694073322153</v>
      </c>
      <c r="K1633" s="910">
        <f t="shared" si="440"/>
        <v>2937080</v>
      </c>
      <c r="L1633" s="890" t="s">
        <v>169</v>
      </c>
      <c r="M1633" s="929" t="s">
        <v>167</v>
      </c>
      <c r="N1633" s="52" t="str">
        <f>IF(AND('331-CT'!$E$7=TH!H1633,OR(L1633="331",M1633="331")),"331",IF(AND(OR(L1633="131",M1633="131"),H1633='131-CT'!$E$7),"131",""))</f>
        <v/>
      </c>
      <c r="O1633" s="89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8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441"/>
        <v>4</v>
      </c>
      <c r="C1634" s="48">
        <f t="shared" si="439"/>
        <v>41744</v>
      </c>
      <c r="D1634" s="908" t="s">
        <v>1378</v>
      </c>
      <c r="E1634" s="908">
        <v>41744</v>
      </c>
      <c r="F1634" s="909" t="s">
        <v>497</v>
      </c>
      <c r="G1634" s="930" t="s">
        <v>498</v>
      </c>
      <c r="H1634" s="913" t="s">
        <v>1371</v>
      </c>
      <c r="I1634" s="249">
        <v>100</v>
      </c>
      <c r="J1634" s="249">
        <v>8822.4341132145673</v>
      </c>
      <c r="K1634" s="910">
        <f t="shared" si="440"/>
        <v>882243</v>
      </c>
      <c r="L1634" s="890" t="s">
        <v>169</v>
      </c>
      <c r="M1634" s="929" t="s">
        <v>167</v>
      </c>
      <c r="N1634" s="52" t="str">
        <f>IF(AND('331-CT'!$E$7=TH!H1634,OR(L1634="331",M1634="331")),"331",IF(AND(OR(L1634="131",M1634="131"),H1634='131-CT'!$E$7),"131",""))</f>
        <v/>
      </c>
      <c r="O1634" s="89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8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441"/>
        <v>4</v>
      </c>
      <c r="C1635" s="48">
        <f t="shared" si="439"/>
        <v>41746</v>
      </c>
      <c r="D1635" s="908" t="s">
        <v>1378</v>
      </c>
      <c r="E1635" s="908">
        <v>41746</v>
      </c>
      <c r="F1635" s="909" t="s">
        <v>459</v>
      </c>
      <c r="G1635" s="930" t="s">
        <v>499</v>
      </c>
      <c r="H1635" s="913" t="s">
        <v>1371</v>
      </c>
      <c r="I1635" s="249">
        <v>1015</v>
      </c>
      <c r="J1635" s="249">
        <v>8276.4883004066851</v>
      </c>
      <c r="K1635" s="910">
        <f t="shared" si="440"/>
        <v>8400636</v>
      </c>
      <c r="L1635" s="890" t="s">
        <v>169</v>
      </c>
      <c r="M1635" s="929" t="s">
        <v>167</v>
      </c>
      <c r="N1635" s="52" t="str">
        <f>IF(AND('331-CT'!$E$7=TH!H1635,OR(L1635="331",M1635="331")),"331",IF(AND(OR(L1635="131",M1635="131"),H1635='131-CT'!$E$7),"131",""))</f>
        <v/>
      </c>
      <c r="O1635" s="89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8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441"/>
        <v>4</v>
      </c>
      <c r="C1636" s="48">
        <f t="shared" si="439"/>
        <v>41746</v>
      </c>
      <c r="D1636" s="908" t="s">
        <v>1378</v>
      </c>
      <c r="E1636" s="908">
        <v>41746</v>
      </c>
      <c r="F1636" s="909" t="s">
        <v>500</v>
      </c>
      <c r="G1636" s="930" t="s">
        <v>501</v>
      </c>
      <c r="H1636" s="913" t="s">
        <v>1371</v>
      </c>
      <c r="I1636" s="249">
        <v>436</v>
      </c>
      <c r="J1636" s="249">
        <v>5425.5212691778706</v>
      </c>
      <c r="K1636" s="910">
        <f t="shared" si="440"/>
        <v>2365527</v>
      </c>
      <c r="L1636" s="890" t="s">
        <v>169</v>
      </c>
      <c r="M1636" s="929" t="s">
        <v>167</v>
      </c>
      <c r="N1636" s="52" t="str">
        <f>IF(AND('331-CT'!$E$7=TH!H1636,OR(L1636="331",M1636="331")),"331",IF(AND(OR(L1636="131",M1636="131"),H1636='131-CT'!$E$7),"131",""))</f>
        <v/>
      </c>
      <c r="O1636" s="89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8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441"/>
        <v>4</v>
      </c>
      <c r="C1637" s="48">
        <f t="shared" si="439"/>
        <v>41746</v>
      </c>
      <c r="D1637" s="908" t="s">
        <v>1378</v>
      </c>
      <c r="E1637" s="908">
        <v>41746</v>
      </c>
      <c r="F1637" s="909" t="s">
        <v>503</v>
      </c>
      <c r="G1637" s="930" t="s">
        <v>501</v>
      </c>
      <c r="H1637" s="913" t="s">
        <v>1371</v>
      </c>
      <c r="I1637" s="249">
        <v>302</v>
      </c>
      <c r="J1637" s="249">
        <v>4051.5798085788065</v>
      </c>
      <c r="K1637" s="910">
        <f t="shared" si="440"/>
        <v>1223577</v>
      </c>
      <c r="L1637" s="890" t="s">
        <v>169</v>
      </c>
      <c r="M1637" s="929" t="s">
        <v>167</v>
      </c>
      <c r="N1637" s="52" t="str">
        <f>IF(AND('331-CT'!$E$7=TH!H1637,OR(L1637="331",M1637="331")),"331",IF(AND(OR(L1637="131",M1637="131"),H1637='131-CT'!$E$7),"131",""))</f>
        <v/>
      </c>
      <c r="O1637" s="89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8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441"/>
        <v>4</v>
      </c>
      <c r="C1638" s="48">
        <f t="shared" si="439"/>
        <v>41746</v>
      </c>
      <c r="D1638" s="908" t="s">
        <v>1378</v>
      </c>
      <c r="E1638" s="908">
        <v>41746</v>
      </c>
      <c r="F1638" s="909" t="s">
        <v>504</v>
      </c>
      <c r="G1638" s="930" t="s">
        <v>501</v>
      </c>
      <c r="H1638" s="913" t="s">
        <v>1371</v>
      </c>
      <c r="I1638" s="249">
        <v>303</v>
      </c>
      <c r="J1638" s="249">
        <v>6169.0776775710046</v>
      </c>
      <c r="K1638" s="910">
        <f t="shared" si="440"/>
        <v>1869231</v>
      </c>
      <c r="L1638" s="890" t="s">
        <v>169</v>
      </c>
      <c r="M1638" s="929" t="s">
        <v>167</v>
      </c>
      <c r="N1638" s="52" t="str">
        <f>IF(AND('331-CT'!$E$7=TH!H1638,OR(L1638="331",M1638="331")),"331",IF(AND(OR(L1638="131",M1638="131"),H1638='131-CT'!$E$7),"131",""))</f>
        <v/>
      </c>
      <c r="O1638" s="89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8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441"/>
        <v>4</v>
      </c>
      <c r="C1639" s="48">
        <f t="shared" si="439"/>
        <v>41746</v>
      </c>
      <c r="D1639" s="908" t="s">
        <v>1378</v>
      </c>
      <c r="E1639" s="908">
        <v>41746</v>
      </c>
      <c r="F1639" s="909" t="s">
        <v>406</v>
      </c>
      <c r="G1639" s="930" t="s">
        <v>501</v>
      </c>
      <c r="H1639" s="913" t="s">
        <v>1371</v>
      </c>
      <c r="I1639" s="249">
        <v>200</v>
      </c>
      <c r="J1639" s="249">
        <v>6415.4341132145673</v>
      </c>
      <c r="K1639" s="910">
        <f t="shared" si="440"/>
        <v>1283087</v>
      </c>
      <c r="L1639" s="890" t="s">
        <v>169</v>
      </c>
      <c r="M1639" s="929" t="s">
        <v>167</v>
      </c>
      <c r="N1639" s="52" t="str">
        <f>IF(AND('331-CT'!$E$7=TH!H1639,OR(L1639="331",M1639="331")),"331",IF(AND(OR(L1639="131",M1639="131"),H1639='131-CT'!$E$7),"131",""))</f>
        <v/>
      </c>
      <c r="O1639" s="89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8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441"/>
        <v>4</v>
      </c>
      <c r="C1640" s="48">
        <f t="shared" si="439"/>
        <v>41748</v>
      </c>
      <c r="D1640" s="908" t="s">
        <v>1378</v>
      </c>
      <c r="E1640" s="908">
        <v>41748</v>
      </c>
      <c r="F1640" s="909" t="s">
        <v>417</v>
      </c>
      <c r="G1640" s="930" t="s">
        <v>505</v>
      </c>
      <c r="H1640" s="913" t="s">
        <v>1371</v>
      </c>
      <c r="I1640" s="249">
        <v>1856</v>
      </c>
      <c r="J1640" s="249">
        <v>4725.9448890766371</v>
      </c>
      <c r="K1640" s="910">
        <f t="shared" si="440"/>
        <v>8771354</v>
      </c>
      <c r="L1640" s="890" t="s">
        <v>169</v>
      </c>
      <c r="M1640" s="929" t="s">
        <v>167</v>
      </c>
      <c r="N1640" s="52" t="str">
        <f>IF(AND('331-CT'!$E$7=TH!H1640,OR(L1640="331",M1640="331")),"331",IF(AND(OR(L1640="131",M1640="131"),H1640='131-CT'!$E$7),"131",""))</f>
        <v/>
      </c>
      <c r="O1640" s="89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8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441"/>
        <v>4</v>
      </c>
      <c r="C1641" s="48">
        <f t="shared" si="439"/>
        <v>41750</v>
      </c>
      <c r="D1641" s="908" t="s">
        <v>1378</v>
      </c>
      <c r="E1641" s="908">
        <v>41750</v>
      </c>
      <c r="F1641" s="909" t="s">
        <v>421</v>
      </c>
      <c r="G1641" s="930" t="s">
        <v>506</v>
      </c>
      <c r="H1641" s="913" t="s">
        <v>1371</v>
      </c>
      <c r="I1641" s="249">
        <v>500</v>
      </c>
      <c r="J1641" s="249">
        <v>16293.434113214569</v>
      </c>
      <c r="K1641" s="910">
        <f t="shared" si="440"/>
        <v>8146717</v>
      </c>
      <c r="L1641" s="890" t="s">
        <v>169</v>
      </c>
      <c r="M1641" s="929" t="s">
        <v>167</v>
      </c>
      <c r="N1641" s="52" t="str">
        <f>IF(AND('331-CT'!$E$7=TH!H1641,OR(L1641="331",M1641="331")),"331",IF(AND(OR(L1641="131",M1641="131"),H1641='131-CT'!$E$7),"131",""))</f>
        <v/>
      </c>
      <c r="O1641" s="89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8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441"/>
        <v>4</v>
      </c>
      <c r="C1642" s="48">
        <f t="shared" si="439"/>
        <v>41750</v>
      </c>
      <c r="D1642" s="908" t="s">
        <v>1378</v>
      </c>
      <c r="E1642" s="908">
        <v>41750</v>
      </c>
      <c r="F1642" s="909" t="s">
        <v>445</v>
      </c>
      <c r="G1642" s="930" t="s">
        <v>506</v>
      </c>
      <c r="H1642" s="913" t="s">
        <v>1371</v>
      </c>
      <c r="I1642" s="249">
        <v>1000</v>
      </c>
      <c r="J1642" s="249">
        <v>1608.2641132145682</v>
      </c>
      <c r="K1642" s="910">
        <f t="shared" si="440"/>
        <v>1608264</v>
      </c>
      <c r="L1642" s="890" t="s">
        <v>169</v>
      </c>
      <c r="M1642" s="929" t="s">
        <v>167</v>
      </c>
      <c r="N1642" s="52" t="str">
        <f>IF(AND('331-CT'!$E$7=TH!H1642,OR(L1642="331",M1642="331")),"331",IF(AND(OR(L1642="131",M1642="131"),H1642='131-CT'!$E$7),"131",""))</f>
        <v/>
      </c>
      <c r="O1642" s="89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8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441"/>
        <v>4</v>
      </c>
      <c r="C1643" s="48">
        <f t="shared" si="439"/>
        <v>41752</v>
      </c>
      <c r="D1643" s="908" t="s">
        <v>1378</v>
      </c>
      <c r="E1643" s="908">
        <v>41752</v>
      </c>
      <c r="F1643" s="909" t="s">
        <v>423</v>
      </c>
      <c r="G1643" s="930" t="s">
        <v>507</v>
      </c>
      <c r="H1643" s="913" t="s">
        <v>1371</v>
      </c>
      <c r="I1643" s="249">
        <v>500</v>
      </c>
      <c r="J1643" s="249">
        <v>7133.3761132145682</v>
      </c>
      <c r="K1643" s="910">
        <f t="shared" si="440"/>
        <v>3566688</v>
      </c>
      <c r="L1643" s="890" t="s">
        <v>169</v>
      </c>
      <c r="M1643" s="929" t="s">
        <v>167</v>
      </c>
      <c r="N1643" s="52" t="str">
        <f>IF(AND('331-CT'!$E$7=TH!H1643,OR(L1643="331",M1643="331")),"331",IF(AND(OR(L1643="131",M1643="131"),H1643='131-CT'!$E$7),"131",""))</f>
        <v/>
      </c>
      <c r="O1643" s="89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8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441"/>
        <v>4</v>
      </c>
      <c r="C1644" s="48">
        <f t="shared" si="439"/>
        <v>41752</v>
      </c>
      <c r="D1644" s="908" t="s">
        <v>1378</v>
      </c>
      <c r="E1644" s="908">
        <v>41752</v>
      </c>
      <c r="F1644" s="909" t="s">
        <v>423</v>
      </c>
      <c r="G1644" s="930" t="s">
        <v>507</v>
      </c>
      <c r="H1644" s="913" t="s">
        <v>1371</v>
      </c>
      <c r="I1644" s="249">
        <v>504</v>
      </c>
      <c r="J1644" s="249">
        <v>9158.8309386113942</v>
      </c>
      <c r="K1644" s="910">
        <f t="shared" si="440"/>
        <v>4616051</v>
      </c>
      <c r="L1644" s="890" t="s">
        <v>169</v>
      </c>
      <c r="M1644" s="929" t="s">
        <v>167</v>
      </c>
      <c r="N1644" s="52" t="str">
        <f>IF(AND('331-CT'!$E$7=TH!H1644,OR(L1644="331",M1644="331")),"331",IF(AND(OR(L1644="131",M1644="131"),H1644='131-CT'!$E$7),"131",""))</f>
        <v/>
      </c>
      <c r="O1644" s="89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8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441"/>
        <v>4</v>
      </c>
      <c r="C1645" s="48">
        <f t="shared" si="439"/>
        <v>41755</v>
      </c>
      <c r="D1645" s="908" t="s">
        <v>1378</v>
      </c>
      <c r="E1645" s="908">
        <v>41755</v>
      </c>
      <c r="F1645" s="909" t="s">
        <v>508</v>
      </c>
      <c r="G1645" s="930" t="s">
        <v>509</v>
      </c>
      <c r="H1645" s="913" t="s">
        <v>1371</v>
      </c>
      <c r="I1645" s="249">
        <v>305</v>
      </c>
      <c r="J1645" s="249">
        <v>9357.2046050178469</v>
      </c>
      <c r="K1645" s="910">
        <f t="shared" si="440"/>
        <v>2853947</v>
      </c>
      <c r="L1645" s="890" t="s">
        <v>169</v>
      </c>
      <c r="M1645" s="929" t="s">
        <v>167</v>
      </c>
      <c r="N1645" s="52" t="str">
        <f>IF(AND('331-CT'!$E$7=TH!H1645,OR(L1645="331",M1645="331")),"331",IF(AND(OR(L1645="131",M1645="131"),H1645='131-CT'!$E$7),"131",""))</f>
        <v/>
      </c>
      <c r="O1645" s="89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8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441"/>
        <v>4</v>
      </c>
      <c r="C1646" s="48">
        <f t="shared" si="439"/>
        <v>41755</v>
      </c>
      <c r="D1646" s="908" t="s">
        <v>1378</v>
      </c>
      <c r="E1646" s="908">
        <v>41755</v>
      </c>
      <c r="F1646" s="909" t="s">
        <v>494</v>
      </c>
      <c r="G1646" s="930" t="s">
        <v>509</v>
      </c>
      <c r="H1646" s="913" t="s">
        <v>1371</v>
      </c>
      <c r="I1646" s="249">
        <v>530</v>
      </c>
      <c r="J1646" s="249">
        <v>7378.3963773655105</v>
      </c>
      <c r="K1646" s="910">
        <f t="shared" si="440"/>
        <v>3910550</v>
      </c>
      <c r="L1646" s="890" t="s">
        <v>169</v>
      </c>
      <c r="M1646" s="929" t="s">
        <v>167</v>
      </c>
      <c r="N1646" s="52" t="str">
        <f>IF(AND('331-CT'!$E$7=TH!H1646,OR(L1646="331",M1646="331")),"331",IF(AND(OR(L1646="131",M1646="131"),H1646='131-CT'!$E$7),"131",""))</f>
        <v/>
      </c>
      <c r="O1646" s="89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8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441"/>
        <v>5</v>
      </c>
      <c r="C1647" s="48">
        <f t="shared" ref="C1647:C1710" si="442">E1647</f>
        <v>41762</v>
      </c>
      <c r="D1647" s="908" t="s">
        <v>1378</v>
      </c>
      <c r="E1647" s="908">
        <v>41762</v>
      </c>
      <c r="F1647" s="909" t="s">
        <v>421</v>
      </c>
      <c r="G1647" s="930" t="s">
        <v>510</v>
      </c>
      <c r="H1647" s="913" t="s">
        <v>1371</v>
      </c>
      <c r="I1647" s="249">
        <v>500</v>
      </c>
      <c r="J1647" s="249">
        <v>16117.434113214569</v>
      </c>
      <c r="K1647" s="910">
        <f t="shared" ref="K1647:K1710" si="443">ROUND(I1647*J1647,0)</f>
        <v>8058717</v>
      </c>
      <c r="L1647" s="890" t="s">
        <v>169</v>
      </c>
      <c r="M1647" s="929" t="s">
        <v>167</v>
      </c>
      <c r="N1647" s="52" t="str">
        <f>IF(AND('331-CT'!$E$7=TH!H1647,OR(L1647="331",M1647="331")),"331",IF(AND(OR(L1647="131",M1647="131"),H1647='131-CT'!$E$7),"131",""))</f>
        <v/>
      </c>
      <c r="O1647" s="89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8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441"/>
        <v>5</v>
      </c>
      <c r="C1648" s="48">
        <f t="shared" si="442"/>
        <v>41762</v>
      </c>
      <c r="D1648" s="908" t="s">
        <v>1378</v>
      </c>
      <c r="E1648" s="908">
        <v>41762</v>
      </c>
      <c r="F1648" s="909" t="s">
        <v>445</v>
      </c>
      <c r="G1648" s="930" t="s">
        <v>510</v>
      </c>
      <c r="H1648" s="913" t="s">
        <v>1371</v>
      </c>
      <c r="I1648" s="249">
        <v>1000</v>
      </c>
      <c r="J1648" s="249">
        <v>2982.0591132145682</v>
      </c>
      <c r="K1648" s="910">
        <f t="shared" si="443"/>
        <v>2982059</v>
      </c>
      <c r="L1648" s="890" t="s">
        <v>169</v>
      </c>
      <c r="M1648" s="929" t="s">
        <v>167</v>
      </c>
      <c r="N1648" s="52" t="str">
        <f>IF(AND('331-CT'!$E$7=TH!H1648,OR(L1648="331",M1648="331")),"331",IF(AND(OR(L1648="131",M1648="131"),H1648='131-CT'!$E$7),"131",""))</f>
        <v/>
      </c>
      <c r="O1648" s="89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8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441"/>
        <v>5</v>
      </c>
      <c r="C1649" s="48">
        <f t="shared" si="442"/>
        <v>41765</v>
      </c>
      <c r="D1649" s="908" t="s">
        <v>1378</v>
      </c>
      <c r="E1649" s="908">
        <v>41765</v>
      </c>
      <c r="F1649" s="909" t="s">
        <v>494</v>
      </c>
      <c r="G1649" s="930" t="s">
        <v>511</v>
      </c>
      <c r="H1649" s="913" t="s">
        <v>1371</v>
      </c>
      <c r="I1649" s="249">
        <v>500</v>
      </c>
      <c r="J1649" s="249">
        <v>7394.7341132145684</v>
      </c>
      <c r="K1649" s="910">
        <f t="shared" si="443"/>
        <v>3697367</v>
      </c>
      <c r="L1649" s="890" t="s">
        <v>169</v>
      </c>
      <c r="M1649" s="929" t="s">
        <v>167</v>
      </c>
      <c r="N1649" s="52" t="str">
        <f>IF(AND('331-CT'!$E$7=TH!H1649,OR(L1649="331",M1649="331")),"331",IF(AND(OR(L1649="131",M1649="131"),H1649='131-CT'!$E$7),"131",""))</f>
        <v/>
      </c>
      <c r="O1649" s="89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8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441"/>
        <v>5</v>
      </c>
      <c r="C1650" s="48">
        <f t="shared" si="442"/>
        <v>41765</v>
      </c>
      <c r="D1650" s="908" t="s">
        <v>1378</v>
      </c>
      <c r="E1650" s="908">
        <v>41765</v>
      </c>
      <c r="F1650" s="909" t="s">
        <v>512</v>
      </c>
      <c r="G1650" s="930" t="s">
        <v>511</v>
      </c>
      <c r="H1650" s="913" t="s">
        <v>1371</v>
      </c>
      <c r="I1650" s="249">
        <v>200</v>
      </c>
      <c r="J1650" s="249">
        <v>6683.9341132145673</v>
      </c>
      <c r="K1650" s="910">
        <f t="shared" si="443"/>
        <v>1336787</v>
      </c>
      <c r="L1650" s="890" t="s">
        <v>169</v>
      </c>
      <c r="M1650" s="929" t="s">
        <v>167</v>
      </c>
      <c r="N1650" s="52" t="str">
        <f>IF(AND('331-CT'!$E$7=TH!H1650,OR(L1650="331",M1650="331")),"331",IF(AND(OR(L1650="131",M1650="131"),H1650='131-CT'!$E$7),"131",""))</f>
        <v/>
      </c>
      <c r="O1650" s="89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8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441"/>
        <v>5</v>
      </c>
      <c r="C1651" s="48">
        <f t="shared" si="442"/>
        <v>41772</v>
      </c>
      <c r="D1651" s="908" t="s">
        <v>1378</v>
      </c>
      <c r="E1651" s="908">
        <v>41772</v>
      </c>
      <c r="F1651" s="909" t="s">
        <v>446</v>
      </c>
      <c r="G1651" s="930" t="s">
        <v>513</v>
      </c>
      <c r="H1651" s="913" t="s">
        <v>1371</v>
      </c>
      <c r="I1651" s="249">
        <v>200</v>
      </c>
      <c r="J1651" s="249">
        <v>19536.434113214567</v>
      </c>
      <c r="K1651" s="910">
        <f t="shared" si="443"/>
        <v>3907287</v>
      </c>
      <c r="L1651" s="890" t="s">
        <v>169</v>
      </c>
      <c r="M1651" s="929" t="s">
        <v>167</v>
      </c>
      <c r="N1651" s="52" t="str">
        <f>IF(AND('331-CT'!$E$7=TH!H1651,OR(L1651="331",M1651="331")),"331",IF(AND(OR(L1651="131",M1651="131"),H1651='131-CT'!$E$7),"131",""))</f>
        <v/>
      </c>
      <c r="O1651" s="89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8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441"/>
        <v>5</v>
      </c>
      <c r="C1652" s="48">
        <f t="shared" si="442"/>
        <v>41774</v>
      </c>
      <c r="D1652" s="908" t="s">
        <v>1378</v>
      </c>
      <c r="E1652" s="908">
        <v>41774</v>
      </c>
      <c r="F1652" s="909" t="s">
        <v>436</v>
      </c>
      <c r="G1652" s="930" t="s">
        <v>514</v>
      </c>
      <c r="H1652" s="913" t="s">
        <v>1371</v>
      </c>
      <c r="I1652" s="249">
        <v>300</v>
      </c>
      <c r="J1652" s="249">
        <v>9829.717446547902</v>
      </c>
      <c r="K1652" s="910">
        <f t="shared" si="443"/>
        <v>2948915</v>
      </c>
      <c r="L1652" s="890" t="s">
        <v>169</v>
      </c>
      <c r="M1652" s="929" t="s">
        <v>167</v>
      </c>
      <c r="N1652" s="52" t="str">
        <f>IF(AND('331-CT'!$E$7=TH!H1652,OR(L1652="331",M1652="331")),"331",IF(AND(OR(L1652="131",M1652="131"),H1652='131-CT'!$E$7),"131",""))</f>
        <v/>
      </c>
      <c r="O1652" s="89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8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441"/>
        <v>5</v>
      </c>
      <c r="C1653" s="48">
        <f t="shared" si="442"/>
        <v>41774</v>
      </c>
      <c r="D1653" s="908" t="s">
        <v>1378</v>
      </c>
      <c r="E1653" s="908">
        <v>41774</v>
      </c>
      <c r="F1653" s="909" t="s">
        <v>515</v>
      </c>
      <c r="G1653" s="930" t="s">
        <v>516</v>
      </c>
      <c r="H1653" s="913" t="s">
        <v>1371</v>
      </c>
      <c r="I1653" s="249">
        <v>987</v>
      </c>
      <c r="J1653" s="249">
        <v>10962.613444521559</v>
      </c>
      <c r="K1653" s="910">
        <f t="shared" si="443"/>
        <v>10820099</v>
      </c>
      <c r="L1653" s="890" t="s">
        <v>169</v>
      </c>
      <c r="M1653" s="929" t="s">
        <v>167</v>
      </c>
      <c r="N1653" s="52" t="str">
        <f>IF(AND('331-CT'!$E$7=TH!H1653,OR(L1653="331",M1653="331")),"331",IF(AND(OR(L1653="131",M1653="131"),H1653='131-CT'!$E$7),"131",""))</f>
        <v/>
      </c>
      <c r="O1653" s="89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8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441"/>
        <v>5</v>
      </c>
      <c r="C1654" s="48">
        <f t="shared" si="442"/>
        <v>41774</v>
      </c>
      <c r="D1654" s="908" t="s">
        <v>1378</v>
      </c>
      <c r="E1654" s="908">
        <v>41774</v>
      </c>
      <c r="F1654" s="909" t="s">
        <v>517</v>
      </c>
      <c r="G1654" s="930" t="s">
        <v>518</v>
      </c>
      <c r="H1654" s="913" t="s">
        <v>1371</v>
      </c>
      <c r="I1654" s="249">
        <v>995</v>
      </c>
      <c r="J1654" s="249">
        <v>10885.192907184417</v>
      </c>
      <c r="K1654" s="910">
        <f t="shared" si="443"/>
        <v>10830767</v>
      </c>
      <c r="L1654" s="890" t="s">
        <v>169</v>
      </c>
      <c r="M1654" s="929" t="s">
        <v>167</v>
      </c>
      <c r="N1654" s="52" t="str">
        <f>IF(AND('331-CT'!$E$7=TH!H1654,OR(L1654="331",M1654="331")),"331",IF(AND(OR(L1654="131",M1654="131"),H1654='131-CT'!$E$7),"131",""))</f>
        <v/>
      </c>
      <c r="O1654" s="89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8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441"/>
        <v>5</v>
      </c>
      <c r="C1655" s="48">
        <f t="shared" si="442"/>
        <v>41774</v>
      </c>
      <c r="D1655" s="908" t="s">
        <v>1378</v>
      </c>
      <c r="E1655" s="908">
        <v>41774</v>
      </c>
      <c r="F1655" s="909" t="s">
        <v>519</v>
      </c>
      <c r="G1655" s="930" t="s">
        <v>518</v>
      </c>
      <c r="H1655" s="913" t="s">
        <v>1371</v>
      </c>
      <c r="I1655" s="249">
        <v>497</v>
      </c>
      <c r="J1655" s="249">
        <v>9661.452221866477</v>
      </c>
      <c r="K1655" s="910">
        <f t="shared" si="443"/>
        <v>4801742</v>
      </c>
      <c r="L1655" s="890" t="s">
        <v>169</v>
      </c>
      <c r="M1655" s="929" t="s">
        <v>167</v>
      </c>
      <c r="N1655" s="52" t="str">
        <f>IF(AND('331-CT'!$E$7=TH!H1655,OR(L1655="331",M1655="331")),"331",IF(AND(OR(L1655="131",M1655="131"),H1655='131-CT'!$E$7),"131",""))</f>
        <v/>
      </c>
      <c r="O1655" s="89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8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441"/>
        <v>5</v>
      </c>
      <c r="C1656" s="48">
        <f t="shared" si="442"/>
        <v>41778</v>
      </c>
      <c r="D1656" s="908" t="s">
        <v>1378</v>
      </c>
      <c r="E1656" s="908">
        <v>41778</v>
      </c>
      <c r="F1656" s="909" t="s">
        <v>483</v>
      </c>
      <c r="G1656" s="930" t="s">
        <v>520</v>
      </c>
      <c r="H1656" s="913" t="s">
        <v>1371</v>
      </c>
      <c r="I1656" s="249">
        <v>205</v>
      </c>
      <c r="J1656" s="249">
        <v>12034.434113214566</v>
      </c>
      <c r="K1656" s="910">
        <f t="shared" si="443"/>
        <v>2467059</v>
      </c>
      <c r="L1656" s="890" t="s">
        <v>169</v>
      </c>
      <c r="M1656" s="929" t="s">
        <v>167</v>
      </c>
      <c r="N1656" s="52" t="str">
        <f>IF(AND('331-CT'!$E$7=TH!H1656,OR(L1656="331",M1656="331")),"331",IF(AND(OR(L1656="131",M1656="131"),H1656='131-CT'!$E$7),"131",""))</f>
        <v/>
      </c>
      <c r="O1656" s="89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8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441"/>
        <v>5</v>
      </c>
      <c r="C1657" s="48">
        <f t="shared" si="442"/>
        <v>41778</v>
      </c>
      <c r="D1657" s="908" t="s">
        <v>1378</v>
      </c>
      <c r="E1657" s="908">
        <v>41778</v>
      </c>
      <c r="F1657" s="909" t="s">
        <v>487</v>
      </c>
      <c r="G1657" s="930" t="s">
        <v>520</v>
      </c>
      <c r="H1657" s="913" t="s">
        <v>1371</v>
      </c>
      <c r="I1657" s="249">
        <v>297</v>
      </c>
      <c r="J1657" s="249">
        <v>5303.8044835849387</v>
      </c>
      <c r="K1657" s="910">
        <f t="shared" si="443"/>
        <v>1575230</v>
      </c>
      <c r="L1657" s="890" t="s">
        <v>169</v>
      </c>
      <c r="M1657" s="929" t="s">
        <v>167</v>
      </c>
      <c r="N1657" s="52" t="str">
        <f>IF(AND('331-CT'!$E$7=TH!H1657,OR(L1657="331",M1657="331")),"331",IF(AND(OR(L1657="131",M1657="131"),H1657='131-CT'!$E$7),"131",""))</f>
        <v/>
      </c>
      <c r="O1657" s="89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8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441"/>
        <v>5</v>
      </c>
      <c r="C1658" s="48">
        <f t="shared" si="442"/>
        <v>41778</v>
      </c>
      <c r="D1658" s="908" t="s">
        <v>1378</v>
      </c>
      <c r="E1658" s="908">
        <v>41778</v>
      </c>
      <c r="F1658" s="909" t="s">
        <v>486</v>
      </c>
      <c r="G1658" s="930" t="s">
        <v>520</v>
      </c>
      <c r="H1658" s="913" t="s">
        <v>1371</v>
      </c>
      <c r="I1658" s="249">
        <v>374</v>
      </c>
      <c r="J1658" s="249">
        <v>9083.9688725728556</v>
      </c>
      <c r="K1658" s="910">
        <f t="shared" si="443"/>
        <v>3397404</v>
      </c>
      <c r="L1658" s="890" t="s">
        <v>169</v>
      </c>
      <c r="M1658" s="929" t="s">
        <v>167</v>
      </c>
      <c r="N1658" s="52" t="str">
        <f>IF(AND('331-CT'!$E$7=TH!H1658,OR(L1658="331",M1658="331")),"331",IF(AND(OR(L1658="131",M1658="131"),H1658='131-CT'!$E$7),"131",""))</f>
        <v/>
      </c>
      <c r="O1658" s="89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8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441"/>
        <v>5</v>
      </c>
      <c r="C1659" s="48">
        <f t="shared" si="442"/>
        <v>41778</v>
      </c>
      <c r="D1659" s="908" t="s">
        <v>1378</v>
      </c>
      <c r="E1659" s="908">
        <v>41778</v>
      </c>
      <c r="F1659" s="909" t="s">
        <v>494</v>
      </c>
      <c r="G1659" s="930" t="s">
        <v>520</v>
      </c>
      <c r="H1659" s="913" t="s">
        <v>1371</v>
      </c>
      <c r="I1659" s="249">
        <v>399</v>
      </c>
      <c r="J1659" s="249">
        <v>8595.7499026882524</v>
      </c>
      <c r="K1659" s="910">
        <f t="shared" si="443"/>
        <v>3429704</v>
      </c>
      <c r="L1659" s="890" t="s">
        <v>169</v>
      </c>
      <c r="M1659" s="929" t="s">
        <v>167</v>
      </c>
      <c r="N1659" s="52" t="str">
        <f>IF(AND('331-CT'!$E$7=TH!H1659,OR(L1659="331",M1659="331")),"331",IF(AND(OR(L1659="131",M1659="131"),H1659='131-CT'!$E$7),"131",""))</f>
        <v/>
      </c>
      <c r="O1659" s="89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8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441"/>
        <v>5</v>
      </c>
      <c r="C1660" s="48">
        <f t="shared" si="442"/>
        <v>41779</v>
      </c>
      <c r="D1660" s="908" t="s">
        <v>1378</v>
      </c>
      <c r="E1660" s="908">
        <v>41779</v>
      </c>
      <c r="F1660" s="909" t="s">
        <v>521</v>
      </c>
      <c r="G1660" s="930" t="s">
        <v>522</v>
      </c>
      <c r="H1660" s="913" t="s">
        <v>1371</v>
      </c>
      <c r="I1660" s="249">
        <v>150</v>
      </c>
      <c r="J1660" s="249">
        <v>5271.4341132145682</v>
      </c>
      <c r="K1660" s="910">
        <f t="shared" si="443"/>
        <v>790715</v>
      </c>
      <c r="L1660" s="890" t="s">
        <v>169</v>
      </c>
      <c r="M1660" s="929" t="s">
        <v>167</v>
      </c>
      <c r="N1660" s="52" t="str">
        <f>IF(AND('331-CT'!$E$7=TH!H1660,OR(L1660="331",M1660="331")),"331",IF(AND(OR(L1660="131",M1660="131"),H1660='131-CT'!$E$7),"131",""))</f>
        <v/>
      </c>
      <c r="O1660" s="89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8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441"/>
        <v>5</v>
      </c>
      <c r="C1661" s="48">
        <f t="shared" si="442"/>
        <v>41779</v>
      </c>
      <c r="D1661" s="908" t="s">
        <v>1378</v>
      </c>
      <c r="E1661" s="908">
        <v>41779</v>
      </c>
      <c r="F1661" s="909" t="s">
        <v>523</v>
      </c>
      <c r="G1661" s="930" t="s">
        <v>522</v>
      </c>
      <c r="H1661" s="913" t="s">
        <v>1371</v>
      </c>
      <c r="I1661" s="249">
        <v>1250</v>
      </c>
      <c r="J1661" s="249">
        <v>4743.8341132145679</v>
      </c>
      <c r="K1661" s="910">
        <f t="shared" si="443"/>
        <v>5929793</v>
      </c>
      <c r="L1661" s="890" t="s">
        <v>169</v>
      </c>
      <c r="M1661" s="929" t="s">
        <v>167</v>
      </c>
      <c r="N1661" s="52" t="str">
        <f>IF(AND('331-CT'!$E$7=TH!H1661,OR(L1661="331",M1661="331")),"331",IF(AND(OR(L1661="131",M1661="131"),H1661='131-CT'!$E$7),"131",""))</f>
        <v/>
      </c>
      <c r="O1661" s="89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8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441"/>
        <v>5</v>
      </c>
      <c r="C1662" s="48">
        <f t="shared" si="442"/>
        <v>41780</v>
      </c>
      <c r="D1662" s="908" t="s">
        <v>1378</v>
      </c>
      <c r="E1662" s="908">
        <v>41780</v>
      </c>
      <c r="F1662" s="909" t="s">
        <v>524</v>
      </c>
      <c r="G1662" s="930" t="s">
        <v>525</v>
      </c>
      <c r="H1662" s="913" t="s">
        <v>1371</v>
      </c>
      <c r="I1662" s="249">
        <v>1200</v>
      </c>
      <c r="J1662" s="249">
        <v>1577.7274465479013</v>
      </c>
      <c r="K1662" s="910">
        <f t="shared" si="443"/>
        <v>1893273</v>
      </c>
      <c r="L1662" s="890" t="s">
        <v>169</v>
      </c>
      <c r="M1662" s="929" t="s">
        <v>167</v>
      </c>
      <c r="N1662" s="52" t="str">
        <f>IF(AND('331-CT'!$E$7=TH!H1662,OR(L1662="331",M1662="331")),"331",IF(AND(OR(L1662="131",M1662="131"),H1662='131-CT'!$E$7),"131",""))</f>
        <v/>
      </c>
      <c r="O1662" s="89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8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si="441"/>
        <v>5</v>
      </c>
      <c r="C1663" s="48">
        <f t="shared" si="442"/>
        <v>41780</v>
      </c>
      <c r="D1663" s="908" t="s">
        <v>1378</v>
      </c>
      <c r="E1663" s="908">
        <v>41780</v>
      </c>
      <c r="F1663" s="909" t="s">
        <v>466</v>
      </c>
      <c r="G1663" s="930" t="s">
        <v>526</v>
      </c>
      <c r="H1663" s="913" t="s">
        <v>1371</v>
      </c>
      <c r="I1663" s="249">
        <v>1305</v>
      </c>
      <c r="J1663" s="249">
        <v>4986.9973316053729</v>
      </c>
      <c r="K1663" s="910">
        <f t="shared" si="443"/>
        <v>6508032</v>
      </c>
      <c r="L1663" s="890" t="s">
        <v>169</v>
      </c>
      <c r="M1663" s="929" t="s">
        <v>167</v>
      </c>
      <c r="N1663" s="52" t="str">
        <f>IF(AND('331-CT'!$E$7=TH!H1663,OR(L1663="331",M1663="331")),"331",IF(AND(OR(L1663="131",M1663="131"),H1663='131-CT'!$E$7),"131",""))</f>
        <v/>
      </c>
      <c r="O1663" s="89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8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441"/>
        <v>5</v>
      </c>
      <c r="C1664" s="48">
        <f t="shared" si="442"/>
        <v>41781</v>
      </c>
      <c r="D1664" s="908" t="s">
        <v>1378</v>
      </c>
      <c r="E1664" s="908">
        <v>41781</v>
      </c>
      <c r="F1664" s="909" t="s">
        <v>527</v>
      </c>
      <c r="G1664" s="930" t="s">
        <v>528</v>
      </c>
      <c r="H1664" s="913" t="s">
        <v>1371</v>
      </c>
      <c r="I1664" s="249">
        <v>497</v>
      </c>
      <c r="J1664" s="249">
        <v>16401.844575991225</v>
      </c>
      <c r="K1664" s="910">
        <f t="shared" si="443"/>
        <v>8151717</v>
      </c>
      <c r="L1664" s="890" t="s">
        <v>169</v>
      </c>
      <c r="M1664" s="929" t="s">
        <v>167</v>
      </c>
      <c r="N1664" s="52" t="str">
        <f>IF(AND('331-CT'!$E$7=TH!H1664,OR(L1664="331",M1664="331")),"331",IF(AND(OR(L1664="131",M1664="131"),H1664='131-CT'!$E$7),"131",""))</f>
        <v/>
      </c>
      <c r="O1664" s="89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8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441"/>
        <v>5</v>
      </c>
      <c r="C1665" s="48">
        <f t="shared" si="442"/>
        <v>41786</v>
      </c>
      <c r="D1665" s="908" t="s">
        <v>1378</v>
      </c>
      <c r="E1665" s="908">
        <v>41786</v>
      </c>
      <c r="F1665" s="909" t="s">
        <v>463</v>
      </c>
      <c r="G1665" s="930" t="s">
        <v>529</v>
      </c>
      <c r="H1665" s="913" t="s">
        <v>1371</v>
      </c>
      <c r="I1665" s="249">
        <v>998</v>
      </c>
      <c r="J1665" s="249">
        <v>11584.937119226593</v>
      </c>
      <c r="K1665" s="910">
        <f t="shared" si="443"/>
        <v>11561767</v>
      </c>
      <c r="L1665" s="890" t="s">
        <v>169</v>
      </c>
      <c r="M1665" s="929" t="s">
        <v>167</v>
      </c>
      <c r="N1665" s="52" t="str">
        <f>IF(AND('331-CT'!$E$7=TH!H1665,OR(L1665="331",M1665="331")),"331",IF(AND(OR(L1665="131",M1665="131"),H1665='131-CT'!$E$7),"131",""))</f>
        <v/>
      </c>
      <c r="O1665" s="89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8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441"/>
        <v>5</v>
      </c>
      <c r="C1666" s="48">
        <f t="shared" si="442"/>
        <v>41788</v>
      </c>
      <c r="D1666" s="908" t="s">
        <v>1378</v>
      </c>
      <c r="E1666" s="908">
        <v>41788</v>
      </c>
      <c r="F1666" s="909" t="s">
        <v>436</v>
      </c>
      <c r="G1666" s="930" t="s">
        <v>530</v>
      </c>
      <c r="H1666" s="913" t="s">
        <v>1371</v>
      </c>
      <c r="I1666" s="249">
        <v>496</v>
      </c>
      <c r="J1666" s="249">
        <v>9623.2526616016639</v>
      </c>
      <c r="K1666" s="910">
        <f t="shared" si="443"/>
        <v>4773133</v>
      </c>
      <c r="L1666" s="890" t="s">
        <v>169</v>
      </c>
      <c r="M1666" s="929" t="s">
        <v>167</v>
      </c>
      <c r="N1666" s="52" t="str">
        <f>IF(AND('331-CT'!$E$7=TH!H1666,OR(L1666="331",M1666="331")),"331",IF(AND(OR(L1666="131",M1666="131"),H1666='131-CT'!$E$7),"131",""))</f>
        <v/>
      </c>
      <c r="O1666" s="89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8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441"/>
        <v>5</v>
      </c>
      <c r="C1667" s="48">
        <f t="shared" si="442"/>
        <v>41788</v>
      </c>
      <c r="D1667" s="908" t="s">
        <v>1378</v>
      </c>
      <c r="E1667" s="908">
        <v>41788</v>
      </c>
      <c r="F1667" s="909" t="s">
        <v>508</v>
      </c>
      <c r="G1667" s="930" t="s">
        <v>531</v>
      </c>
      <c r="H1667" s="913" t="s">
        <v>1371</v>
      </c>
      <c r="I1667" s="249">
        <v>304</v>
      </c>
      <c r="J1667" s="249">
        <v>9048.8946395303574</v>
      </c>
      <c r="K1667" s="910">
        <f t="shared" si="443"/>
        <v>2750864</v>
      </c>
      <c r="L1667" s="890" t="s">
        <v>169</v>
      </c>
      <c r="M1667" s="929" t="s">
        <v>167</v>
      </c>
      <c r="N1667" s="52" t="str">
        <f>IF(AND('331-CT'!$E$7=TH!H1667,OR(L1667="331",M1667="331")),"331",IF(AND(OR(L1667="131",M1667="131"),H1667='131-CT'!$E$7),"131",""))</f>
        <v/>
      </c>
      <c r="O1667" s="89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8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441"/>
        <v>5</v>
      </c>
      <c r="C1668" s="48">
        <f t="shared" si="442"/>
        <v>41788</v>
      </c>
      <c r="D1668" s="908" t="s">
        <v>1378</v>
      </c>
      <c r="E1668" s="908">
        <v>41788</v>
      </c>
      <c r="F1668" s="909" t="s">
        <v>532</v>
      </c>
      <c r="G1668" s="930" t="s">
        <v>531</v>
      </c>
      <c r="H1668" s="913" t="s">
        <v>1371</v>
      </c>
      <c r="I1668" s="249">
        <v>154</v>
      </c>
      <c r="J1668" s="249">
        <v>11562.005541785997</v>
      </c>
      <c r="K1668" s="910">
        <f t="shared" si="443"/>
        <v>1780549</v>
      </c>
      <c r="L1668" s="890" t="s">
        <v>169</v>
      </c>
      <c r="M1668" s="929" t="s">
        <v>167</v>
      </c>
      <c r="N1668" s="52" t="str">
        <f>IF(AND('331-CT'!$E$7=TH!H1668,OR(L1668="331",M1668="331")),"331",IF(AND(OR(L1668="131",M1668="131"),H1668='131-CT'!$E$7),"131",""))</f>
        <v/>
      </c>
      <c r="O1668" s="89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8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441"/>
        <v>5</v>
      </c>
      <c r="C1669" s="48">
        <f t="shared" si="442"/>
        <v>41788</v>
      </c>
      <c r="D1669" s="908" t="s">
        <v>1378</v>
      </c>
      <c r="E1669" s="908">
        <v>41788</v>
      </c>
      <c r="F1669" s="909" t="s">
        <v>494</v>
      </c>
      <c r="G1669" s="930" t="s">
        <v>531</v>
      </c>
      <c r="H1669" s="913" t="s">
        <v>1371</v>
      </c>
      <c r="I1669" s="249">
        <v>500</v>
      </c>
      <c r="J1669" s="249">
        <v>7342.2341132145684</v>
      </c>
      <c r="K1669" s="910">
        <f t="shared" si="443"/>
        <v>3671117</v>
      </c>
      <c r="L1669" s="890" t="s">
        <v>169</v>
      </c>
      <c r="M1669" s="929" t="s">
        <v>167</v>
      </c>
      <c r="N1669" s="52" t="str">
        <f>IF(AND('331-CT'!$E$7=TH!H1669,OR(L1669="331",M1669="331")),"331",IF(AND(OR(L1669="131",M1669="131"),H1669='131-CT'!$E$7),"131",""))</f>
        <v/>
      </c>
      <c r="O1669" s="89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8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441"/>
        <v>5</v>
      </c>
      <c r="C1670" s="48">
        <f t="shared" si="442"/>
        <v>41788</v>
      </c>
      <c r="D1670" s="908" t="s">
        <v>1378</v>
      </c>
      <c r="E1670" s="908">
        <v>41788</v>
      </c>
      <c r="F1670" s="909" t="s">
        <v>533</v>
      </c>
      <c r="G1670" s="930" t="s">
        <v>534</v>
      </c>
      <c r="H1670" s="913" t="s">
        <v>1371</v>
      </c>
      <c r="I1670" s="249">
        <v>209</v>
      </c>
      <c r="J1670" s="249">
        <v>7190.3719122576304</v>
      </c>
      <c r="K1670" s="910">
        <f t="shared" si="443"/>
        <v>1502788</v>
      </c>
      <c r="L1670" s="890" t="s">
        <v>169</v>
      </c>
      <c r="M1670" s="929" t="s">
        <v>167</v>
      </c>
      <c r="N1670" s="52" t="str">
        <f>IF(AND('331-CT'!$E$7=TH!H1670,OR(L1670="331",M1670="331")),"331",IF(AND(OR(L1670="131",M1670="131"),H1670='131-CT'!$E$7),"131",""))</f>
        <v/>
      </c>
      <c r="O1670" s="89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8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441"/>
        <v>5</v>
      </c>
      <c r="C1671" s="48">
        <f t="shared" si="442"/>
        <v>41789</v>
      </c>
      <c r="D1671" s="908" t="s">
        <v>1378</v>
      </c>
      <c r="E1671" s="908">
        <v>41789</v>
      </c>
      <c r="F1671" s="909" t="s">
        <v>417</v>
      </c>
      <c r="G1671" s="930" t="s">
        <v>536</v>
      </c>
      <c r="H1671" s="913" t="s">
        <v>1371</v>
      </c>
      <c r="I1671" s="249">
        <v>1983</v>
      </c>
      <c r="J1671" s="249">
        <v>5668.1996200224357</v>
      </c>
      <c r="K1671" s="910">
        <f t="shared" si="443"/>
        <v>11240040</v>
      </c>
      <c r="L1671" s="890" t="s">
        <v>169</v>
      </c>
      <c r="M1671" s="929" t="s">
        <v>167</v>
      </c>
      <c r="N1671" s="52" t="str">
        <f>IF(AND('331-CT'!$E$7=TH!H1671,OR(L1671="331",M1671="331")),"331",IF(AND(OR(L1671="131",M1671="131"),H1671='131-CT'!$E$7),"131",""))</f>
        <v/>
      </c>
      <c r="O1671" s="89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8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441"/>
        <v>5</v>
      </c>
      <c r="C1672" s="48">
        <f t="shared" si="442"/>
        <v>41789</v>
      </c>
      <c r="D1672" s="908" t="s">
        <v>1378</v>
      </c>
      <c r="E1672" s="908">
        <v>41789</v>
      </c>
      <c r="F1672" s="909" t="s">
        <v>537</v>
      </c>
      <c r="G1672" s="930" t="s">
        <v>538</v>
      </c>
      <c r="H1672" s="913" t="s">
        <v>1371</v>
      </c>
      <c r="I1672" s="249">
        <v>548</v>
      </c>
      <c r="J1672" s="249">
        <v>12034.434113214567</v>
      </c>
      <c r="K1672" s="910">
        <f t="shared" si="443"/>
        <v>6594870</v>
      </c>
      <c r="L1672" s="890" t="s">
        <v>169</v>
      </c>
      <c r="M1672" s="929" t="s">
        <v>167</v>
      </c>
      <c r="N1672" s="52" t="str">
        <f>IF(AND('331-CT'!$E$7=TH!H1672,OR(L1672="331",M1672="331")),"331",IF(AND(OR(L1672="131",M1672="131"),H1672='131-CT'!$E$7),"131",""))</f>
        <v/>
      </c>
      <c r="O1672" s="89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8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441"/>
        <v>6</v>
      </c>
      <c r="C1673" s="48">
        <f t="shared" si="442"/>
        <v>41792</v>
      </c>
      <c r="D1673" s="908" t="s">
        <v>1378</v>
      </c>
      <c r="E1673" s="908">
        <v>41792</v>
      </c>
      <c r="F1673" s="909" t="s">
        <v>421</v>
      </c>
      <c r="G1673" s="930" t="s">
        <v>539</v>
      </c>
      <c r="H1673" s="913" t="s">
        <v>1371</v>
      </c>
      <c r="I1673" s="249">
        <v>1000</v>
      </c>
      <c r="J1673" s="249">
        <v>16949.434113214567</v>
      </c>
      <c r="K1673" s="910">
        <f t="shared" si="443"/>
        <v>16949434</v>
      </c>
      <c r="L1673" s="890" t="s">
        <v>169</v>
      </c>
      <c r="M1673" s="929" t="s">
        <v>167</v>
      </c>
      <c r="N1673" s="52" t="str">
        <f>IF(AND('331-CT'!$E$7=TH!H1673,OR(L1673="331",M1673="331")),"331",IF(AND(OR(L1673="131",M1673="131"),H1673='131-CT'!$E$7),"131",""))</f>
        <v/>
      </c>
      <c r="O1673" s="89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8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441"/>
        <v>6</v>
      </c>
      <c r="C1674" s="48">
        <f t="shared" si="442"/>
        <v>41792</v>
      </c>
      <c r="D1674" s="908" t="s">
        <v>1378</v>
      </c>
      <c r="E1674" s="908">
        <v>41792</v>
      </c>
      <c r="F1674" s="909" t="s">
        <v>540</v>
      </c>
      <c r="G1674" s="930" t="s">
        <v>541</v>
      </c>
      <c r="H1674" s="913" t="s">
        <v>1371</v>
      </c>
      <c r="I1674" s="249">
        <v>910</v>
      </c>
      <c r="J1674" s="249">
        <v>5484.9725747530301</v>
      </c>
      <c r="K1674" s="910">
        <f t="shared" si="443"/>
        <v>4991325</v>
      </c>
      <c r="L1674" s="890" t="s">
        <v>169</v>
      </c>
      <c r="M1674" s="929" t="s">
        <v>167</v>
      </c>
      <c r="N1674" s="52" t="str">
        <f>IF(AND('331-CT'!$E$7=TH!H1674,OR(L1674="331",M1674="331")),"331",IF(AND(OR(L1674="131",M1674="131"),H1674='131-CT'!$E$7),"131",""))</f>
        <v/>
      </c>
      <c r="O1674" s="89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8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441"/>
        <v>6</v>
      </c>
      <c r="C1675" s="48">
        <f t="shared" si="442"/>
        <v>41792</v>
      </c>
      <c r="D1675" s="908" t="s">
        <v>1378</v>
      </c>
      <c r="E1675" s="908">
        <v>41792</v>
      </c>
      <c r="F1675" s="909" t="s">
        <v>445</v>
      </c>
      <c r="G1675" s="930" t="s">
        <v>542</v>
      </c>
      <c r="H1675" s="913" t="s">
        <v>1371</v>
      </c>
      <c r="I1675" s="249">
        <v>2000</v>
      </c>
      <c r="J1675" s="249">
        <v>1516.6541132145683</v>
      </c>
      <c r="K1675" s="910">
        <f t="shared" si="443"/>
        <v>3033308</v>
      </c>
      <c r="L1675" s="890" t="s">
        <v>169</v>
      </c>
      <c r="M1675" s="929" t="s">
        <v>167</v>
      </c>
      <c r="N1675" s="52" t="str">
        <f>IF(AND('331-CT'!$E$7=TH!H1675,OR(L1675="331",M1675="331")),"331",IF(AND(OR(L1675="131",M1675="131"),H1675='131-CT'!$E$7),"131",""))</f>
        <v/>
      </c>
      <c r="O1675" s="89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8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441"/>
        <v>6</v>
      </c>
      <c r="C1676" s="48">
        <f t="shared" si="442"/>
        <v>41794</v>
      </c>
      <c r="D1676" s="908" t="s">
        <v>1378</v>
      </c>
      <c r="E1676" s="908">
        <v>41794</v>
      </c>
      <c r="F1676" s="909" t="s">
        <v>500</v>
      </c>
      <c r="G1676" s="930" t="s">
        <v>543</v>
      </c>
      <c r="H1676" s="913" t="s">
        <v>1371</v>
      </c>
      <c r="I1676" s="249">
        <v>500</v>
      </c>
      <c r="J1676" s="249">
        <v>6018.2341132145684</v>
      </c>
      <c r="K1676" s="910">
        <f t="shared" si="443"/>
        <v>3009117</v>
      </c>
      <c r="L1676" s="890" t="s">
        <v>169</v>
      </c>
      <c r="M1676" s="929" t="s">
        <v>167</v>
      </c>
      <c r="N1676" s="52" t="str">
        <f>IF(AND('331-CT'!$E$7=TH!H1676,OR(L1676="331",M1676="331")),"331",IF(AND(OR(L1676="131",M1676="131"),H1676='131-CT'!$E$7),"131",""))</f>
        <v/>
      </c>
      <c r="O1676" s="89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8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441"/>
        <v>6</v>
      </c>
      <c r="C1677" s="48">
        <f t="shared" si="442"/>
        <v>41794</v>
      </c>
      <c r="D1677" s="908" t="s">
        <v>1378</v>
      </c>
      <c r="E1677" s="908">
        <v>41794</v>
      </c>
      <c r="F1677" s="909" t="s">
        <v>503</v>
      </c>
      <c r="G1677" s="930" t="s">
        <v>543</v>
      </c>
      <c r="H1677" s="913" t="s">
        <v>1371</v>
      </c>
      <c r="I1677" s="249">
        <v>397</v>
      </c>
      <c r="J1677" s="249">
        <v>7677.5147177485724</v>
      </c>
      <c r="K1677" s="910">
        <f t="shared" si="443"/>
        <v>3047973</v>
      </c>
      <c r="L1677" s="890" t="s">
        <v>169</v>
      </c>
      <c r="M1677" s="929" t="s">
        <v>167</v>
      </c>
      <c r="N1677" s="52" t="str">
        <f>IF(AND('331-CT'!$E$7=TH!H1677,OR(L1677="331",M1677="331")),"331",IF(AND(OR(L1677="131",M1677="131"),H1677='131-CT'!$E$7),"131",""))</f>
        <v/>
      </c>
      <c r="O1677" s="89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8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441"/>
        <v>6</v>
      </c>
      <c r="C1678" s="48">
        <f t="shared" si="442"/>
        <v>41794</v>
      </c>
      <c r="D1678" s="908" t="s">
        <v>1378</v>
      </c>
      <c r="E1678" s="908">
        <v>41794</v>
      </c>
      <c r="F1678" s="909" t="s">
        <v>504</v>
      </c>
      <c r="G1678" s="930" t="s">
        <v>543</v>
      </c>
      <c r="H1678" s="913" t="s">
        <v>1371</v>
      </c>
      <c r="I1678" s="249">
        <v>200</v>
      </c>
      <c r="J1678" s="249">
        <v>6217.4341132145673</v>
      </c>
      <c r="K1678" s="910">
        <f t="shared" si="443"/>
        <v>1243487</v>
      </c>
      <c r="L1678" s="890" t="s">
        <v>169</v>
      </c>
      <c r="M1678" s="929" t="s">
        <v>167</v>
      </c>
      <c r="N1678" s="52" t="str">
        <f>IF(AND('331-CT'!$E$7=TH!H1678,OR(L1678="331",M1678="331")),"331",IF(AND(OR(L1678="131",M1678="131"),H1678='131-CT'!$E$7),"131",""))</f>
        <v/>
      </c>
      <c r="O1678" s="89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8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441"/>
        <v>6</v>
      </c>
      <c r="C1679" s="48">
        <f t="shared" si="442"/>
        <v>41794</v>
      </c>
      <c r="D1679" s="908" t="s">
        <v>1378</v>
      </c>
      <c r="E1679" s="908">
        <v>41794</v>
      </c>
      <c r="F1679" s="909" t="s">
        <v>406</v>
      </c>
      <c r="G1679" s="930" t="s">
        <v>543</v>
      </c>
      <c r="H1679" s="913" t="s">
        <v>1371</v>
      </c>
      <c r="I1679" s="249">
        <v>200</v>
      </c>
      <c r="J1679" s="249">
        <v>6415.4341132145673</v>
      </c>
      <c r="K1679" s="910">
        <f t="shared" si="443"/>
        <v>1283087</v>
      </c>
      <c r="L1679" s="890" t="s">
        <v>169</v>
      </c>
      <c r="M1679" s="929" t="s">
        <v>167</v>
      </c>
      <c r="N1679" s="52" t="str">
        <f>IF(AND('331-CT'!$E$7=TH!H1679,OR(L1679="331",M1679="331")),"331",IF(AND(OR(L1679="131",M1679="131"),H1679='131-CT'!$E$7),"131",""))</f>
        <v/>
      </c>
      <c r="O1679" s="89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8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441"/>
        <v>6</v>
      </c>
      <c r="C1680" s="48">
        <f t="shared" si="442"/>
        <v>41795</v>
      </c>
      <c r="D1680" s="908" t="s">
        <v>1378</v>
      </c>
      <c r="E1680" s="908">
        <v>41795</v>
      </c>
      <c r="F1680" s="909" t="s">
        <v>544</v>
      </c>
      <c r="G1680" s="930" t="s">
        <v>545</v>
      </c>
      <c r="H1680" s="913" t="s">
        <v>1371</v>
      </c>
      <c r="I1680" s="249">
        <v>190</v>
      </c>
      <c r="J1680" s="249">
        <v>22154.434113214567</v>
      </c>
      <c r="K1680" s="910">
        <f t="shared" si="443"/>
        <v>4209342</v>
      </c>
      <c r="L1680" s="890" t="s">
        <v>169</v>
      </c>
      <c r="M1680" s="929" t="s">
        <v>167</v>
      </c>
      <c r="N1680" s="52" t="str">
        <f>IF(AND('331-CT'!$E$7=TH!H1680,OR(L1680="331",M1680="331")),"331",IF(AND(OR(L1680="131",M1680="131"),H1680='131-CT'!$E$7),"131",""))</f>
        <v/>
      </c>
      <c r="O1680" s="89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8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441"/>
        <v>6</v>
      </c>
      <c r="C1681" s="48">
        <f t="shared" si="442"/>
        <v>41795</v>
      </c>
      <c r="D1681" s="908" t="s">
        <v>1378</v>
      </c>
      <c r="E1681" s="908">
        <v>41795</v>
      </c>
      <c r="F1681" s="909" t="s">
        <v>547</v>
      </c>
      <c r="G1681" s="930" t="s">
        <v>545</v>
      </c>
      <c r="H1681" s="913" t="s">
        <v>1371</v>
      </c>
      <c r="I1681" s="249">
        <v>190</v>
      </c>
      <c r="J1681" s="249">
        <v>25510.276218477724</v>
      </c>
      <c r="K1681" s="910">
        <f t="shared" si="443"/>
        <v>4846952</v>
      </c>
      <c r="L1681" s="890" t="s">
        <v>169</v>
      </c>
      <c r="M1681" s="929" t="s">
        <v>167</v>
      </c>
      <c r="N1681" s="52" t="str">
        <f>IF(AND('331-CT'!$E$7=TH!H1681,OR(L1681="331",M1681="331")),"331",IF(AND(OR(L1681="131",M1681="131"),H1681='131-CT'!$E$7),"131",""))</f>
        <v/>
      </c>
      <c r="O1681" s="89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8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441"/>
        <v>6</v>
      </c>
      <c r="C1682" s="48">
        <f t="shared" si="442"/>
        <v>41795</v>
      </c>
      <c r="D1682" s="908" t="s">
        <v>1378</v>
      </c>
      <c r="E1682" s="908">
        <v>41795</v>
      </c>
      <c r="F1682" s="909" t="s">
        <v>548</v>
      </c>
      <c r="G1682" s="930" t="s">
        <v>549</v>
      </c>
      <c r="H1682" s="913" t="s">
        <v>1371</v>
      </c>
      <c r="I1682" s="249">
        <v>100</v>
      </c>
      <c r="J1682" s="249">
        <v>10480.434113214567</v>
      </c>
      <c r="K1682" s="910">
        <f t="shared" si="443"/>
        <v>1048043</v>
      </c>
      <c r="L1682" s="890" t="s">
        <v>169</v>
      </c>
      <c r="M1682" s="929" t="s">
        <v>167</v>
      </c>
      <c r="N1682" s="52" t="str">
        <f>IF(AND('331-CT'!$E$7=TH!H1682,OR(L1682="331",M1682="331")),"331",IF(AND(OR(L1682="131",M1682="131"),H1682='131-CT'!$E$7),"131",""))</f>
        <v/>
      </c>
      <c r="O1682" s="89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8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441"/>
        <v>6</v>
      </c>
      <c r="C1683" s="48">
        <f t="shared" si="442"/>
        <v>41795</v>
      </c>
      <c r="D1683" s="908" t="s">
        <v>1378</v>
      </c>
      <c r="E1683" s="908">
        <v>41795</v>
      </c>
      <c r="F1683" s="909" t="s">
        <v>551</v>
      </c>
      <c r="G1683" s="930" t="s">
        <v>549</v>
      </c>
      <c r="H1683" s="913" t="s">
        <v>1371</v>
      </c>
      <c r="I1683" s="249">
        <v>200</v>
      </c>
      <c r="J1683" s="249">
        <v>5768.6341132145681</v>
      </c>
      <c r="K1683" s="910">
        <f t="shared" si="443"/>
        <v>1153727</v>
      </c>
      <c r="L1683" s="890" t="s">
        <v>169</v>
      </c>
      <c r="M1683" s="929" t="s">
        <v>167</v>
      </c>
      <c r="N1683" s="52" t="str">
        <f>IF(AND('331-CT'!$E$7=TH!H1683,OR(L1683="331",M1683="331")),"331",IF(AND(OR(L1683="131",M1683="131"),H1683='131-CT'!$E$7),"131",""))</f>
        <v/>
      </c>
      <c r="O1683" s="89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8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441"/>
        <v>6</v>
      </c>
      <c r="C1684" s="48">
        <f t="shared" si="442"/>
        <v>41799</v>
      </c>
      <c r="D1684" s="908" t="s">
        <v>1378</v>
      </c>
      <c r="E1684" s="908">
        <v>41799</v>
      </c>
      <c r="F1684" s="909" t="s">
        <v>552</v>
      </c>
      <c r="G1684" s="930" t="s">
        <v>553</v>
      </c>
      <c r="H1684" s="913" t="s">
        <v>1371</v>
      </c>
      <c r="I1684" s="249">
        <v>150</v>
      </c>
      <c r="J1684" s="249">
        <v>11834.767446547901</v>
      </c>
      <c r="K1684" s="910">
        <f t="shared" si="443"/>
        <v>1775215</v>
      </c>
      <c r="L1684" s="890" t="s">
        <v>169</v>
      </c>
      <c r="M1684" s="929" t="s">
        <v>167</v>
      </c>
      <c r="N1684" s="52" t="str">
        <f>IF(AND('331-CT'!$E$7=TH!H1684,OR(L1684="331",M1684="331")),"331",IF(AND(OR(L1684="131",M1684="131"),H1684='131-CT'!$E$7),"131",""))</f>
        <v/>
      </c>
      <c r="O1684" s="89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8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444">IF(C1685&lt;&gt;"",MONTH(C1685),"")</f>
        <v>6</v>
      </c>
      <c r="C1685" s="48">
        <f t="shared" si="442"/>
        <v>41806</v>
      </c>
      <c r="D1685" s="908" t="s">
        <v>1378</v>
      </c>
      <c r="E1685" s="908">
        <v>41806</v>
      </c>
      <c r="F1685" s="909" t="s">
        <v>554</v>
      </c>
      <c r="G1685" s="930" t="s">
        <v>555</v>
      </c>
      <c r="H1685" s="913" t="s">
        <v>1371</v>
      </c>
      <c r="I1685" s="249">
        <v>398</v>
      </c>
      <c r="J1685" s="249">
        <v>24151.524565475876</v>
      </c>
      <c r="K1685" s="910">
        <f t="shared" si="443"/>
        <v>9612307</v>
      </c>
      <c r="L1685" s="890" t="s">
        <v>169</v>
      </c>
      <c r="M1685" s="929" t="s">
        <v>167</v>
      </c>
      <c r="N1685" s="52" t="str">
        <f>IF(AND('331-CT'!$E$7=TH!H1685,OR(L1685="331",M1685="331")),"331",IF(AND(OR(L1685="131",M1685="131"),H1685='131-CT'!$E$7),"131",""))</f>
        <v/>
      </c>
      <c r="O1685" s="89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8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444"/>
        <v>6</v>
      </c>
      <c r="C1686" s="48">
        <f t="shared" si="442"/>
        <v>41807</v>
      </c>
      <c r="D1686" s="908" t="s">
        <v>1378</v>
      </c>
      <c r="E1686" s="908">
        <v>41807</v>
      </c>
      <c r="F1686" s="909" t="s">
        <v>552</v>
      </c>
      <c r="G1686" s="930" t="s">
        <v>556</v>
      </c>
      <c r="H1686" s="913" t="s">
        <v>1371</v>
      </c>
      <c r="I1686" s="249">
        <v>150</v>
      </c>
      <c r="J1686" s="249">
        <v>10494.434113214569</v>
      </c>
      <c r="K1686" s="910">
        <f t="shared" si="443"/>
        <v>1574165</v>
      </c>
      <c r="L1686" s="890" t="s">
        <v>169</v>
      </c>
      <c r="M1686" s="929" t="s">
        <v>167</v>
      </c>
      <c r="N1686" s="52" t="str">
        <f>IF(AND('331-CT'!$E$7=TH!H1686,OR(L1686="331",M1686="331")),"331",IF(AND(OR(L1686="131",M1686="131"),H1686='131-CT'!$E$7),"131",""))</f>
        <v/>
      </c>
      <c r="O1686" s="89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8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444"/>
        <v>6</v>
      </c>
      <c r="C1687" s="48">
        <f t="shared" si="442"/>
        <v>41810</v>
      </c>
      <c r="D1687" s="908" t="s">
        <v>1378</v>
      </c>
      <c r="E1687" s="908">
        <v>41810</v>
      </c>
      <c r="F1687" s="909" t="s">
        <v>494</v>
      </c>
      <c r="G1687" s="930" t="s">
        <v>557</v>
      </c>
      <c r="H1687" s="913" t="s">
        <v>1371</v>
      </c>
      <c r="I1687" s="249">
        <v>542</v>
      </c>
      <c r="J1687" s="249">
        <v>7404.319722070657</v>
      </c>
      <c r="K1687" s="910">
        <f t="shared" si="443"/>
        <v>4013141</v>
      </c>
      <c r="L1687" s="890" t="s">
        <v>169</v>
      </c>
      <c r="M1687" s="929" t="s">
        <v>167</v>
      </c>
      <c r="N1687" s="52" t="str">
        <f>IF(AND('331-CT'!$E$7=TH!H1687,OR(L1687="331",M1687="331")),"331",IF(AND(OR(L1687="131",M1687="131"),H1687='131-CT'!$E$7),"131",""))</f>
        <v/>
      </c>
      <c r="O1687" s="89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8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444"/>
        <v>6</v>
      </c>
      <c r="C1688" s="48">
        <f t="shared" si="442"/>
        <v>41813</v>
      </c>
      <c r="D1688" s="908" t="s">
        <v>1378</v>
      </c>
      <c r="E1688" s="908">
        <v>41813</v>
      </c>
      <c r="F1688" s="909" t="s">
        <v>459</v>
      </c>
      <c r="G1688" s="930" t="s">
        <v>558</v>
      </c>
      <c r="H1688" s="913" t="s">
        <v>1371</v>
      </c>
      <c r="I1688" s="249">
        <v>984</v>
      </c>
      <c r="J1688" s="249">
        <v>7732.3162270357061</v>
      </c>
      <c r="K1688" s="910">
        <f t="shared" si="443"/>
        <v>7608599</v>
      </c>
      <c r="L1688" s="890" t="s">
        <v>169</v>
      </c>
      <c r="M1688" s="929" t="s">
        <v>167</v>
      </c>
      <c r="N1688" s="52" t="str">
        <f>IF(AND('331-CT'!$E$7=TH!H1688,OR(L1688="331",M1688="331")),"331",IF(AND(OR(L1688="131",M1688="131"),H1688='131-CT'!$E$7),"131",""))</f>
        <v/>
      </c>
      <c r="O1688" s="89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8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444"/>
        <v>6</v>
      </c>
      <c r="C1689" s="48">
        <f t="shared" si="442"/>
        <v>41814</v>
      </c>
      <c r="D1689" s="908" t="s">
        <v>1378</v>
      </c>
      <c r="E1689" s="908">
        <v>41814</v>
      </c>
      <c r="F1689" s="909" t="s">
        <v>559</v>
      </c>
      <c r="G1689" s="930" t="s">
        <v>560</v>
      </c>
      <c r="H1689" s="913" t="s">
        <v>1371</v>
      </c>
      <c r="I1689" s="249">
        <v>396</v>
      </c>
      <c r="J1689" s="249">
        <v>16826.767446547903</v>
      </c>
      <c r="K1689" s="910">
        <f t="shared" si="443"/>
        <v>6663400</v>
      </c>
      <c r="L1689" s="890" t="s">
        <v>169</v>
      </c>
      <c r="M1689" s="929" t="s">
        <v>167</v>
      </c>
      <c r="N1689" s="52" t="str">
        <f>IF(AND('331-CT'!$E$7=TH!H1689,OR(L1689="331",M1689="331")),"331",IF(AND(OR(L1689="131",M1689="131"),H1689='131-CT'!$E$7),"131",""))</f>
        <v/>
      </c>
      <c r="O1689" s="89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8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444"/>
        <v>6</v>
      </c>
      <c r="C1690" s="48">
        <f t="shared" si="442"/>
        <v>41814</v>
      </c>
      <c r="D1690" s="908" t="s">
        <v>1378</v>
      </c>
      <c r="E1690" s="908">
        <v>41814</v>
      </c>
      <c r="F1690" s="909" t="s">
        <v>562</v>
      </c>
      <c r="G1690" s="930" t="s">
        <v>560</v>
      </c>
      <c r="H1690" s="913" t="s">
        <v>1371</v>
      </c>
      <c r="I1690" s="249">
        <v>100</v>
      </c>
      <c r="J1690" s="249">
        <v>16117.434113214567</v>
      </c>
      <c r="K1690" s="910">
        <f t="shared" si="443"/>
        <v>1611743</v>
      </c>
      <c r="L1690" s="890" t="s">
        <v>169</v>
      </c>
      <c r="M1690" s="929" t="s">
        <v>167</v>
      </c>
      <c r="N1690" s="52" t="str">
        <f>IF(AND('331-CT'!$E$7=TH!H1690,OR(L1690="331",M1690="331")),"331",IF(AND(OR(L1690="131",M1690="131"),H1690='131-CT'!$E$7),"131",""))</f>
        <v/>
      </c>
      <c r="O1690" s="89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8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444"/>
        <v>6</v>
      </c>
      <c r="C1691" s="48">
        <f t="shared" si="442"/>
        <v>41815</v>
      </c>
      <c r="D1691" s="908" t="s">
        <v>1378</v>
      </c>
      <c r="E1691" s="908">
        <v>41815</v>
      </c>
      <c r="F1691" s="909" t="s">
        <v>563</v>
      </c>
      <c r="G1691" s="930" t="s">
        <v>564</v>
      </c>
      <c r="H1691" s="913" t="s">
        <v>1371</v>
      </c>
      <c r="I1691" s="249">
        <v>541</v>
      </c>
      <c r="J1691" s="249">
        <v>12034.434113214569</v>
      </c>
      <c r="K1691" s="910">
        <f t="shared" si="443"/>
        <v>6510629</v>
      </c>
      <c r="L1691" s="890" t="s">
        <v>169</v>
      </c>
      <c r="M1691" s="929" t="s">
        <v>167</v>
      </c>
      <c r="N1691" s="52" t="str">
        <f>IF(AND('331-CT'!$E$7=TH!H1691,OR(L1691="331",M1691="331")),"331",IF(AND(OR(L1691="131",M1691="131"),H1691='131-CT'!$E$7),"131",""))</f>
        <v/>
      </c>
      <c r="O1691" s="89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8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444"/>
        <v>6</v>
      </c>
      <c r="C1692" s="48">
        <f t="shared" si="442"/>
        <v>41818</v>
      </c>
      <c r="D1692" s="908" t="s">
        <v>1378</v>
      </c>
      <c r="E1692" s="908">
        <v>41818</v>
      </c>
      <c r="F1692" s="909" t="s">
        <v>417</v>
      </c>
      <c r="G1692" s="930" t="s">
        <v>565</v>
      </c>
      <c r="H1692" s="913" t="s">
        <v>1371</v>
      </c>
      <c r="I1692" s="249">
        <v>2917</v>
      </c>
      <c r="J1692" s="249">
        <v>6485.4738800983532</v>
      </c>
      <c r="K1692" s="910">
        <f t="shared" si="443"/>
        <v>18918127</v>
      </c>
      <c r="L1692" s="890" t="s">
        <v>169</v>
      </c>
      <c r="M1692" s="929" t="s">
        <v>167</v>
      </c>
      <c r="N1692" s="52" t="str">
        <f>IF(AND('331-CT'!$E$7=TH!H1692,OR(L1692="331",M1692="331")),"331",IF(AND(OR(L1692="131",M1692="131"),H1692='131-CT'!$E$7),"131",""))</f>
        <v/>
      </c>
      <c r="O1692" s="89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8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444"/>
        <v>6</v>
      </c>
      <c r="C1693" s="48">
        <f t="shared" si="442"/>
        <v>41820</v>
      </c>
      <c r="D1693" s="908" t="s">
        <v>1378</v>
      </c>
      <c r="E1693" s="908">
        <v>41820</v>
      </c>
      <c r="F1693" s="909" t="s">
        <v>566</v>
      </c>
      <c r="G1693" s="930" t="s">
        <v>567</v>
      </c>
      <c r="H1693" s="913" t="s">
        <v>1371</v>
      </c>
      <c r="I1693" s="249">
        <v>550</v>
      </c>
      <c r="J1693" s="249">
        <v>10184.910476850931</v>
      </c>
      <c r="K1693" s="910">
        <f t="shared" si="443"/>
        <v>5601701</v>
      </c>
      <c r="L1693" s="890" t="s">
        <v>169</v>
      </c>
      <c r="M1693" s="929" t="s">
        <v>167</v>
      </c>
      <c r="N1693" s="52" t="str">
        <f>IF(AND('331-CT'!$E$7=TH!H1693,OR(L1693="331",M1693="331")),"331",IF(AND(OR(L1693="131",M1693="131"),H1693='131-CT'!$E$7),"131",""))</f>
        <v/>
      </c>
      <c r="O1693" s="89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8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444"/>
        <v>6</v>
      </c>
      <c r="C1694" s="48">
        <f t="shared" si="442"/>
        <v>41820</v>
      </c>
      <c r="D1694" s="908" t="s">
        <v>1378</v>
      </c>
      <c r="E1694" s="908">
        <v>41820</v>
      </c>
      <c r="F1694" s="909" t="s">
        <v>436</v>
      </c>
      <c r="G1694" s="930" t="s">
        <v>567</v>
      </c>
      <c r="H1694" s="913" t="s">
        <v>1371</v>
      </c>
      <c r="I1694" s="249">
        <v>500</v>
      </c>
      <c r="J1694" s="249">
        <v>9464.4341132145692</v>
      </c>
      <c r="K1694" s="910">
        <f t="shared" si="443"/>
        <v>4732217</v>
      </c>
      <c r="L1694" s="890" t="s">
        <v>169</v>
      </c>
      <c r="M1694" s="929" t="s">
        <v>167</v>
      </c>
      <c r="N1694" s="52" t="str">
        <f>IF(AND('331-CT'!$E$7=TH!H1694,OR(L1694="331",M1694="331")),"331",IF(AND(OR(L1694="131",M1694="131"),H1694='131-CT'!$E$7),"131",""))</f>
        <v/>
      </c>
      <c r="O1694" s="89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8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444"/>
        <v>6</v>
      </c>
      <c r="C1695" s="48">
        <f t="shared" si="442"/>
        <v>41820</v>
      </c>
      <c r="D1695" s="908" t="s">
        <v>1378</v>
      </c>
      <c r="E1695" s="908">
        <v>41820</v>
      </c>
      <c r="F1695" s="909" t="s">
        <v>568</v>
      </c>
      <c r="G1695" s="930" t="s">
        <v>569</v>
      </c>
      <c r="H1695" s="913" t="s">
        <v>1371</v>
      </c>
      <c r="I1695" s="249">
        <v>203</v>
      </c>
      <c r="J1695" s="249">
        <v>9845.2567733130909</v>
      </c>
      <c r="K1695" s="910">
        <f t="shared" si="443"/>
        <v>1998587</v>
      </c>
      <c r="L1695" s="890" t="s">
        <v>169</v>
      </c>
      <c r="M1695" s="929" t="s">
        <v>167</v>
      </c>
      <c r="N1695" s="52" t="str">
        <f>IF(AND('331-CT'!$E$7=TH!H1695,OR(L1695="331",M1695="331")),"331",IF(AND(OR(L1695="131",M1695="131"),H1695='131-CT'!$E$7),"131",""))</f>
        <v/>
      </c>
      <c r="O1695" s="89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8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444"/>
        <v>6</v>
      </c>
      <c r="C1696" s="48">
        <f t="shared" si="442"/>
        <v>41820</v>
      </c>
      <c r="D1696" s="908" t="s">
        <v>1378</v>
      </c>
      <c r="E1696" s="908">
        <v>41820</v>
      </c>
      <c r="F1696" s="909" t="s">
        <v>487</v>
      </c>
      <c r="G1696" s="930" t="s">
        <v>569</v>
      </c>
      <c r="H1696" s="913" t="s">
        <v>1371</v>
      </c>
      <c r="I1696" s="249">
        <v>205</v>
      </c>
      <c r="J1696" s="249">
        <v>5660.4585034584707</v>
      </c>
      <c r="K1696" s="910">
        <f t="shared" si="443"/>
        <v>1160394</v>
      </c>
      <c r="L1696" s="890" t="s">
        <v>169</v>
      </c>
      <c r="M1696" s="929" t="s">
        <v>167</v>
      </c>
      <c r="N1696" s="52" t="str">
        <f>IF(AND('331-CT'!$E$7=TH!H1696,OR(L1696="331",M1696="331")),"331",IF(AND(OR(L1696="131",M1696="131"),H1696='131-CT'!$E$7),"131",""))</f>
        <v/>
      </c>
      <c r="O1696" s="89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8"/>
    </row>
    <row r="1697" spans="1:28" s="850" customFormat="1" ht="15.75" customHeight="1">
      <c r="A1697" s="838" t="str">
        <f>IF(B1697&lt;&gt;"",IF(AND(B1697&gt;=_TM1,B1697&lt;=_TM2,OR(TH!L1697="1111",TH!M1697="1111")),TH!D1697,""),"")</f>
        <v/>
      </c>
      <c r="B1697" s="839">
        <f t="shared" si="444"/>
        <v>7</v>
      </c>
      <c r="C1697" s="927">
        <f t="shared" si="442"/>
        <v>41831</v>
      </c>
      <c r="D1697" s="908" t="s">
        <v>1378</v>
      </c>
      <c r="E1697" s="841">
        <v>41831</v>
      </c>
      <c r="F1697" s="851" t="s">
        <v>515</v>
      </c>
      <c r="G1697" s="852" t="s">
        <v>570</v>
      </c>
      <c r="H1697" s="844" t="s">
        <v>1371</v>
      </c>
      <c r="I1697" s="845">
        <v>570</v>
      </c>
      <c r="J1697" s="845">
        <v>9387.4086014726599</v>
      </c>
      <c r="K1697" s="846">
        <f t="shared" si="443"/>
        <v>5350823</v>
      </c>
      <c r="L1697" s="928" t="s">
        <v>169</v>
      </c>
      <c r="M1697" s="847" t="s">
        <v>167</v>
      </c>
      <c r="N1697" s="52" t="str">
        <f>IF(AND('331-CT'!$E$7=TH!H1697,OR(L1697="331",M1697="331")),"331",IF(AND(OR(L1697="131",M1697="131"),H1697='131-CT'!$E$7),"131",""))</f>
        <v/>
      </c>
      <c r="O1697" s="89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>x</v>
      </c>
      <c r="AB1697" s="848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444"/>
        <v>7</v>
      </c>
      <c r="C1698" s="48">
        <f t="shared" si="442"/>
        <v>41831</v>
      </c>
      <c r="D1698" s="908" t="s">
        <v>1378</v>
      </c>
      <c r="E1698" s="908">
        <v>41831</v>
      </c>
      <c r="F1698" s="909" t="s">
        <v>515</v>
      </c>
      <c r="G1698" s="930" t="s">
        <v>570</v>
      </c>
      <c r="H1698" s="913" t="s">
        <v>1371</v>
      </c>
      <c r="I1698" s="249">
        <v>564</v>
      </c>
      <c r="J1698" s="249">
        <v>9387.4086014726599</v>
      </c>
      <c r="K1698" s="910">
        <f t="shared" si="443"/>
        <v>5294498</v>
      </c>
      <c r="L1698" s="890" t="s">
        <v>169</v>
      </c>
      <c r="M1698" s="929" t="s">
        <v>167</v>
      </c>
      <c r="N1698" s="52" t="str">
        <f>IF(AND('331-CT'!$E$7=TH!H1698,OR(L1698="331",M1698="331")),"331",IF(AND(OR(L1698="131",M1698="131"),H1698='131-CT'!$E$7),"131",""))</f>
        <v/>
      </c>
      <c r="O1698" s="89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>x</v>
      </c>
      <c r="AB1698" s="848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444"/>
        <v>7</v>
      </c>
      <c r="C1699" s="48">
        <f t="shared" si="442"/>
        <v>41832</v>
      </c>
      <c r="D1699" s="908" t="s">
        <v>1378</v>
      </c>
      <c r="E1699" s="908">
        <v>41832</v>
      </c>
      <c r="F1699" s="909" t="s">
        <v>571</v>
      </c>
      <c r="G1699" s="930" t="s">
        <v>572</v>
      </c>
      <c r="H1699" s="913" t="s">
        <v>1371</v>
      </c>
      <c r="I1699" s="249">
        <v>393</v>
      </c>
      <c r="J1699" s="249">
        <v>6203.8526409732367</v>
      </c>
      <c r="K1699" s="910">
        <f t="shared" si="443"/>
        <v>2438114</v>
      </c>
      <c r="L1699" s="890" t="s">
        <v>169</v>
      </c>
      <c r="M1699" s="929" t="s">
        <v>167</v>
      </c>
      <c r="N1699" s="52" t="str">
        <f>IF(AND('331-CT'!$E$7=TH!H1699,OR(L1699="331",M1699="331")),"331",IF(AND(OR(L1699="131",M1699="131"),H1699='131-CT'!$E$7),"131",""))</f>
        <v/>
      </c>
      <c r="O1699" s="89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>x</v>
      </c>
      <c r="AB1699" s="848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444"/>
        <v>7</v>
      </c>
      <c r="C1700" s="48">
        <f t="shared" si="442"/>
        <v>41832</v>
      </c>
      <c r="D1700" s="908" t="s">
        <v>1378</v>
      </c>
      <c r="E1700" s="908">
        <v>41832</v>
      </c>
      <c r="F1700" s="909" t="s">
        <v>573</v>
      </c>
      <c r="G1700" s="930" t="s">
        <v>572</v>
      </c>
      <c r="H1700" s="913" t="s">
        <v>1371</v>
      </c>
      <c r="I1700" s="249">
        <v>480</v>
      </c>
      <c r="J1700" s="249">
        <v>9877.1864415494947</v>
      </c>
      <c r="K1700" s="910">
        <f t="shared" si="443"/>
        <v>4741049</v>
      </c>
      <c r="L1700" s="890" t="s">
        <v>169</v>
      </c>
      <c r="M1700" s="929" t="s">
        <v>167</v>
      </c>
      <c r="N1700" s="52" t="str">
        <f>IF(AND('331-CT'!$E$7=TH!H1700,OR(L1700="331",M1700="331")),"331",IF(AND(OR(L1700="131",M1700="131"),H1700='131-CT'!$E$7),"131",""))</f>
        <v/>
      </c>
      <c r="O1700" s="89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>x</v>
      </c>
      <c r="AB1700" s="848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444"/>
        <v>7</v>
      </c>
      <c r="C1701" s="48">
        <f t="shared" si="442"/>
        <v>41832</v>
      </c>
      <c r="D1701" s="908" t="s">
        <v>1378</v>
      </c>
      <c r="E1701" s="908">
        <v>41832</v>
      </c>
      <c r="F1701" s="909" t="s">
        <v>574</v>
      </c>
      <c r="G1701" s="930" t="s">
        <v>572</v>
      </c>
      <c r="H1701" s="913" t="s">
        <v>1371</v>
      </c>
      <c r="I1701" s="249">
        <v>219</v>
      </c>
      <c r="J1701" s="249">
        <v>9795.5568015366898</v>
      </c>
      <c r="K1701" s="910">
        <f t="shared" si="443"/>
        <v>2145227</v>
      </c>
      <c r="L1701" s="890" t="s">
        <v>169</v>
      </c>
      <c r="M1701" s="929" t="s">
        <v>167</v>
      </c>
      <c r="N1701" s="52" t="str">
        <f>IF(AND('331-CT'!$E$7=TH!H1701,OR(L1701="331",M1701="331")),"331",IF(AND(OR(L1701="131",M1701="131"),H1701='131-CT'!$E$7),"131",""))</f>
        <v/>
      </c>
      <c r="O1701" s="89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>x</v>
      </c>
      <c r="AB1701" s="848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444"/>
        <v>7</v>
      </c>
      <c r="C1702" s="48">
        <f t="shared" si="442"/>
        <v>41834</v>
      </c>
      <c r="D1702" s="908" t="s">
        <v>1378</v>
      </c>
      <c r="E1702" s="908">
        <v>41834</v>
      </c>
      <c r="F1702" s="909" t="s">
        <v>575</v>
      </c>
      <c r="G1702" s="930" t="s">
        <v>576</v>
      </c>
      <c r="H1702" s="913" t="s">
        <v>1371</v>
      </c>
      <c r="I1702" s="249">
        <v>300</v>
      </c>
      <c r="J1702" s="249">
        <v>8897.630761395827</v>
      </c>
      <c r="K1702" s="910">
        <f t="shared" si="443"/>
        <v>2669289</v>
      </c>
      <c r="L1702" s="890" t="s">
        <v>169</v>
      </c>
      <c r="M1702" s="929" t="s">
        <v>167</v>
      </c>
      <c r="N1702" s="52" t="str">
        <f>IF(AND('331-CT'!$E$7=TH!H1702,OR(L1702="331",M1702="331")),"331",IF(AND(OR(L1702="131",M1702="131"),H1702='131-CT'!$E$7),"131",""))</f>
        <v/>
      </c>
      <c r="O1702" s="89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>x</v>
      </c>
      <c r="AB1702" s="848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444"/>
        <v>7</v>
      </c>
      <c r="C1703" s="48">
        <f t="shared" si="442"/>
        <v>41834</v>
      </c>
      <c r="D1703" s="908" t="s">
        <v>1378</v>
      </c>
      <c r="E1703" s="908">
        <v>41834</v>
      </c>
      <c r="F1703" s="909" t="s">
        <v>577</v>
      </c>
      <c r="G1703" s="930" t="s">
        <v>576</v>
      </c>
      <c r="H1703" s="913" t="s">
        <v>1371</v>
      </c>
      <c r="I1703" s="249">
        <v>720</v>
      </c>
      <c r="J1703" s="249">
        <v>9224.1493214470484</v>
      </c>
      <c r="K1703" s="910">
        <f t="shared" si="443"/>
        <v>6641388</v>
      </c>
      <c r="L1703" s="890" t="s">
        <v>169</v>
      </c>
      <c r="M1703" s="929" t="s">
        <v>167</v>
      </c>
      <c r="N1703" s="52" t="str">
        <f>IF(AND('331-CT'!$E$7=TH!H1703,OR(L1703="331",M1703="331")),"331",IF(AND(OR(L1703="131",M1703="131"),H1703='131-CT'!$E$7),"131",""))</f>
        <v/>
      </c>
      <c r="O1703" s="89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>x</v>
      </c>
      <c r="AB1703" s="848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444"/>
        <v>7</v>
      </c>
      <c r="C1704" s="48">
        <f t="shared" si="442"/>
        <v>41834</v>
      </c>
      <c r="D1704" s="908" t="s">
        <v>1378</v>
      </c>
      <c r="E1704" s="908">
        <v>41834</v>
      </c>
      <c r="F1704" s="909" t="s">
        <v>436</v>
      </c>
      <c r="G1704" s="930" t="s">
        <v>578</v>
      </c>
      <c r="H1704" s="913" t="s">
        <v>1371</v>
      </c>
      <c r="I1704" s="249">
        <v>522</v>
      </c>
      <c r="J1704" s="249">
        <v>7754.8158012165459</v>
      </c>
      <c r="K1704" s="910">
        <f t="shared" si="443"/>
        <v>4048014</v>
      </c>
      <c r="L1704" s="890" t="s">
        <v>169</v>
      </c>
      <c r="M1704" s="929" t="s">
        <v>167</v>
      </c>
      <c r="N1704" s="52" t="str">
        <f>IF(AND('331-CT'!$E$7=TH!H1704,OR(L1704="331",M1704="331")),"331",IF(AND(OR(L1704="131",M1704="131"),H1704='131-CT'!$E$7),"131",""))</f>
        <v/>
      </c>
      <c r="O1704" s="89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>x</v>
      </c>
      <c r="AB1704" s="848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444"/>
        <v>7</v>
      </c>
      <c r="C1705" s="48">
        <f t="shared" si="442"/>
        <v>41834</v>
      </c>
      <c r="D1705" s="908" t="s">
        <v>1378</v>
      </c>
      <c r="E1705" s="908">
        <v>41834</v>
      </c>
      <c r="F1705" s="909" t="s">
        <v>574</v>
      </c>
      <c r="G1705" s="930" t="s">
        <v>578</v>
      </c>
      <c r="H1705" s="913" t="s">
        <v>1371</v>
      </c>
      <c r="I1705" s="249">
        <v>525</v>
      </c>
      <c r="J1705" s="249">
        <v>9795.5568015366898</v>
      </c>
      <c r="K1705" s="910">
        <f t="shared" si="443"/>
        <v>5142667</v>
      </c>
      <c r="L1705" s="890" t="s">
        <v>169</v>
      </c>
      <c r="M1705" s="929" t="s">
        <v>167</v>
      </c>
      <c r="N1705" s="52" t="str">
        <f>IF(AND('331-CT'!$E$7=TH!H1705,OR(L1705="331",M1705="331")),"331",IF(AND(OR(L1705="131",M1705="131"),H1705='131-CT'!$E$7),"131",""))</f>
        <v/>
      </c>
      <c r="O1705" s="89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>x</v>
      </c>
      <c r="AB1705" s="848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444"/>
        <v>7</v>
      </c>
      <c r="C1706" s="48">
        <f t="shared" si="442"/>
        <v>41834</v>
      </c>
      <c r="D1706" s="908" t="s">
        <v>1378</v>
      </c>
      <c r="E1706" s="908">
        <v>41834</v>
      </c>
      <c r="F1706" s="909" t="s">
        <v>508</v>
      </c>
      <c r="G1706" s="930" t="s">
        <v>579</v>
      </c>
      <c r="H1706" s="913" t="s">
        <v>1371</v>
      </c>
      <c r="I1706" s="249">
        <v>214</v>
      </c>
      <c r="J1706" s="249">
        <v>7673.1861612037401</v>
      </c>
      <c r="K1706" s="910">
        <f t="shared" si="443"/>
        <v>1642062</v>
      </c>
      <c r="L1706" s="890" t="s">
        <v>169</v>
      </c>
      <c r="M1706" s="929" t="s">
        <v>167</v>
      </c>
      <c r="N1706" s="52" t="str">
        <f>IF(AND('331-CT'!$E$7=TH!H1706,OR(L1706="331",M1706="331")),"331",IF(AND(OR(L1706="131",M1706="131"),H1706='131-CT'!$E$7),"131",""))</f>
        <v/>
      </c>
      <c r="O1706" s="89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>x</v>
      </c>
      <c r="AB1706" s="848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444"/>
        <v>7</v>
      </c>
      <c r="C1707" s="48">
        <f t="shared" si="442"/>
        <v>41834</v>
      </c>
      <c r="D1707" s="908" t="s">
        <v>1378</v>
      </c>
      <c r="E1707" s="908">
        <v>41834</v>
      </c>
      <c r="F1707" s="909" t="s">
        <v>486</v>
      </c>
      <c r="G1707" s="930" t="s">
        <v>579</v>
      </c>
      <c r="H1707" s="913" t="s">
        <v>1371</v>
      </c>
      <c r="I1707" s="249">
        <v>133</v>
      </c>
      <c r="J1707" s="249">
        <v>7265.037961139712</v>
      </c>
      <c r="K1707" s="910">
        <f t="shared" si="443"/>
        <v>966250</v>
      </c>
      <c r="L1707" s="890" t="s">
        <v>169</v>
      </c>
      <c r="M1707" s="929" t="s">
        <v>167</v>
      </c>
      <c r="N1707" s="52" t="str">
        <f>IF(AND('331-CT'!$E$7=TH!H1707,OR(L1707="331",M1707="331")),"331",IF(AND(OR(L1707="131",M1707="131"),H1707='131-CT'!$E$7),"131",""))</f>
        <v/>
      </c>
      <c r="O1707" s="89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>x</v>
      </c>
      <c r="AB1707" s="848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444"/>
        <v>7</v>
      </c>
      <c r="C1708" s="48">
        <f t="shared" si="442"/>
        <v>41837</v>
      </c>
      <c r="D1708" s="908" t="s">
        <v>1378</v>
      </c>
      <c r="E1708" s="908">
        <v>41837</v>
      </c>
      <c r="F1708" s="909" t="s">
        <v>580</v>
      </c>
      <c r="G1708" s="930" t="s">
        <v>581</v>
      </c>
      <c r="H1708" s="913" t="s">
        <v>1371</v>
      </c>
      <c r="I1708" s="249">
        <v>115</v>
      </c>
      <c r="J1708" s="249">
        <v>11183.260681754389</v>
      </c>
      <c r="K1708" s="910">
        <f t="shared" si="443"/>
        <v>1286075</v>
      </c>
      <c r="L1708" s="890" t="s">
        <v>169</v>
      </c>
      <c r="M1708" s="929" t="s">
        <v>167</v>
      </c>
      <c r="N1708" s="52" t="str">
        <f>IF(AND('331-CT'!$E$7=TH!H1708,OR(L1708="331",M1708="331")),"331",IF(AND(OR(L1708="131",M1708="131"),H1708='131-CT'!$E$7),"131",""))</f>
        <v/>
      </c>
      <c r="O1708" s="89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>x</v>
      </c>
      <c r="AB1708" s="848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444"/>
        <v>7</v>
      </c>
      <c r="C1709" s="48">
        <f t="shared" si="442"/>
        <v>41837</v>
      </c>
      <c r="D1709" s="908" t="s">
        <v>1378</v>
      </c>
      <c r="E1709" s="908">
        <v>41837</v>
      </c>
      <c r="F1709" s="909" t="s">
        <v>583</v>
      </c>
      <c r="G1709" s="930" t="s">
        <v>581</v>
      </c>
      <c r="H1709" s="913" t="s">
        <v>1371</v>
      </c>
      <c r="I1709" s="249">
        <v>15</v>
      </c>
      <c r="J1709" s="249">
        <v>14121.927722215394</v>
      </c>
      <c r="K1709" s="910">
        <f t="shared" si="443"/>
        <v>211829</v>
      </c>
      <c r="L1709" s="890" t="s">
        <v>169</v>
      </c>
      <c r="M1709" s="929" t="s">
        <v>167</v>
      </c>
      <c r="N1709" s="52" t="str">
        <f>IF(AND('331-CT'!$E$7=TH!H1709,OR(L1709="331",M1709="331")),"331",IF(AND(OR(L1709="131",M1709="131"),H1709='131-CT'!$E$7),"131",""))</f>
        <v/>
      </c>
      <c r="O1709" s="89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>x</v>
      </c>
      <c r="AB1709" s="848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444"/>
        <v>7</v>
      </c>
      <c r="C1710" s="48">
        <f t="shared" si="442"/>
        <v>41837</v>
      </c>
      <c r="D1710" s="908" t="s">
        <v>1378</v>
      </c>
      <c r="E1710" s="908">
        <v>41837</v>
      </c>
      <c r="F1710" s="909" t="s">
        <v>584</v>
      </c>
      <c r="G1710" s="930" t="s">
        <v>581</v>
      </c>
      <c r="H1710" s="913" t="s">
        <v>1371</v>
      </c>
      <c r="I1710" s="249">
        <v>40</v>
      </c>
      <c r="J1710" s="249">
        <v>8979.2604014086337</v>
      </c>
      <c r="K1710" s="910">
        <f t="shared" si="443"/>
        <v>359170</v>
      </c>
      <c r="L1710" s="890" t="s">
        <v>169</v>
      </c>
      <c r="M1710" s="929" t="s">
        <v>167</v>
      </c>
      <c r="N1710" s="52" t="str">
        <f>IF(AND('331-CT'!$E$7=TH!H1710,OR(L1710="331",M1710="331")),"331",IF(AND(OR(L1710="131",M1710="131"),H1710='131-CT'!$E$7),"131",""))</f>
        <v/>
      </c>
      <c r="O1710" s="89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>x</v>
      </c>
      <c r="AB1710" s="848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444"/>
        <v>7</v>
      </c>
      <c r="C1711" s="48">
        <f t="shared" ref="C1711:C1774" si="445">E1711</f>
        <v>41837</v>
      </c>
      <c r="D1711" s="908" t="s">
        <v>1378</v>
      </c>
      <c r="E1711" s="908">
        <v>41837</v>
      </c>
      <c r="F1711" s="909" t="s">
        <v>585</v>
      </c>
      <c r="G1711" s="930" t="s">
        <v>581</v>
      </c>
      <c r="H1711" s="913" t="s">
        <v>1371</v>
      </c>
      <c r="I1711" s="249">
        <v>720</v>
      </c>
      <c r="J1711" s="249">
        <v>11183.260681754389</v>
      </c>
      <c r="K1711" s="910">
        <f t="shared" ref="K1711:K1774" si="446">ROUND(I1711*J1711,0)</f>
        <v>8051948</v>
      </c>
      <c r="L1711" s="890" t="s">
        <v>169</v>
      </c>
      <c r="M1711" s="929" t="s">
        <v>167</v>
      </c>
      <c r="N1711" s="52" t="str">
        <f>IF(AND('331-CT'!$E$7=TH!H1711,OR(L1711="331",M1711="331")),"331",IF(AND(OR(L1711="131",M1711="131"),H1711='131-CT'!$E$7),"131",""))</f>
        <v/>
      </c>
      <c r="O1711" s="89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>x</v>
      </c>
      <c r="AB1711" s="848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444"/>
        <v>7</v>
      </c>
      <c r="C1712" s="48">
        <f t="shared" si="445"/>
        <v>41837</v>
      </c>
      <c r="D1712" s="908" t="s">
        <v>1378</v>
      </c>
      <c r="E1712" s="908">
        <v>41837</v>
      </c>
      <c r="F1712" s="909" t="s">
        <v>586</v>
      </c>
      <c r="G1712" s="930" t="s">
        <v>581</v>
      </c>
      <c r="H1712" s="913" t="s">
        <v>1371</v>
      </c>
      <c r="I1712" s="249">
        <v>370</v>
      </c>
      <c r="J1712" s="249">
        <v>10122.075361587913</v>
      </c>
      <c r="K1712" s="910">
        <f t="shared" si="446"/>
        <v>3745168</v>
      </c>
      <c r="L1712" s="890" t="s">
        <v>169</v>
      </c>
      <c r="M1712" s="929" t="s">
        <v>167</v>
      </c>
      <c r="N1712" s="52" t="str">
        <f>IF(AND('331-CT'!$E$7=TH!H1712,OR(L1712="331",M1712="331")),"331",IF(AND(OR(L1712="131",M1712="131"),H1712='131-CT'!$E$7),"131",""))</f>
        <v/>
      </c>
      <c r="O1712" s="89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>x</v>
      </c>
      <c r="AB1712" s="848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444"/>
        <v>7</v>
      </c>
      <c r="C1713" s="48">
        <f t="shared" si="445"/>
        <v>41837</v>
      </c>
      <c r="D1713" s="908" t="s">
        <v>1378</v>
      </c>
      <c r="E1713" s="908">
        <v>41837</v>
      </c>
      <c r="F1713" s="909" t="s">
        <v>494</v>
      </c>
      <c r="G1713" s="930" t="s">
        <v>587</v>
      </c>
      <c r="H1713" s="913" t="s">
        <v>1371</v>
      </c>
      <c r="I1713" s="249">
        <v>500</v>
      </c>
      <c r="J1713" s="249">
        <v>7101.7786811141004</v>
      </c>
      <c r="K1713" s="910">
        <f t="shared" si="446"/>
        <v>3550889</v>
      </c>
      <c r="L1713" s="890" t="s">
        <v>169</v>
      </c>
      <c r="M1713" s="929" t="s">
        <v>167</v>
      </c>
      <c r="N1713" s="52" t="str">
        <f>IF(AND('331-CT'!$E$7=TH!H1713,OR(L1713="331",M1713="331")),"331",IF(AND(OR(L1713="131",M1713="131"),H1713='131-CT'!$E$7),"131",""))</f>
        <v/>
      </c>
      <c r="O1713" s="89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>x</v>
      </c>
      <c r="AB1713" s="848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444"/>
        <v>7</v>
      </c>
      <c r="C1714" s="48">
        <f t="shared" si="445"/>
        <v>41837</v>
      </c>
      <c r="D1714" s="908" t="s">
        <v>1378</v>
      </c>
      <c r="E1714" s="908">
        <v>41837</v>
      </c>
      <c r="F1714" s="909" t="s">
        <v>512</v>
      </c>
      <c r="G1714" s="930" t="s">
        <v>587</v>
      </c>
      <c r="H1714" s="913" t="s">
        <v>1371</v>
      </c>
      <c r="I1714" s="249">
        <v>410</v>
      </c>
      <c r="J1714" s="249">
        <v>5714.0748008964019</v>
      </c>
      <c r="K1714" s="910">
        <f t="shared" si="446"/>
        <v>2342771</v>
      </c>
      <c r="L1714" s="890" t="s">
        <v>169</v>
      </c>
      <c r="M1714" s="929" t="s">
        <v>167</v>
      </c>
      <c r="N1714" s="52" t="str">
        <f>IF(AND('331-CT'!$E$7=TH!H1714,OR(L1714="331",M1714="331")),"331",IF(AND(OR(L1714="131",M1714="131"),H1714='131-CT'!$E$7),"131",""))</f>
        <v/>
      </c>
      <c r="O1714" s="89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>x</v>
      </c>
      <c r="AB1714" s="848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444"/>
        <v>7</v>
      </c>
      <c r="C1715" s="48">
        <f t="shared" si="445"/>
        <v>41837</v>
      </c>
      <c r="D1715" s="908" t="s">
        <v>1378</v>
      </c>
      <c r="E1715" s="908">
        <v>41837</v>
      </c>
      <c r="F1715" s="909" t="s">
        <v>483</v>
      </c>
      <c r="G1715" s="930" t="s">
        <v>587</v>
      </c>
      <c r="H1715" s="913" t="s">
        <v>1371</v>
      </c>
      <c r="I1715" s="249">
        <v>280</v>
      </c>
      <c r="J1715" s="249">
        <v>10938.371761715971</v>
      </c>
      <c r="K1715" s="910">
        <f t="shared" si="446"/>
        <v>3062744</v>
      </c>
      <c r="L1715" s="890" t="s">
        <v>169</v>
      </c>
      <c r="M1715" s="929" t="s">
        <v>167</v>
      </c>
      <c r="N1715" s="52" t="str">
        <f>IF(AND('331-CT'!$E$7=TH!H1715,OR(L1715="331",M1715="331")),"331",IF(AND(OR(L1715="131",M1715="131"),H1715='131-CT'!$E$7),"131",""))</f>
        <v/>
      </c>
      <c r="O1715" s="89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>x</v>
      </c>
      <c r="AB1715" s="848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444"/>
        <v>7</v>
      </c>
      <c r="C1716" s="48">
        <f t="shared" si="445"/>
        <v>41842</v>
      </c>
      <c r="D1716" s="908" t="s">
        <v>1378</v>
      </c>
      <c r="E1716" s="908">
        <v>41842</v>
      </c>
      <c r="F1716" s="909" t="s">
        <v>421</v>
      </c>
      <c r="G1716" s="930" t="s">
        <v>588</v>
      </c>
      <c r="H1716" s="913" t="s">
        <v>1371</v>
      </c>
      <c r="I1716" s="249">
        <v>513</v>
      </c>
      <c r="J1716" s="249">
        <v>11836.297801856834</v>
      </c>
      <c r="K1716" s="910">
        <f t="shared" si="446"/>
        <v>6072021</v>
      </c>
      <c r="L1716" s="890" t="s">
        <v>169</v>
      </c>
      <c r="M1716" s="929" t="s">
        <v>167</v>
      </c>
      <c r="N1716" s="52" t="str">
        <f>IF(AND('331-CT'!$E$7=TH!H1716,OR(L1716="331",M1716="331")),"331",IF(AND(OR(L1716="131",M1716="131"),H1716='131-CT'!$E$7),"131",""))</f>
        <v/>
      </c>
      <c r="O1716" s="89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>x</v>
      </c>
      <c r="AB1716" s="848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444"/>
        <v>7</v>
      </c>
      <c r="C1717" s="48">
        <f t="shared" si="445"/>
        <v>41842</v>
      </c>
      <c r="D1717" s="908" t="s">
        <v>1378</v>
      </c>
      <c r="E1717" s="908">
        <v>41842</v>
      </c>
      <c r="F1717" s="909" t="s">
        <v>445</v>
      </c>
      <c r="G1717" s="930" t="s">
        <v>588</v>
      </c>
      <c r="H1717" s="913" t="s">
        <v>1371</v>
      </c>
      <c r="I1717" s="249">
        <v>1026</v>
      </c>
      <c r="J1717" s="249">
        <v>816.29640012805748</v>
      </c>
      <c r="K1717" s="910">
        <f t="shared" si="446"/>
        <v>837520</v>
      </c>
      <c r="L1717" s="890" t="s">
        <v>169</v>
      </c>
      <c r="M1717" s="929" t="s">
        <v>167</v>
      </c>
      <c r="N1717" s="52" t="str">
        <f>IF(AND('331-CT'!$E$7=TH!H1717,OR(L1717="331",M1717="331")),"331",IF(AND(OR(L1717="131",M1717="131"),H1717='131-CT'!$E$7),"131",""))</f>
        <v/>
      </c>
      <c r="O1717" s="89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>x</v>
      </c>
      <c r="AB1717" s="848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444"/>
        <v>7</v>
      </c>
      <c r="C1718" s="48">
        <f t="shared" si="445"/>
        <v>41842</v>
      </c>
      <c r="D1718" s="908" t="s">
        <v>1378</v>
      </c>
      <c r="E1718" s="908">
        <v>41842</v>
      </c>
      <c r="F1718" s="909" t="s">
        <v>480</v>
      </c>
      <c r="G1718" s="930" t="s">
        <v>589</v>
      </c>
      <c r="H1718" s="913" t="s">
        <v>1371</v>
      </c>
      <c r="I1718" s="249">
        <v>1600</v>
      </c>
      <c r="J1718" s="249">
        <v>5632.4451608835961</v>
      </c>
      <c r="K1718" s="910">
        <f t="shared" si="446"/>
        <v>9011912</v>
      </c>
      <c r="L1718" s="890" t="s">
        <v>169</v>
      </c>
      <c r="M1718" s="929" t="s">
        <v>167</v>
      </c>
      <c r="N1718" s="52" t="str">
        <f>IF(AND('331-CT'!$E$7=TH!H1718,OR(L1718="331",M1718="331")),"331",IF(AND(OR(L1718="131",M1718="131"),H1718='131-CT'!$E$7),"131",""))</f>
        <v/>
      </c>
      <c r="O1718" s="89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>x</v>
      </c>
      <c r="AB1718" s="848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444"/>
        <v>7</v>
      </c>
      <c r="C1719" s="48">
        <f t="shared" si="445"/>
        <v>41843</v>
      </c>
      <c r="D1719" s="908" t="s">
        <v>1378</v>
      </c>
      <c r="E1719" s="908">
        <v>41843</v>
      </c>
      <c r="F1719" s="909" t="s">
        <v>500</v>
      </c>
      <c r="G1719" s="930" t="s">
        <v>590</v>
      </c>
      <c r="H1719" s="913" t="s">
        <v>1371</v>
      </c>
      <c r="I1719" s="249">
        <v>563</v>
      </c>
      <c r="J1719" s="249">
        <v>6856.8897610756831</v>
      </c>
      <c r="K1719" s="910">
        <f t="shared" si="446"/>
        <v>3860429</v>
      </c>
      <c r="L1719" s="890" t="s">
        <v>169</v>
      </c>
      <c r="M1719" s="929" t="s">
        <v>167</v>
      </c>
      <c r="N1719" s="52" t="str">
        <f>IF(AND('331-CT'!$E$7=TH!H1719,OR(L1719="331",M1719="331")),"331",IF(AND(OR(L1719="131",M1719="131"),H1719='131-CT'!$E$7),"131",""))</f>
        <v/>
      </c>
      <c r="O1719" s="89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>x</v>
      </c>
      <c r="AB1719" s="848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444"/>
        <v>7</v>
      </c>
      <c r="C1720" s="48">
        <f t="shared" si="445"/>
        <v>41843</v>
      </c>
      <c r="D1720" s="908" t="s">
        <v>1378</v>
      </c>
      <c r="E1720" s="908">
        <v>41843</v>
      </c>
      <c r="F1720" s="909" t="s">
        <v>503</v>
      </c>
      <c r="G1720" s="930" t="s">
        <v>590</v>
      </c>
      <c r="H1720" s="913" t="s">
        <v>1371</v>
      </c>
      <c r="I1720" s="249">
        <v>212</v>
      </c>
      <c r="J1720" s="249">
        <v>7346.6676011525178</v>
      </c>
      <c r="K1720" s="910">
        <f t="shared" si="446"/>
        <v>1557494</v>
      </c>
      <c r="L1720" s="890" t="s">
        <v>169</v>
      </c>
      <c r="M1720" s="929" t="s">
        <v>167</v>
      </c>
      <c r="N1720" s="52" t="str">
        <f>IF(AND('331-CT'!$E$7=TH!H1720,OR(L1720="331",M1720="331")),"331",IF(AND(OR(L1720="131",M1720="131"),H1720='131-CT'!$E$7),"131",""))</f>
        <v/>
      </c>
      <c r="O1720" s="89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>x</v>
      </c>
      <c r="AB1720" s="848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444"/>
        <v>7</v>
      </c>
      <c r="C1721" s="48">
        <f t="shared" si="445"/>
        <v>41843</v>
      </c>
      <c r="D1721" s="908" t="s">
        <v>1378</v>
      </c>
      <c r="E1721" s="908">
        <v>41843</v>
      </c>
      <c r="F1721" s="909" t="s">
        <v>406</v>
      </c>
      <c r="G1721" s="930" t="s">
        <v>590</v>
      </c>
      <c r="H1721" s="913" t="s">
        <v>1371</v>
      </c>
      <c r="I1721" s="249">
        <v>197</v>
      </c>
      <c r="J1721" s="249">
        <v>8081.3343612677691</v>
      </c>
      <c r="K1721" s="910">
        <f t="shared" si="446"/>
        <v>1592023</v>
      </c>
      <c r="L1721" s="890" t="s">
        <v>169</v>
      </c>
      <c r="M1721" s="929" t="s">
        <v>167</v>
      </c>
      <c r="N1721" s="52" t="str">
        <f>IF(AND('331-CT'!$E$7=TH!H1721,OR(L1721="331",M1721="331")),"331",IF(AND(OR(L1721="131",M1721="131"),H1721='131-CT'!$E$7),"131",""))</f>
        <v/>
      </c>
      <c r="O1721" s="89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>x</v>
      </c>
      <c r="AB1721" s="848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444"/>
        <v>7</v>
      </c>
      <c r="C1722" s="48">
        <f t="shared" si="445"/>
        <v>41843</v>
      </c>
      <c r="D1722" s="908" t="s">
        <v>1378</v>
      </c>
      <c r="E1722" s="908">
        <v>41843</v>
      </c>
      <c r="F1722" s="909" t="s">
        <v>504</v>
      </c>
      <c r="G1722" s="930" t="s">
        <v>590</v>
      </c>
      <c r="H1722" s="913" t="s">
        <v>1371</v>
      </c>
      <c r="I1722" s="249">
        <v>216</v>
      </c>
      <c r="J1722" s="249">
        <v>7754.8158012165459</v>
      </c>
      <c r="K1722" s="910">
        <f t="shared" si="446"/>
        <v>1675040</v>
      </c>
      <c r="L1722" s="890" t="s">
        <v>169</v>
      </c>
      <c r="M1722" s="929" t="s">
        <v>167</v>
      </c>
      <c r="N1722" s="52" t="str">
        <f>IF(AND('331-CT'!$E$7=TH!H1722,OR(L1722="331",M1722="331")),"331",IF(AND(OR(L1722="131",M1722="131"),H1722='131-CT'!$E$7),"131",""))</f>
        <v/>
      </c>
      <c r="O1722" s="89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>x</v>
      </c>
      <c r="AB1722" s="848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444"/>
        <v>7</v>
      </c>
      <c r="C1723" s="48">
        <f t="shared" si="445"/>
        <v>41843</v>
      </c>
      <c r="D1723" s="908" t="s">
        <v>1378</v>
      </c>
      <c r="E1723" s="908">
        <v>41843</v>
      </c>
      <c r="F1723" s="909" t="s">
        <v>591</v>
      </c>
      <c r="G1723" s="930" t="s">
        <v>592</v>
      </c>
      <c r="H1723" s="913" t="s">
        <v>1371</v>
      </c>
      <c r="I1723" s="249">
        <v>413</v>
      </c>
      <c r="J1723" s="249">
        <v>17305.483682714821</v>
      </c>
      <c r="K1723" s="910">
        <f t="shared" si="446"/>
        <v>7147165</v>
      </c>
      <c r="L1723" s="890" t="s">
        <v>169</v>
      </c>
      <c r="M1723" s="929" t="s">
        <v>167</v>
      </c>
      <c r="N1723" s="52" t="str">
        <f>IF(AND('331-CT'!$E$7=TH!H1723,OR(L1723="331",M1723="331")),"331",IF(AND(OR(L1723="131",M1723="131"),H1723='131-CT'!$E$7),"131",""))</f>
        <v/>
      </c>
      <c r="O1723" s="89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>x</v>
      </c>
      <c r="AB1723" s="848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444"/>
        <v>7</v>
      </c>
      <c r="C1724" s="48">
        <f t="shared" si="445"/>
        <v>41843</v>
      </c>
      <c r="D1724" s="908" t="s">
        <v>1378</v>
      </c>
      <c r="E1724" s="908">
        <v>41843</v>
      </c>
      <c r="F1724" s="909" t="s">
        <v>593</v>
      </c>
      <c r="G1724" s="930" t="s">
        <v>594</v>
      </c>
      <c r="H1724" s="913" t="s">
        <v>1371</v>
      </c>
      <c r="I1724" s="249">
        <v>190</v>
      </c>
      <c r="J1724" s="249">
        <v>24407.262363828919</v>
      </c>
      <c r="K1724" s="910">
        <f t="shared" si="446"/>
        <v>4637380</v>
      </c>
      <c r="L1724" s="890" t="s">
        <v>169</v>
      </c>
      <c r="M1724" s="929" t="s">
        <v>167</v>
      </c>
      <c r="N1724" s="52" t="str">
        <f>IF(AND('331-CT'!$E$7=TH!H1724,OR(L1724="331",M1724="331")),"331",IF(AND(OR(L1724="131",M1724="131"),H1724='131-CT'!$E$7),"131",""))</f>
        <v/>
      </c>
      <c r="O1724" s="89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>x</v>
      </c>
      <c r="AB1724" s="848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444"/>
        <v>7</v>
      </c>
      <c r="C1725" s="48">
        <f t="shared" si="445"/>
        <v>41843</v>
      </c>
      <c r="D1725" s="908" t="s">
        <v>1378</v>
      </c>
      <c r="E1725" s="908">
        <v>41843</v>
      </c>
      <c r="F1725" s="909" t="s">
        <v>595</v>
      </c>
      <c r="G1725" s="930" t="s">
        <v>596</v>
      </c>
      <c r="H1725" s="913" t="s">
        <v>1371</v>
      </c>
      <c r="I1725" s="249">
        <v>202</v>
      </c>
      <c r="J1725" s="249">
        <v>7428.2972411653236</v>
      </c>
      <c r="K1725" s="910">
        <f t="shared" si="446"/>
        <v>1500516</v>
      </c>
      <c r="L1725" s="890" t="s">
        <v>169</v>
      </c>
      <c r="M1725" s="929" t="s">
        <v>167</v>
      </c>
      <c r="N1725" s="52" t="str">
        <f>IF(AND('331-CT'!$E$7=TH!H1725,OR(L1725="331",M1725="331")),"331",IF(AND(OR(L1725="131",M1725="131"),H1725='131-CT'!$E$7),"131",""))</f>
        <v/>
      </c>
      <c r="O1725" s="89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>x</v>
      </c>
      <c r="AB1725" s="848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444"/>
        <v>7</v>
      </c>
      <c r="C1726" s="48">
        <f t="shared" si="445"/>
        <v>41843</v>
      </c>
      <c r="D1726" s="908" t="s">
        <v>1378</v>
      </c>
      <c r="E1726" s="908">
        <v>41843</v>
      </c>
      <c r="F1726" s="909" t="s">
        <v>597</v>
      </c>
      <c r="G1726" s="930" t="s">
        <v>596</v>
      </c>
      <c r="H1726" s="913" t="s">
        <v>1371</v>
      </c>
      <c r="I1726" s="249">
        <v>103</v>
      </c>
      <c r="J1726" s="249">
        <v>16652.446562612375</v>
      </c>
      <c r="K1726" s="910">
        <f t="shared" si="446"/>
        <v>1715202</v>
      </c>
      <c r="L1726" s="890" t="s">
        <v>169</v>
      </c>
      <c r="M1726" s="929" t="s">
        <v>167</v>
      </c>
      <c r="N1726" s="52" t="str">
        <f>IF(AND('331-CT'!$E$7=TH!H1726,OR(L1726="331",M1726="331")),"331",IF(AND(OR(L1726="131",M1726="131"),H1726='131-CT'!$E$7),"131",""))</f>
        <v/>
      </c>
      <c r="O1726" s="89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>x</v>
      </c>
      <c r="AB1726" s="848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444"/>
        <v>7</v>
      </c>
      <c r="C1727" s="48">
        <f t="shared" si="445"/>
        <v>41845</v>
      </c>
      <c r="D1727" s="908" t="s">
        <v>1378</v>
      </c>
      <c r="E1727" s="908">
        <v>41845</v>
      </c>
      <c r="F1727" s="909" t="s">
        <v>598</v>
      </c>
      <c r="G1727" s="930" t="s">
        <v>599</v>
      </c>
      <c r="H1727" s="913" t="s">
        <v>1371</v>
      </c>
      <c r="I1727" s="249">
        <v>100</v>
      </c>
      <c r="J1727" s="249">
        <v>5469.1858808579855</v>
      </c>
      <c r="K1727" s="910">
        <f t="shared" si="446"/>
        <v>546919</v>
      </c>
      <c r="L1727" s="890" t="s">
        <v>169</v>
      </c>
      <c r="M1727" s="929" t="s">
        <v>167</v>
      </c>
      <c r="N1727" s="52" t="str">
        <f>IF(AND('331-CT'!$E$7=TH!H1727,OR(L1727="331",M1727="331")),"331",IF(AND(OR(L1727="131",M1727="131"),H1727='131-CT'!$E$7),"131",""))</f>
        <v/>
      </c>
      <c r="O1727" s="89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>x</v>
      </c>
      <c r="AB1727" s="848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444"/>
        <v>7</v>
      </c>
      <c r="C1728" s="48">
        <f t="shared" si="445"/>
        <v>41845</v>
      </c>
      <c r="D1728" s="908" t="s">
        <v>1378</v>
      </c>
      <c r="E1728" s="908">
        <v>41845</v>
      </c>
      <c r="F1728" s="909" t="s">
        <v>600</v>
      </c>
      <c r="G1728" s="930" t="s">
        <v>601</v>
      </c>
      <c r="H1728" s="913" t="s">
        <v>1371</v>
      </c>
      <c r="I1728" s="249">
        <v>371</v>
      </c>
      <c r="J1728" s="249">
        <v>10366.964281626329</v>
      </c>
      <c r="K1728" s="910">
        <f t="shared" si="446"/>
        <v>3846144</v>
      </c>
      <c r="L1728" s="890" t="s">
        <v>169</v>
      </c>
      <c r="M1728" s="929" t="s">
        <v>167</v>
      </c>
      <c r="N1728" s="52" t="str">
        <f>IF(AND('331-CT'!$E$7=TH!H1728,OR(L1728="331",M1728="331")),"331",IF(AND(OR(L1728="131",M1728="131"),H1728='131-CT'!$E$7),"131",""))</f>
        <v/>
      </c>
      <c r="O1728" s="89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>x</v>
      </c>
      <c r="AB1728" s="848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444"/>
        <v>7</v>
      </c>
      <c r="C1729" s="48">
        <f t="shared" si="445"/>
        <v>41845</v>
      </c>
      <c r="D1729" s="908" t="s">
        <v>1378</v>
      </c>
      <c r="E1729" s="908">
        <v>41845</v>
      </c>
      <c r="F1729" s="909" t="s">
        <v>603</v>
      </c>
      <c r="G1729" s="930" t="s">
        <v>601</v>
      </c>
      <c r="H1729" s="913" t="s">
        <v>1371</v>
      </c>
      <c r="I1729" s="249">
        <v>156</v>
      </c>
      <c r="J1729" s="249">
        <v>9469.0382414854666</v>
      </c>
      <c r="K1729" s="910">
        <f t="shared" si="446"/>
        <v>1477170</v>
      </c>
      <c r="L1729" s="890" t="s">
        <v>169</v>
      </c>
      <c r="M1729" s="929" t="s">
        <v>167</v>
      </c>
      <c r="N1729" s="52" t="str">
        <f>IF(AND('331-CT'!$E$7=TH!H1729,OR(L1729="331",M1729="331")),"331",IF(AND(OR(L1729="131",M1729="131"),H1729='131-CT'!$E$7),"131",""))</f>
        <v/>
      </c>
      <c r="O1729" s="89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>x</v>
      </c>
      <c r="AB1729" s="848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444"/>
        <v>7</v>
      </c>
      <c r="C1730" s="48">
        <f t="shared" si="445"/>
        <v>41845</v>
      </c>
      <c r="D1730" s="908" t="s">
        <v>1378</v>
      </c>
      <c r="E1730" s="908">
        <v>41845</v>
      </c>
      <c r="F1730" s="909" t="s">
        <v>623</v>
      </c>
      <c r="G1730" s="930" t="s">
        <v>601</v>
      </c>
      <c r="H1730" s="913" t="s">
        <v>1371</v>
      </c>
      <c r="I1730" s="249">
        <v>1400</v>
      </c>
      <c r="J1730" s="249">
        <v>489.77784007683448</v>
      </c>
      <c r="K1730" s="910">
        <f t="shared" si="446"/>
        <v>685689</v>
      </c>
      <c r="L1730" s="890" t="s">
        <v>169</v>
      </c>
      <c r="M1730" s="929" t="s">
        <v>167</v>
      </c>
      <c r="N1730" s="52" t="str">
        <f>IF(AND('331-CT'!$E$7=TH!H1730,OR(L1730="331",M1730="331")),"331",IF(AND(OR(L1730="131",M1730="131"),H1730='131-CT'!$E$7),"131",""))</f>
        <v/>
      </c>
      <c r="O1730" s="89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>x</v>
      </c>
      <c r="AB1730" s="848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444"/>
        <v>7</v>
      </c>
      <c r="C1731" s="48">
        <f t="shared" si="445"/>
        <v>41845</v>
      </c>
      <c r="D1731" s="908" t="s">
        <v>1378</v>
      </c>
      <c r="E1731" s="908">
        <v>41845</v>
      </c>
      <c r="F1731" s="909" t="s">
        <v>604</v>
      </c>
      <c r="G1731" s="930" t="s">
        <v>605</v>
      </c>
      <c r="H1731" s="913" t="s">
        <v>1371</v>
      </c>
      <c r="I1731" s="249">
        <v>97</v>
      </c>
      <c r="J1731" s="249">
        <v>8734.3714813702154</v>
      </c>
      <c r="K1731" s="910">
        <f t="shared" si="446"/>
        <v>847234</v>
      </c>
      <c r="L1731" s="890" t="s">
        <v>169</v>
      </c>
      <c r="M1731" s="929" t="s">
        <v>167</v>
      </c>
      <c r="N1731" s="52" t="str">
        <f>IF(AND('331-CT'!$E$7=TH!H1731,OR(L1731="331",M1731="331")),"331",IF(AND(OR(L1731="131",M1731="131"),H1731='131-CT'!$E$7),"131",""))</f>
        <v/>
      </c>
      <c r="O1731" s="89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>x</v>
      </c>
      <c r="AB1731" s="848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444"/>
        <v>7</v>
      </c>
      <c r="C1732" s="48">
        <f t="shared" si="445"/>
        <v>41849</v>
      </c>
      <c r="D1732" s="908" t="s">
        <v>1378</v>
      </c>
      <c r="E1732" s="908">
        <v>41849</v>
      </c>
      <c r="F1732" s="909" t="s">
        <v>606</v>
      </c>
      <c r="G1732" s="930" t="s">
        <v>607</v>
      </c>
      <c r="H1732" s="913" t="s">
        <v>1371</v>
      </c>
      <c r="I1732" s="249">
        <v>1920</v>
      </c>
      <c r="J1732" s="249">
        <v>9713.9271615238831</v>
      </c>
      <c r="K1732" s="910">
        <f t="shared" si="446"/>
        <v>18650740</v>
      </c>
      <c r="L1732" s="890" t="s">
        <v>169</v>
      </c>
      <c r="M1732" s="929" t="s">
        <v>167</v>
      </c>
      <c r="N1732" s="52" t="str">
        <f>IF(AND('331-CT'!$E$7=TH!H1732,OR(L1732="331",M1732="331")),"331",IF(AND(OR(L1732="131",M1732="131"),H1732='131-CT'!$E$7),"131",""))</f>
        <v/>
      </c>
      <c r="O1732" s="89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>x</v>
      </c>
      <c r="AB1732" s="848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444"/>
        <v>7</v>
      </c>
      <c r="C1733" s="48">
        <f t="shared" si="445"/>
        <v>41849</v>
      </c>
      <c r="D1733" s="908" t="s">
        <v>1378</v>
      </c>
      <c r="E1733" s="908">
        <v>41849</v>
      </c>
      <c r="F1733" s="909" t="s">
        <v>608</v>
      </c>
      <c r="G1733" s="930" t="s">
        <v>607</v>
      </c>
      <c r="H1733" s="913" t="s">
        <v>1371</v>
      </c>
      <c r="I1733" s="249">
        <v>560</v>
      </c>
      <c r="J1733" s="249">
        <v>12570.964561972085</v>
      </c>
      <c r="K1733" s="910">
        <f t="shared" si="446"/>
        <v>7039740</v>
      </c>
      <c r="L1733" s="890" t="s">
        <v>169</v>
      </c>
      <c r="M1733" s="929" t="s">
        <v>167</v>
      </c>
      <c r="N1733" s="52" t="str">
        <f>IF(AND('331-CT'!$E$7=TH!H1733,OR(L1733="331",M1733="331")),"331",IF(AND(OR(L1733="131",M1733="131"),H1733='131-CT'!$E$7),"131",""))</f>
        <v/>
      </c>
      <c r="O1733" s="89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>x</v>
      </c>
      <c r="AB1733" s="848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444"/>
        <v>7</v>
      </c>
      <c r="C1734" s="48">
        <f t="shared" si="445"/>
        <v>41849</v>
      </c>
      <c r="D1734" s="908" t="s">
        <v>1378</v>
      </c>
      <c r="E1734" s="908">
        <v>41849</v>
      </c>
      <c r="F1734" s="909" t="s">
        <v>566</v>
      </c>
      <c r="G1734" s="930" t="s">
        <v>609</v>
      </c>
      <c r="H1734" s="913" t="s">
        <v>1371</v>
      </c>
      <c r="I1734" s="249">
        <v>515</v>
      </c>
      <c r="J1734" s="249">
        <v>7918.0750812421575</v>
      </c>
      <c r="K1734" s="910">
        <f t="shared" si="446"/>
        <v>4077809</v>
      </c>
      <c r="L1734" s="890" t="s">
        <v>169</v>
      </c>
      <c r="M1734" s="929" t="s">
        <v>167</v>
      </c>
      <c r="N1734" s="52" t="str">
        <f>IF(AND('331-CT'!$E$7=TH!H1734,OR(L1734="331",M1734="331")),"331",IF(AND(OR(L1734="131",M1734="131"),H1734='131-CT'!$E$7),"131",""))</f>
        <v/>
      </c>
      <c r="O1734" s="89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>x</v>
      </c>
      <c r="AB1734" s="848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444"/>
        <v>7</v>
      </c>
      <c r="C1735" s="48">
        <f t="shared" si="445"/>
        <v>41849</v>
      </c>
      <c r="D1735" s="908" t="s">
        <v>1378</v>
      </c>
      <c r="E1735" s="908">
        <v>41849</v>
      </c>
      <c r="F1735" s="909" t="s">
        <v>610</v>
      </c>
      <c r="G1735" s="930" t="s">
        <v>609</v>
      </c>
      <c r="H1735" s="913" t="s">
        <v>1371</v>
      </c>
      <c r="I1735" s="249">
        <v>500</v>
      </c>
      <c r="J1735" s="249">
        <v>5061.0376807939565</v>
      </c>
      <c r="K1735" s="910">
        <f t="shared" si="446"/>
        <v>2530519</v>
      </c>
      <c r="L1735" s="890" t="s">
        <v>169</v>
      </c>
      <c r="M1735" s="929" t="s">
        <v>167</v>
      </c>
      <c r="N1735" s="52" t="str">
        <f>IF(AND('331-CT'!$E$7=TH!H1735,OR(L1735="331",M1735="331")),"331",IF(AND(OR(L1735="131",M1735="131"),H1735='131-CT'!$E$7),"131",""))</f>
        <v/>
      </c>
      <c r="O1735" s="89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>x</v>
      </c>
      <c r="AB1735" s="848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444"/>
        <v>7</v>
      </c>
      <c r="C1736" s="48">
        <f t="shared" si="445"/>
        <v>41850</v>
      </c>
      <c r="D1736" s="908" t="s">
        <v>1378</v>
      </c>
      <c r="E1736" s="908">
        <v>41850</v>
      </c>
      <c r="F1736" s="909" t="s">
        <v>417</v>
      </c>
      <c r="G1736" s="930" t="s">
        <v>611</v>
      </c>
      <c r="H1736" s="913" t="s">
        <v>1371</v>
      </c>
      <c r="I1736" s="249">
        <v>2554</v>
      </c>
      <c r="J1736" s="249">
        <v>5469.1858808579855</v>
      </c>
      <c r="K1736" s="910">
        <f t="shared" si="446"/>
        <v>13968301</v>
      </c>
      <c r="L1736" s="890" t="s">
        <v>169</v>
      </c>
      <c r="M1736" s="929" t="s">
        <v>167</v>
      </c>
      <c r="N1736" s="52" t="str">
        <f>IF(AND('331-CT'!$E$7=TH!H1736,OR(L1736="331",M1736="331")),"331",IF(AND(OR(L1736="131",M1736="131"),H1736='131-CT'!$E$7),"131",""))</f>
        <v/>
      </c>
      <c r="O1736" s="89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>x</v>
      </c>
      <c r="AB1736" s="848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444"/>
        <v>7</v>
      </c>
      <c r="C1737" s="48">
        <f t="shared" si="445"/>
        <v>41850</v>
      </c>
      <c r="D1737" s="908" t="s">
        <v>1378</v>
      </c>
      <c r="E1737" s="908">
        <v>41850</v>
      </c>
      <c r="F1737" s="909" t="s">
        <v>612</v>
      </c>
      <c r="G1737" s="930" t="s">
        <v>611</v>
      </c>
      <c r="H1737" s="913" t="s">
        <v>1371</v>
      </c>
      <c r="I1737" s="249">
        <v>330</v>
      </c>
      <c r="J1737" s="249">
        <v>4326.3709206787053</v>
      </c>
      <c r="K1737" s="910">
        <f t="shared" si="446"/>
        <v>1427702</v>
      </c>
      <c r="L1737" s="890" t="s">
        <v>169</v>
      </c>
      <c r="M1737" s="929" t="s">
        <v>167</v>
      </c>
      <c r="N1737" s="52" t="str">
        <f>IF(AND('331-CT'!$E$7=TH!H1737,OR(L1737="331",M1737="331")),"331",IF(AND(OR(L1737="131",M1737="131"),H1737='131-CT'!$E$7),"131",""))</f>
        <v/>
      </c>
      <c r="O1737" s="89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>x</v>
      </c>
      <c r="AB1737" s="848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444"/>
        <v>8</v>
      </c>
      <c r="C1738" s="48">
        <f t="shared" si="445"/>
        <v>41857</v>
      </c>
      <c r="D1738" s="908" t="s">
        <v>1378</v>
      </c>
      <c r="E1738" s="908">
        <v>41857</v>
      </c>
      <c r="F1738" s="909" t="s">
        <v>421</v>
      </c>
      <c r="G1738" s="930" t="s">
        <v>613</v>
      </c>
      <c r="H1738" s="913" t="s">
        <v>1371</v>
      </c>
      <c r="I1738" s="249">
        <v>500</v>
      </c>
      <c r="J1738" s="249">
        <v>11836.297801856834</v>
      </c>
      <c r="K1738" s="910">
        <f t="shared" si="446"/>
        <v>5918149</v>
      </c>
      <c r="L1738" s="890" t="s">
        <v>169</v>
      </c>
      <c r="M1738" s="929" t="s">
        <v>167</v>
      </c>
      <c r="N1738" s="52" t="str">
        <f>IF(AND('331-CT'!$E$7=TH!H1738,OR(L1738="331",M1738="331")),"331",IF(AND(OR(L1738="131",M1738="131"),H1738='131-CT'!$E$7),"131",""))</f>
        <v/>
      </c>
      <c r="O1738" s="89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>x</v>
      </c>
      <c r="AB1738" s="848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444"/>
        <v>8</v>
      </c>
      <c r="C1739" s="48">
        <f t="shared" si="445"/>
        <v>41858</v>
      </c>
      <c r="D1739" s="908" t="s">
        <v>1378</v>
      </c>
      <c r="E1739" s="908">
        <v>41858</v>
      </c>
      <c r="F1739" s="909" t="s">
        <v>445</v>
      </c>
      <c r="G1739" s="930" t="s">
        <v>613</v>
      </c>
      <c r="H1739" s="913" t="s">
        <v>1371</v>
      </c>
      <c r="I1739" s="249">
        <v>1000</v>
      </c>
      <c r="J1739" s="249">
        <v>816.29640012805748</v>
      </c>
      <c r="K1739" s="910">
        <f t="shared" si="446"/>
        <v>816296</v>
      </c>
      <c r="L1739" s="890" t="s">
        <v>169</v>
      </c>
      <c r="M1739" s="929" t="s">
        <v>167</v>
      </c>
      <c r="N1739" s="52" t="str">
        <f>IF(AND('331-CT'!$E$7=TH!H1739,OR(L1739="331",M1739="331")),"331",IF(AND(OR(L1739="131",M1739="131"),H1739='131-CT'!$E$7),"131",""))</f>
        <v/>
      </c>
      <c r="O1739" s="89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>x</v>
      </c>
      <c r="AB1739" s="848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444"/>
        <v>8</v>
      </c>
      <c r="C1740" s="48">
        <f t="shared" si="445"/>
        <v>41859</v>
      </c>
      <c r="D1740" s="908" t="s">
        <v>1378</v>
      </c>
      <c r="E1740" s="908">
        <v>41859</v>
      </c>
      <c r="F1740" s="909" t="s">
        <v>494</v>
      </c>
      <c r="G1740" s="930" t="s">
        <v>614</v>
      </c>
      <c r="H1740" s="913" t="s">
        <v>1371</v>
      </c>
      <c r="I1740" s="249">
        <v>300</v>
      </c>
      <c r="J1740" s="249">
        <v>7101.7786811141004</v>
      </c>
      <c r="K1740" s="910">
        <f t="shared" si="446"/>
        <v>2130534</v>
      </c>
      <c r="L1740" s="890" t="s">
        <v>169</v>
      </c>
      <c r="M1740" s="929" t="s">
        <v>167</v>
      </c>
      <c r="N1740" s="52" t="str">
        <f>IF(AND('331-CT'!$E$7=TH!H1740,OR(L1740="331",M1740="331")),"331",IF(AND(OR(L1740="131",M1740="131"),H1740='131-CT'!$E$7),"131",""))</f>
        <v/>
      </c>
      <c r="O1740" s="89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>x</v>
      </c>
      <c r="AB1740" s="848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444"/>
        <v>8</v>
      </c>
      <c r="C1741" s="48">
        <f t="shared" si="445"/>
        <v>41859</v>
      </c>
      <c r="D1741" s="908" t="s">
        <v>1378</v>
      </c>
      <c r="E1741" s="908">
        <v>41859</v>
      </c>
      <c r="F1741" s="909" t="s">
        <v>615</v>
      </c>
      <c r="G1741" s="930" t="s">
        <v>616</v>
      </c>
      <c r="H1741" s="913" t="s">
        <v>1371</v>
      </c>
      <c r="I1741" s="249">
        <v>393</v>
      </c>
      <c r="J1741" s="249">
        <v>5550.8155208707913</v>
      </c>
      <c r="K1741" s="910">
        <f t="shared" si="446"/>
        <v>2181470</v>
      </c>
      <c r="L1741" s="890" t="s">
        <v>169</v>
      </c>
      <c r="M1741" s="929" t="s">
        <v>167</v>
      </c>
      <c r="N1741" s="52" t="str">
        <f>IF(AND('331-CT'!$E$7=TH!H1741,OR(L1741="331",M1741="331")),"331",IF(AND(OR(L1741="131",M1741="131"),H1741='131-CT'!$E$7),"131",""))</f>
        <v/>
      </c>
      <c r="O1741" s="89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>x</v>
      </c>
      <c r="AB1741" s="848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444"/>
        <v>8</v>
      </c>
      <c r="C1742" s="48">
        <f t="shared" si="445"/>
        <v>41859</v>
      </c>
      <c r="D1742" s="908" t="s">
        <v>1378</v>
      </c>
      <c r="E1742" s="908">
        <v>41859</v>
      </c>
      <c r="F1742" s="909" t="s">
        <v>618</v>
      </c>
      <c r="G1742" s="930" t="s">
        <v>619</v>
      </c>
      <c r="H1742" s="913" t="s">
        <v>1371</v>
      </c>
      <c r="I1742" s="249">
        <v>198</v>
      </c>
      <c r="J1742" s="249">
        <v>14366.816642253812</v>
      </c>
      <c r="K1742" s="910">
        <f t="shared" si="446"/>
        <v>2844630</v>
      </c>
      <c r="L1742" s="890" t="s">
        <v>169</v>
      </c>
      <c r="M1742" s="929" t="s">
        <v>167</v>
      </c>
      <c r="N1742" s="52" t="str">
        <f>IF(AND('331-CT'!$E$7=TH!H1742,OR(L1742="331",M1742="331")),"331",IF(AND(OR(L1742="131",M1742="131"),H1742='131-CT'!$E$7),"131",""))</f>
        <v/>
      </c>
      <c r="O1742" s="89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>x</v>
      </c>
      <c r="AB1742" s="848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444"/>
        <v>8</v>
      </c>
      <c r="C1743" s="48">
        <f t="shared" si="445"/>
        <v>41859</v>
      </c>
      <c r="D1743" s="908" t="s">
        <v>1378</v>
      </c>
      <c r="E1743" s="908">
        <v>41859</v>
      </c>
      <c r="F1743" s="909" t="s">
        <v>620</v>
      </c>
      <c r="G1743" s="930" t="s">
        <v>619</v>
      </c>
      <c r="H1743" s="913" t="s">
        <v>1371</v>
      </c>
      <c r="I1743" s="249">
        <v>996</v>
      </c>
      <c r="J1743" s="249">
        <v>8081.3343612677691</v>
      </c>
      <c r="K1743" s="910">
        <f t="shared" si="446"/>
        <v>8049009</v>
      </c>
      <c r="L1743" s="890" t="s">
        <v>169</v>
      </c>
      <c r="M1743" s="929" t="s">
        <v>167</v>
      </c>
      <c r="N1743" s="52" t="str">
        <f>IF(AND('331-CT'!$E$7=TH!H1743,OR(L1743="331",M1743="331")),"331",IF(AND(OR(L1743="131",M1743="131"),H1743='131-CT'!$E$7),"131",""))</f>
        <v/>
      </c>
      <c r="O1743" s="89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>x</v>
      </c>
      <c r="AB1743" s="848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444"/>
        <v>8</v>
      </c>
      <c r="C1744" s="48">
        <f t="shared" si="445"/>
        <v>41859</v>
      </c>
      <c r="D1744" s="908" t="s">
        <v>1378</v>
      </c>
      <c r="E1744" s="908">
        <v>41859</v>
      </c>
      <c r="F1744" s="909" t="s">
        <v>621</v>
      </c>
      <c r="G1744" s="930" t="s">
        <v>619</v>
      </c>
      <c r="H1744" s="913" t="s">
        <v>1371</v>
      </c>
      <c r="I1744" s="249">
        <v>650</v>
      </c>
      <c r="J1744" s="249">
        <v>13713.779522151366</v>
      </c>
      <c r="K1744" s="910">
        <f t="shared" si="446"/>
        <v>8913957</v>
      </c>
      <c r="L1744" s="890" t="s">
        <v>169</v>
      </c>
      <c r="M1744" s="929" t="s">
        <v>167</v>
      </c>
      <c r="N1744" s="52" t="str">
        <f>IF(AND('331-CT'!$E$7=TH!H1744,OR(L1744="331",M1744="331")),"331",IF(AND(OR(L1744="131",M1744="131"),H1744='131-CT'!$E$7),"131",""))</f>
        <v/>
      </c>
      <c r="O1744" s="89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>x</v>
      </c>
      <c r="AB1744" s="848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444"/>
        <v>8</v>
      </c>
      <c r="C1745" s="48">
        <f t="shared" si="445"/>
        <v>41859</v>
      </c>
      <c r="D1745" s="908" t="s">
        <v>1378</v>
      </c>
      <c r="E1745" s="908">
        <v>41859</v>
      </c>
      <c r="F1745" s="909" t="s">
        <v>622</v>
      </c>
      <c r="G1745" s="930" t="s">
        <v>619</v>
      </c>
      <c r="H1745" s="913" t="s">
        <v>1371</v>
      </c>
      <c r="I1745" s="249">
        <v>1440</v>
      </c>
      <c r="J1745" s="249">
        <v>9224.1493214470484</v>
      </c>
      <c r="K1745" s="910">
        <f t="shared" si="446"/>
        <v>13282775</v>
      </c>
      <c r="L1745" s="890" t="s">
        <v>169</v>
      </c>
      <c r="M1745" s="929" t="s">
        <v>167</v>
      </c>
      <c r="N1745" s="52" t="str">
        <f>IF(AND('331-CT'!$E$7=TH!H1745,OR(L1745="331",M1745="331")),"331",IF(AND(OR(L1745="131",M1745="131"),H1745='131-CT'!$E$7),"131",""))</f>
        <v/>
      </c>
      <c r="O1745" s="89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>x</v>
      </c>
      <c r="AB1745" s="848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444"/>
        <v>8</v>
      </c>
      <c r="C1746" s="48">
        <f t="shared" si="445"/>
        <v>41859</v>
      </c>
      <c r="D1746" s="908" t="s">
        <v>1378</v>
      </c>
      <c r="E1746" s="908">
        <v>41859</v>
      </c>
      <c r="F1746" s="909" t="s">
        <v>600</v>
      </c>
      <c r="G1746" s="930" t="s">
        <v>619</v>
      </c>
      <c r="H1746" s="913" t="s">
        <v>1371</v>
      </c>
      <c r="I1746" s="249">
        <v>160</v>
      </c>
      <c r="J1746" s="249">
        <v>10366.964281626329</v>
      </c>
      <c r="K1746" s="910">
        <f t="shared" si="446"/>
        <v>1658714</v>
      </c>
      <c r="L1746" s="890" t="s">
        <v>169</v>
      </c>
      <c r="M1746" s="929" t="s">
        <v>167</v>
      </c>
      <c r="N1746" s="52" t="str">
        <f>IF(AND('331-CT'!$E$7=TH!H1746,OR(L1746="331",M1746="331")),"331",IF(AND(OR(L1746="131",M1746="131"),H1746='131-CT'!$E$7),"131",""))</f>
        <v/>
      </c>
      <c r="O1746" s="89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>x</v>
      </c>
      <c r="AB1746" s="848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444"/>
        <v>8</v>
      </c>
      <c r="C1747" s="48">
        <f t="shared" si="445"/>
        <v>41859</v>
      </c>
      <c r="D1747" s="908" t="s">
        <v>1378</v>
      </c>
      <c r="E1747" s="908">
        <v>41859</v>
      </c>
      <c r="F1747" s="909" t="s">
        <v>623</v>
      </c>
      <c r="G1747" s="930" t="s">
        <v>619</v>
      </c>
      <c r="H1747" s="913" t="s">
        <v>1371</v>
      </c>
      <c r="I1747" s="249">
        <v>4400</v>
      </c>
      <c r="J1747" s="249">
        <v>489.77784007683448</v>
      </c>
      <c r="K1747" s="910">
        <f t="shared" si="446"/>
        <v>2155022</v>
      </c>
      <c r="L1747" s="890" t="s">
        <v>169</v>
      </c>
      <c r="M1747" s="929" t="s">
        <v>167</v>
      </c>
      <c r="N1747" s="52" t="str">
        <f>IF(AND('331-CT'!$E$7=TH!H1747,OR(L1747="331",M1747="331")),"331",IF(AND(OR(L1747="131",M1747="131"),H1747='131-CT'!$E$7),"131",""))</f>
        <v/>
      </c>
      <c r="O1747" s="89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>x</v>
      </c>
      <c r="AB1747" s="848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444"/>
        <v>8</v>
      </c>
      <c r="C1748" s="48">
        <f t="shared" si="445"/>
        <v>41863</v>
      </c>
      <c r="D1748" s="908" t="s">
        <v>1378</v>
      </c>
      <c r="E1748" s="908">
        <v>41863</v>
      </c>
      <c r="F1748" s="909" t="s">
        <v>459</v>
      </c>
      <c r="G1748" s="930" t="s">
        <v>624</v>
      </c>
      <c r="H1748" s="913" t="s">
        <v>1371</v>
      </c>
      <c r="I1748" s="249">
        <v>1043</v>
      </c>
      <c r="J1748" s="249">
        <v>7509.9268811781294</v>
      </c>
      <c r="K1748" s="910">
        <f t="shared" si="446"/>
        <v>7832854</v>
      </c>
      <c r="L1748" s="890" t="s">
        <v>169</v>
      </c>
      <c r="M1748" s="929" t="s">
        <v>167</v>
      </c>
      <c r="N1748" s="52" t="str">
        <f>IF(AND('331-CT'!$E$7=TH!H1748,OR(L1748="331",M1748="331")),"331",IF(AND(OR(L1748="131",M1748="131"),H1748='131-CT'!$E$7),"131",""))</f>
        <v/>
      </c>
      <c r="O1748" s="89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>x</v>
      </c>
      <c r="AB1748" s="848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57" si="447">IF(C1749&lt;&gt;"",MONTH(C1749),"")</f>
        <v>8</v>
      </c>
      <c r="C1749" s="48">
        <f t="shared" si="445"/>
        <v>41864</v>
      </c>
      <c r="D1749" s="908" t="s">
        <v>1378</v>
      </c>
      <c r="E1749" s="908">
        <v>41864</v>
      </c>
      <c r="F1749" s="909" t="s">
        <v>436</v>
      </c>
      <c r="G1749" s="930" t="s">
        <v>625</v>
      </c>
      <c r="H1749" s="913" t="s">
        <v>1371</v>
      </c>
      <c r="I1749" s="249">
        <v>650</v>
      </c>
      <c r="J1749" s="249">
        <v>7754.8158012165459</v>
      </c>
      <c r="K1749" s="910">
        <f t="shared" si="446"/>
        <v>5040630</v>
      </c>
      <c r="L1749" s="890" t="s">
        <v>169</v>
      </c>
      <c r="M1749" s="929" t="s">
        <v>167</v>
      </c>
      <c r="N1749" s="52" t="str">
        <f>IF(AND('331-CT'!$E$7=TH!H1749,OR(L1749="331",M1749="331")),"331",IF(AND(OR(L1749="131",M1749="131"),H1749='131-CT'!$E$7),"131",""))</f>
        <v/>
      </c>
      <c r="O1749" s="89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>x</v>
      </c>
      <c r="AB1749" s="848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447"/>
        <v>8</v>
      </c>
      <c r="C1750" s="48">
        <f t="shared" si="445"/>
        <v>41865</v>
      </c>
      <c r="D1750" s="908" t="s">
        <v>1378</v>
      </c>
      <c r="E1750" s="908">
        <v>41865</v>
      </c>
      <c r="F1750" s="909" t="s">
        <v>494</v>
      </c>
      <c r="G1750" s="930" t="s">
        <v>626</v>
      </c>
      <c r="H1750" s="913" t="s">
        <v>1371</v>
      </c>
      <c r="I1750" s="249">
        <v>208</v>
      </c>
      <c r="J1750" s="249">
        <v>7101.7786811141004</v>
      </c>
      <c r="K1750" s="910">
        <f t="shared" si="446"/>
        <v>1477170</v>
      </c>
      <c r="L1750" s="890" t="s">
        <v>169</v>
      </c>
      <c r="M1750" s="929" t="s">
        <v>167</v>
      </c>
      <c r="N1750" s="52" t="str">
        <f>IF(AND('331-CT'!$E$7=TH!H1750,OR(L1750="331",M1750="331")),"331",IF(AND(OR(L1750="131",M1750="131"),H1750='131-CT'!$E$7),"131",""))</f>
        <v/>
      </c>
      <c r="O1750" s="89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>x</v>
      </c>
      <c r="AB1750" s="848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447"/>
        <v>8</v>
      </c>
      <c r="C1751" s="48">
        <f t="shared" si="445"/>
        <v>41865</v>
      </c>
      <c r="D1751" s="908" t="s">
        <v>1378</v>
      </c>
      <c r="E1751" s="908">
        <v>41865</v>
      </c>
      <c r="F1751" s="909" t="s">
        <v>512</v>
      </c>
      <c r="G1751" s="930" t="s">
        <v>626</v>
      </c>
      <c r="H1751" s="913" t="s">
        <v>1371</v>
      </c>
      <c r="I1751" s="249">
        <v>320</v>
      </c>
      <c r="J1751" s="249">
        <v>5714.0748008964019</v>
      </c>
      <c r="K1751" s="910">
        <f t="shared" si="446"/>
        <v>1828504</v>
      </c>
      <c r="L1751" s="890" t="s">
        <v>169</v>
      </c>
      <c r="M1751" s="929" t="s">
        <v>167</v>
      </c>
      <c r="N1751" s="52" t="str">
        <f>IF(AND('331-CT'!$E$7=TH!H1751,OR(L1751="331",M1751="331")),"331",IF(AND(OR(L1751="131",M1751="131"),H1751='131-CT'!$E$7),"131",""))</f>
        <v/>
      </c>
      <c r="O1751" s="89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>x</v>
      </c>
      <c r="AB1751" s="848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447"/>
        <v>8</v>
      </c>
      <c r="C1752" s="48">
        <f t="shared" si="445"/>
        <v>41865</v>
      </c>
      <c r="D1752" s="908" t="s">
        <v>1378</v>
      </c>
      <c r="E1752" s="908">
        <v>41865</v>
      </c>
      <c r="F1752" s="909" t="s">
        <v>586</v>
      </c>
      <c r="G1752" s="930" t="s">
        <v>627</v>
      </c>
      <c r="H1752" s="913" t="s">
        <v>1371</v>
      </c>
      <c r="I1752" s="249">
        <v>740</v>
      </c>
      <c r="J1752" s="249">
        <v>10122.075361587913</v>
      </c>
      <c r="K1752" s="910">
        <f t="shared" si="446"/>
        <v>7490336</v>
      </c>
      <c r="L1752" s="890" t="s">
        <v>169</v>
      </c>
      <c r="M1752" s="929" t="s">
        <v>167</v>
      </c>
      <c r="N1752" s="52" t="str">
        <f>IF(AND('331-CT'!$E$7=TH!H1752,OR(L1752="331",M1752="331")),"331",IF(AND(OR(L1752="131",M1752="131"),H1752='131-CT'!$E$7),"131",""))</f>
        <v/>
      </c>
      <c r="O1752" s="89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>x</v>
      </c>
      <c r="AB1752" s="848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447"/>
        <v>8</v>
      </c>
      <c r="C1753" s="48">
        <f t="shared" si="445"/>
        <v>41866</v>
      </c>
      <c r="D1753" s="908" t="s">
        <v>1378</v>
      </c>
      <c r="E1753" s="908">
        <v>41866</v>
      </c>
      <c r="F1753" s="909" t="s">
        <v>628</v>
      </c>
      <c r="G1753" s="930" t="s">
        <v>629</v>
      </c>
      <c r="H1753" s="913" t="s">
        <v>1371</v>
      </c>
      <c r="I1753" s="249">
        <v>100</v>
      </c>
      <c r="J1753" s="249">
        <v>4897.7784007683449</v>
      </c>
      <c r="K1753" s="910">
        <f t="shared" si="446"/>
        <v>489778</v>
      </c>
      <c r="L1753" s="890" t="s">
        <v>169</v>
      </c>
      <c r="M1753" s="929" t="s">
        <v>167</v>
      </c>
      <c r="N1753" s="52" t="str">
        <f>IF(AND('331-CT'!$E$7=TH!H1753,OR(L1753="331",M1753="331")),"331",IF(AND(OR(L1753="131",M1753="131"),H1753='131-CT'!$E$7),"131",""))</f>
        <v/>
      </c>
      <c r="O1753" s="89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>x</v>
      </c>
      <c r="AB1753" s="848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447"/>
        <v>8</v>
      </c>
      <c r="C1754" s="48">
        <f t="shared" si="445"/>
        <v>41866</v>
      </c>
      <c r="D1754" s="908" t="s">
        <v>1378</v>
      </c>
      <c r="E1754" s="908">
        <v>41866</v>
      </c>
      <c r="F1754" s="909" t="s">
        <v>523</v>
      </c>
      <c r="G1754" s="930" t="s">
        <v>629</v>
      </c>
      <c r="H1754" s="913" t="s">
        <v>1371</v>
      </c>
      <c r="I1754" s="249">
        <v>120</v>
      </c>
      <c r="J1754" s="249">
        <v>4979.4080407811507</v>
      </c>
      <c r="K1754" s="910">
        <f t="shared" si="446"/>
        <v>597529</v>
      </c>
      <c r="L1754" s="890" t="s">
        <v>169</v>
      </c>
      <c r="M1754" s="929" t="s">
        <v>167</v>
      </c>
      <c r="N1754" s="52" t="str">
        <f>IF(AND('331-CT'!$E$7=TH!H1754,OR(L1754="331",M1754="331")),"331",IF(AND(OR(L1754="131",M1754="131"),H1754='131-CT'!$E$7),"131",""))</f>
        <v/>
      </c>
      <c r="O1754" s="89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>x</v>
      </c>
      <c r="AB1754" s="848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447"/>
        <v>8</v>
      </c>
      <c r="C1755" s="48">
        <f t="shared" si="445"/>
        <v>41866</v>
      </c>
      <c r="D1755" s="908" t="s">
        <v>1378</v>
      </c>
      <c r="E1755" s="908">
        <v>41866</v>
      </c>
      <c r="F1755" s="909" t="s">
        <v>630</v>
      </c>
      <c r="G1755" s="930" t="s">
        <v>629</v>
      </c>
      <c r="H1755" s="913" t="s">
        <v>1371</v>
      </c>
      <c r="I1755" s="249">
        <v>470</v>
      </c>
      <c r="J1755" s="249">
        <v>3591.7041605634531</v>
      </c>
      <c r="K1755" s="910">
        <f t="shared" si="446"/>
        <v>1688101</v>
      </c>
      <c r="L1755" s="890" t="s">
        <v>169</v>
      </c>
      <c r="M1755" s="929" t="s">
        <v>167</v>
      </c>
      <c r="N1755" s="52" t="str">
        <f>IF(AND('331-CT'!$E$7=TH!H1755,OR(L1755="331",M1755="331")),"331",IF(AND(OR(L1755="131",M1755="131"),H1755='131-CT'!$E$7),"131",""))</f>
        <v/>
      </c>
      <c r="O1755" s="89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>x</v>
      </c>
      <c r="AB1755" s="848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447"/>
        <v>8</v>
      </c>
      <c r="C1756" s="48">
        <f t="shared" si="445"/>
        <v>41866</v>
      </c>
      <c r="D1756" s="908" t="s">
        <v>1378</v>
      </c>
      <c r="E1756" s="908">
        <v>41866</v>
      </c>
      <c r="F1756" s="909" t="s">
        <v>631</v>
      </c>
      <c r="G1756" s="930" t="s">
        <v>629</v>
      </c>
      <c r="H1756" s="913" t="s">
        <v>1371</v>
      </c>
      <c r="I1756" s="249">
        <v>350</v>
      </c>
      <c r="J1756" s="249">
        <v>3836.59308060187</v>
      </c>
      <c r="K1756" s="910">
        <f t="shared" si="446"/>
        <v>1342808</v>
      </c>
      <c r="L1756" s="890" t="s">
        <v>169</v>
      </c>
      <c r="M1756" s="929" t="s">
        <v>167</v>
      </c>
      <c r="N1756" s="52" t="str">
        <f>IF(AND('331-CT'!$E$7=TH!H1756,OR(L1756="331",M1756="331")),"331",IF(AND(OR(L1756="131",M1756="131"),H1756='131-CT'!$E$7),"131",""))</f>
        <v/>
      </c>
      <c r="O1756" s="89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>x</v>
      </c>
      <c r="AB1756" s="848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447"/>
        <v>8</v>
      </c>
      <c r="C1757" s="48">
        <f t="shared" si="445"/>
        <v>41866</v>
      </c>
      <c r="D1757" s="908" t="s">
        <v>1378</v>
      </c>
      <c r="E1757" s="908">
        <v>41866</v>
      </c>
      <c r="F1757" s="909" t="s">
        <v>632</v>
      </c>
      <c r="G1757" s="930" t="s">
        <v>629</v>
      </c>
      <c r="H1757" s="913" t="s">
        <v>1371</v>
      </c>
      <c r="I1757" s="249">
        <v>330</v>
      </c>
      <c r="J1757" s="249">
        <v>6285.4822809860425</v>
      </c>
      <c r="K1757" s="910">
        <f t="shared" si="446"/>
        <v>2074209</v>
      </c>
      <c r="L1757" s="890" t="s">
        <v>169</v>
      </c>
      <c r="M1757" s="929" t="s">
        <v>167</v>
      </c>
      <c r="N1757" s="52" t="str">
        <f>IF(AND('331-CT'!$E$7=TH!H1757,OR(L1757="331",M1757="331")),"331",IF(AND(OR(L1757="131",M1757="131"),H1757='131-CT'!$E$7),"131",""))</f>
        <v/>
      </c>
      <c r="O1757" s="89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>x</v>
      </c>
      <c r="AB1757" s="848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ref="B1758:B1766" si="448">IF(C1758&lt;&gt;"",MONTH(C1758),"")</f>
        <v>8</v>
      </c>
      <c r="C1758" s="48">
        <f t="shared" si="445"/>
        <v>41866</v>
      </c>
      <c r="D1758" s="908" t="s">
        <v>1378</v>
      </c>
      <c r="E1758" s="908">
        <v>41866</v>
      </c>
      <c r="F1758" s="909" t="s">
        <v>423</v>
      </c>
      <c r="G1758" s="930" t="s">
        <v>633</v>
      </c>
      <c r="H1758" s="913" t="s">
        <v>1371</v>
      </c>
      <c r="I1758" s="249">
        <v>488</v>
      </c>
      <c r="J1758" s="249">
        <v>7918.0750812421575</v>
      </c>
      <c r="K1758" s="910">
        <f t="shared" si="446"/>
        <v>3864021</v>
      </c>
      <c r="L1758" s="890" t="s">
        <v>169</v>
      </c>
      <c r="M1758" s="929" t="s">
        <v>167</v>
      </c>
      <c r="N1758" s="52" t="str">
        <f>IF(AND('331-CT'!$E$7=TH!H1758,OR(L1758="331",M1758="331")),"331",IF(AND(OR(L1758="131",M1758="131"),H1758='131-CT'!$E$7),"131",""))</f>
        <v/>
      </c>
      <c r="O1758" s="89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>x</v>
      </c>
      <c r="AB1758" s="848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448"/>
        <v>8</v>
      </c>
      <c r="C1759" s="48">
        <f t="shared" si="445"/>
        <v>41869</v>
      </c>
      <c r="D1759" s="908" t="s">
        <v>1378</v>
      </c>
      <c r="E1759" s="908">
        <v>41869</v>
      </c>
      <c r="F1759" s="909" t="s">
        <v>634</v>
      </c>
      <c r="G1759" s="930" t="s">
        <v>635</v>
      </c>
      <c r="H1759" s="913" t="s">
        <v>1371</v>
      </c>
      <c r="I1759" s="249">
        <v>200</v>
      </c>
      <c r="J1759" s="249">
        <v>5714.0748008964019</v>
      </c>
      <c r="K1759" s="910">
        <f t="shared" si="446"/>
        <v>1142815</v>
      </c>
      <c r="L1759" s="890" t="s">
        <v>169</v>
      </c>
      <c r="M1759" s="929" t="s">
        <v>167</v>
      </c>
      <c r="N1759" s="52" t="str">
        <f>IF(AND('331-CT'!$E$7=TH!H1759,OR(L1759="331",M1759="331")),"331",IF(AND(OR(L1759="131",M1759="131"),H1759='131-CT'!$E$7),"131",""))</f>
        <v/>
      </c>
      <c r="O1759" s="89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>x</v>
      </c>
      <c r="AB1759" s="848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448"/>
        <v>8</v>
      </c>
      <c r="C1760" s="48">
        <f t="shared" si="445"/>
        <v>41871</v>
      </c>
      <c r="D1760" s="908" t="s">
        <v>1378</v>
      </c>
      <c r="E1760" s="908">
        <v>41871</v>
      </c>
      <c r="F1760" s="909" t="s">
        <v>586</v>
      </c>
      <c r="G1760" s="930" t="s">
        <v>636</v>
      </c>
      <c r="H1760" s="913" t="s">
        <v>1371</v>
      </c>
      <c r="I1760" s="249">
        <v>350</v>
      </c>
      <c r="J1760" s="249">
        <v>10122.075361587913</v>
      </c>
      <c r="K1760" s="910">
        <f t="shared" si="446"/>
        <v>3542726</v>
      </c>
      <c r="L1760" s="890" t="s">
        <v>169</v>
      </c>
      <c r="M1760" s="929" t="s">
        <v>167</v>
      </c>
      <c r="N1760" s="52" t="str">
        <f>IF(AND('331-CT'!$E$7=TH!H1760,OR(L1760="331",M1760="331")),"331",IF(AND(OR(L1760="131",M1760="131"),H1760='131-CT'!$E$7),"131",""))</f>
        <v/>
      </c>
      <c r="O1760" s="89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8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448"/>
        <v>8</v>
      </c>
      <c r="C1761" s="48">
        <f t="shared" si="445"/>
        <v>41871</v>
      </c>
      <c r="D1761" s="908" t="s">
        <v>1378</v>
      </c>
      <c r="E1761" s="908">
        <v>41871</v>
      </c>
      <c r="F1761" s="909" t="s">
        <v>637</v>
      </c>
      <c r="G1761" s="930" t="s">
        <v>638</v>
      </c>
      <c r="H1761" s="913" t="s">
        <v>1371</v>
      </c>
      <c r="I1761" s="249">
        <v>500</v>
      </c>
      <c r="J1761" s="249">
        <v>8816.0011213830221</v>
      </c>
      <c r="K1761" s="910">
        <f t="shared" si="446"/>
        <v>4408001</v>
      </c>
      <c r="L1761" s="890" t="s">
        <v>169</v>
      </c>
      <c r="M1761" s="929" t="s">
        <v>167</v>
      </c>
      <c r="N1761" s="52" t="str">
        <f>IF(AND('331-CT'!$E$7=TH!H1761,OR(L1761="331",M1761="331")),"331",IF(AND(OR(L1761="131",M1761="131"),H1761='131-CT'!$E$7),"131",""))</f>
        <v/>
      </c>
      <c r="O1761" s="89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8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448"/>
        <v>8</v>
      </c>
      <c r="C1762" s="48">
        <f t="shared" si="445"/>
        <v>41871</v>
      </c>
      <c r="D1762" s="908" t="s">
        <v>1378</v>
      </c>
      <c r="E1762" s="908">
        <v>41871</v>
      </c>
      <c r="F1762" s="909" t="s">
        <v>639</v>
      </c>
      <c r="G1762" s="930" t="s">
        <v>640</v>
      </c>
      <c r="H1762" s="913" t="s">
        <v>1371</v>
      </c>
      <c r="I1762" s="249">
        <v>550</v>
      </c>
      <c r="J1762" s="249">
        <v>4163.1116406530937</v>
      </c>
      <c r="K1762" s="910">
        <f t="shared" si="446"/>
        <v>2289711</v>
      </c>
      <c r="L1762" s="890" t="s">
        <v>169</v>
      </c>
      <c r="M1762" s="929" t="s">
        <v>167</v>
      </c>
      <c r="N1762" s="52" t="str">
        <f>IF(AND('331-CT'!$E$7=TH!H1762,OR(L1762="331",M1762="331")),"331",IF(AND(OR(L1762="131",M1762="131"),H1762='131-CT'!$E$7),"131",""))</f>
        <v/>
      </c>
      <c r="O1762" s="89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8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448"/>
        <v>8</v>
      </c>
      <c r="C1763" s="48">
        <f t="shared" si="445"/>
        <v>41872</v>
      </c>
      <c r="D1763" s="908" t="s">
        <v>1378</v>
      </c>
      <c r="E1763" s="908">
        <v>41872</v>
      </c>
      <c r="F1763" s="909" t="s">
        <v>483</v>
      </c>
      <c r="G1763" s="930" t="s">
        <v>642</v>
      </c>
      <c r="H1763" s="913" t="s">
        <v>1371</v>
      </c>
      <c r="I1763" s="249">
        <v>196</v>
      </c>
      <c r="J1763" s="249">
        <v>10938.371761715971</v>
      </c>
      <c r="K1763" s="910">
        <f t="shared" si="446"/>
        <v>2143921</v>
      </c>
      <c r="L1763" s="890" t="s">
        <v>169</v>
      </c>
      <c r="M1763" s="929" t="s">
        <v>167</v>
      </c>
      <c r="N1763" s="52" t="str">
        <f>IF(AND('331-CT'!$E$7=TH!H1763,OR(L1763="331",M1763="331")),"331",IF(AND(OR(L1763="131",M1763="131"),H1763='131-CT'!$E$7),"131",""))</f>
        <v/>
      </c>
      <c r="O1763" s="89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8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448"/>
        <v>8</v>
      </c>
      <c r="C1764" s="48">
        <f t="shared" si="445"/>
        <v>41872</v>
      </c>
      <c r="D1764" s="908" t="s">
        <v>1378</v>
      </c>
      <c r="E1764" s="908">
        <v>41872</v>
      </c>
      <c r="F1764" s="909" t="s">
        <v>568</v>
      </c>
      <c r="G1764" s="930" t="s">
        <v>642</v>
      </c>
      <c r="H1764" s="913" t="s">
        <v>1371</v>
      </c>
      <c r="I1764" s="249">
        <v>200</v>
      </c>
      <c r="J1764" s="249">
        <v>7918.0750812421575</v>
      </c>
      <c r="K1764" s="910">
        <f t="shared" si="446"/>
        <v>1583615</v>
      </c>
      <c r="L1764" s="890" t="s">
        <v>169</v>
      </c>
      <c r="M1764" s="929" t="s">
        <v>167</v>
      </c>
      <c r="N1764" s="52" t="str">
        <f>IF(AND('331-CT'!$E$7=TH!H1764,OR(L1764="331",M1764="331")),"331",IF(AND(OR(L1764="131",M1764="131"),H1764='131-CT'!$E$7),"131",""))</f>
        <v/>
      </c>
      <c r="O1764" s="89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8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448"/>
        <v>8</v>
      </c>
      <c r="C1765" s="48">
        <f t="shared" si="445"/>
        <v>41873</v>
      </c>
      <c r="D1765" s="908" t="s">
        <v>1378</v>
      </c>
      <c r="E1765" s="908">
        <v>41873</v>
      </c>
      <c r="F1765" s="909" t="s">
        <v>466</v>
      </c>
      <c r="G1765" s="930" t="s">
        <v>643</v>
      </c>
      <c r="H1765" s="913" t="s">
        <v>1371</v>
      </c>
      <c r="I1765" s="249">
        <v>1480</v>
      </c>
      <c r="J1765" s="249">
        <v>4244.7412806658995</v>
      </c>
      <c r="K1765" s="910">
        <f t="shared" si="446"/>
        <v>6282217</v>
      </c>
      <c r="L1765" s="890" t="s">
        <v>169</v>
      </c>
      <c r="M1765" s="929" t="s">
        <v>167</v>
      </c>
      <c r="N1765" s="52" t="str">
        <f>IF(AND('331-CT'!$E$7=TH!H1765,OR(L1765="331",M1765="331")),"331",IF(AND(OR(L1765="131",M1765="131"),H1765='131-CT'!$E$7),"131",""))</f>
        <v/>
      </c>
      <c r="O1765" s="89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8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448"/>
        <v>8</v>
      </c>
      <c r="C1766" s="48">
        <f t="shared" si="445"/>
        <v>41873</v>
      </c>
      <c r="D1766" s="908" t="s">
        <v>1378</v>
      </c>
      <c r="E1766" s="908">
        <v>41873</v>
      </c>
      <c r="F1766" s="909" t="s">
        <v>644</v>
      </c>
      <c r="G1766" s="930" t="s">
        <v>645</v>
      </c>
      <c r="H1766" s="913" t="s">
        <v>1371</v>
      </c>
      <c r="I1766" s="249">
        <v>498</v>
      </c>
      <c r="J1766" s="249">
        <v>23590.965963700863</v>
      </c>
      <c r="K1766" s="910">
        <f t="shared" si="446"/>
        <v>11748301</v>
      </c>
      <c r="L1766" s="890" t="s">
        <v>169</v>
      </c>
      <c r="M1766" s="929" t="s">
        <v>167</v>
      </c>
      <c r="N1766" s="52" t="str">
        <f>IF(AND('331-CT'!$E$7=TH!H1766,OR(L1766="331",M1766="331")),"331",IF(AND(OR(L1766="131",M1766="131"),H1766='131-CT'!$E$7),"131",""))</f>
        <v/>
      </c>
      <c r="O1766" s="89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8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ref="B1767:B1830" si="449">IF(C1767&lt;&gt;"",MONTH(C1767),"")</f>
        <v>8</v>
      </c>
      <c r="C1767" s="48">
        <f t="shared" si="445"/>
        <v>41873</v>
      </c>
      <c r="D1767" s="908" t="s">
        <v>1378</v>
      </c>
      <c r="E1767" s="908">
        <v>41873</v>
      </c>
      <c r="F1767" s="909" t="s">
        <v>647</v>
      </c>
      <c r="G1767" s="930" t="s">
        <v>645</v>
      </c>
      <c r="H1767" s="913" t="s">
        <v>1371</v>
      </c>
      <c r="I1767" s="249">
        <v>690</v>
      </c>
      <c r="J1767" s="249">
        <v>22693.039923559998</v>
      </c>
      <c r="K1767" s="910">
        <f t="shared" si="446"/>
        <v>15658198</v>
      </c>
      <c r="L1767" s="890" t="s">
        <v>169</v>
      </c>
      <c r="M1767" s="929" t="s">
        <v>167</v>
      </c>
      <c r="N1767" s="52" t="str">
        <f>IF(AND('331-CT'!$E$7=TH!H1767,OR(L1767="331",M1767="331")),"331",IF(AND(OR(L1767="131",M1767="131"),H1767='131-CT'!$E$7),"131",""))</f>
        <v/>
      </c>
      <c r="O1767" s="89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8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449"/>
        <v>8</v>
      </c>
      <c r="C1768" s="48">
        <f t="shared" si="445"/>
        <v>41873</v>
      </c>
      <c r="D1768" s="908" t="s">
        <v>1378</v>
      </c>
      <c r="E1768" s="908">
        <v>41873</v>
      </c>
      <c r="F1768" s="909" t="s">
        <v>647</v>
      </c>
      <c r="G1768" s="930" t="s">
        <v>645</v>
      </c>
      <c r="H1768" s="913" t="s">
        <v>1371</v>
      </c>
      <c r="I1768" s="249">
        <v>130</v>
      </c>
      <c r="J1768" s="249">
        <v>22693.039923559998</v>
      </c>
      <c r="K1768" s="910">
        <f t="shared" si="446"/>
        <v>2950095</v>
      </c>
      <c r="L1768" s="890" t="s">
        <v>169</v>
      </c>
      <c r="M1768" s="929" t="s">
        <v>167</v>
      </c>
      <c r="N1768" s="52" t="str">
        <f>IF(AND('331-CT'!$E$7=TH!H1768,OR(L1768="331",M1768="331")),"331",IF(AND(OR(L1768="131",M1768="131"),H1768='131-CT'!$E$7),"131",""))</f>
        <v/>
      </c>
      <c r="O1768" s="89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8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449"/>
        <v>8</v>
      </c>
      <c r="C1769" s="48">
        <f t="shared" si="445"/>
        <v>41873</v>
      </c>
      <c r="D1769" s="908" t="s">
        <v>1378</v>
      </c>
      <c r="E1769" s="908">
        <v>41873</v>
      </c>
      <c r="F1769" s="909" t="s">
        <v>648</v>
      </c>
      <c r="G1769" s="930" t="s">
        <v>645</v>
      </c>
      <c r="H1769" s="913" t="s">
        <v>1371</v>
      </c>
      <c r="I1769" s="249">
        <v>1000</v>
      </c>
      <c r="J1769" s="249">
        <v>14121.927722215394</v>
      </c>
      <c r="K1769" s="910">
        <f t="shared" si="446"/>
        <v>14121928</v>
      </c>
      <c r="L1769" s="890" t="s">
        <v>169</v>
      </c>
      <c r="M1769" s="929" t="s">
        <v>167</v>
      </c>
      <c r="N1769" s="52" t="str">
        <f>IF(AND('331-CT'!$E$7=TH!H1769,OR(L1769="331",M1769="331")),"331",IF(AND(OR(L1769="131",M1769="131"),H1769='131-CT'!$E$7),"131",""))</f>
        <v/>
      </c>
      <c r="O1769" s="89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8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449"/>
        <v>8</v>
      </c>
      <c r="C1770" s="48">
        <f t="shared" si="445"/>
        <v>41873</v>
      </c>
      <c r="D1770" s="908" t="s">
        <v>1378</v>
      </c>
      <c r="E1770" s="908">
        <v>41873</v>
      </c>
      <c r="F1770" s="909" t="s">
        <v>649</v>
      </c>
      <c r="G1770" s="930" t="s">
        <v>645</v>
      </c>
      <c r="H1770" s="913" t="s">
        <v>1371</v>
      </c>
      <c r="I1770" s="249">
        <v>425</v>
      </c>
      <c r="J1770" s="249">
        <v>22774.669563572803</v>
      </c>
      <c r="K1770" s="910">
        <f t="shared" si="446"/>
        <v>9679235</v>
      </c>
      <c r="L1770" s="890" t="s">
        <v>169</v>
      </c>
      <c r="M1770" s="929" t="s">
        <v>167</v>
      </c>
      <c r="N1770" s="52" t="str">
        <f>IF(AND('331-CT'!$E$7=TH!H1770,OR(L1770="331",M1770="331")),"331",IF(AND(OR(L1770="131",M1770="131"),H1770='131-CT'!$E$7),"131",""))</f>
        <v/>
      </c>
      <c r="O1770" s="89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8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449"/>
        <v>8</v>
      </c>
      <c r="C1771" s="48">
        <f t="shared" si="445"/>
        <v>41873</v>
      </c>
      <c r="D1771" s="908" t="s">
        <v>1378</v>
      </c>
      <c r="E1771" s="908">
        <v>41873</v>
      </c>
      <c r="F1771" s="909" t="s">
        <v>649</v>
      </c>
      <c r="G1771" s="930" t="s">
        <v>645</v>
      </c>
      <c r="H1771" s="913" t="s">
        <v>1371</v>
      </c>
      <c r="I1771" s="249">
        <v>322</v>
      </c>
      <c r="J1771" s="249">
        <v>22774.669563572803</v>
      </c>
      <c r="K1771" s="910">
        <f t="shared" si="446"/>
        <v>7333444</v>
      </c>
      <c r="L1771" s="890" t="s">
        <v>169</v>
      </c>
      <c r="M1771" s="929" t="s">
        <v>167</v>
      </c>
      <c r="N1771" s="52" t="str">
        <f>IF(AND('331-CT'!$E$7=TH!H1771,OR(L1771="331",M1771="331")),"331",IF(AND(OR(L1771="131",M1771="131"),H1771='131-CT'!$E$7),"131",""))</f>
        <v/>
      </c>
      <c r="O1771" s="89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8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49"/>
        <v>8</v>
      </c>
      <c r="C1772" s="48">
        <f t="shared" si="445"/>
        <v>41876</v>
      </c>
      <c r="D1772" s="908" t="s">
        <v>1378</v>
      </c>
      <c r="E1772" s="908">
        <v>41876</v>
      </c>
      <c r="F1772" s="909" t="s">
        <v>1206</v>
      </c>
      <c r="G1772" s="930" t="s">
        <v>651</v>
      </c>
      <c r="H1772" s="913" t="s">
        <v>1371</v>
      </c>
      <c r="I1772" s="249">
        <v>600</v>
      </c>
      <c r="J1772" s="249">
        <v>9305.7789614598551</v>
      </c>
      <c r="K1772" s="910">
        <f t="shared" si="446"/>
        <v>5583467</v>
      </c>
      <c r="L1772" s="890" t="s">
        <v>169</v>
      </c>
      <c r="M1772" s="929" t="s">
        <v>167</v>
      </c>
      <c r="N1772" s="52" t="str">
        <f>IF(AND('331-CT'!$E$7=TH!H1772,OR(L1772="331",M1772="331")),"331",IF(AND(OR(L1772="131",M1772="131"),H1772='131-CT'!$E$7),"131",""))</f>
        <v/>
      </c>
      <c r="O1772" s="89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8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49"/>
        <v>8</v>
      </c>
      <c r="C1773" s="48">
        <f t="shared" si="445"/>
        <v>41876</v>
      </c>
      <c r="D1773" s="908" t="s">
        <v>1378</v>
      </c>
      <c r="E1773" s="908">
        <v>41876</v>
      </c>
      <c r="F1773" s="909" t="s">
        <v>445</v>
      </c>
      <c r="G1773" s="930" t="s">
        <v>651</v>
      </c>
      <c r="H1773" s="913" t="s">
        <v>1371</v>
      </c>
      <c r="I1773" s="249">
        <v>1200</v>
      </c>
      <c r="J1773" s="249">
        <v>816.29640012805748</v>
      </c>
      <c r="K1773" s="910">
        <f t="shared" si="446"/>
        <v>979556</v>
      </c>
      <c r="L1773" s="890" t="s">
        <v>169</v>
      </c>
      <c r="M1773" s="929" t="s">
        <v>167</v>
      </c>
      <c r="N1773" s="52" t="str">
        <f>IF(AND('331-CT'!$E$7=TH!H1773,OR(L1773="331",M1773="331")),"331",IF(AND(OR(L1773="131",M1773="131"),H1773='131-CT'!$E$7),"131",""))</f>
        <v/>
      </c>
      <c r="O1773" s="89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8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49"/>
        <v>8</v>
      </c>
      <c r="C1774" s="48">
        <f t="shared" si="445"/>
        <v>41876</v>
      </c>
      <c r="D1774" s="908" t="s">
        <v>1378</v>
      </c>
      <c r="E1774" s="908">
        <v>41876</v>
      </c>
      <c r="F1774" s="909" t="s">
        <v>652</v>
      </c>
      <c r="G1774" s="930" t="s">
        <v>653</v>
      </c>
      <c r="H1774" s="913" t="s">
        <v>1371</v>
      </c>
      <c r="I1774" s="249">
        <v>8160</v>
      </c>
      <c r="J1774" s="249">
        <v>6040.5933609476251</v>
      </c>
      <c r="K1774" s="910">
        <f t="shared" si="446"/>
        <v>49291242</v>
      </c>
      <c r="L1774" s="890" t="s">
        <v>169</v>
      </c>
      <c r="M1774" s="929" t="s">
        <v>167</v>
      </c>
      <c r="N1774" s="52" t="str">
        <f>IF(AND('331-CT'!$E$7=TH!H1774,OR(L1774="331",M1774="331")),"331",IF(AND(OR(L1774="131",M1774="131"),H1774='131-CT'!$E$7),"131",""))</f>
        <v/>
      </c>
      <c r="O1774" s="89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8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49"/>
        <v>8</v>
      </c>
      <c r="C1775" s="48">
        <f t="shared" ref="C1775:C1838" si="450">E1775</f>
        <v>41876</v>
      </c>
      <c r="D1775" s="908" t="s">
        <v>1378</v>
      </c>
      <c r="E1775" s="908">
        <v>41876</v>
      </c>
      <c r="F1775" s="909" t="s">
        <v>655</v>
      </c>
      <c r="G1775" s="930" t="s">
        <v>656</v>
      </c>
      <c r="H1775" s="913" t="s">
        <v>1371</v>
      </c>
      <c r="I1775" s="249">
        <v>626</v>
      </c>
      <c r="J1775" s="249">
        <v>11264.890321767192</v>
      </c>
      <c r="K1775" s="910">
        <f t="shared" ref="K1775:K1838" si="451">ROUND(I1775*J1775,0)</f>
        <v>7051821</v>
      </c>
      <c r="L1775" s="890" t="s">
        <v>169</v>
      </c>
      <c r="M1775" s="929" t="s">
        <v>167</v>
      </c>
      <c r="N1775" s="52" t="str">
        <f>IF(AND('331-CT'!$E$7=TH!H1775,OR(L1775="331",M1775="331")),"331",IF(AND(OR(L1775="131",M1775="131"),H1775='131-CT'!$E$7),"131",""))</f>
        <v/>
      </c>
      <c r="O1775" s="89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8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49"/>
        <v>8</v>
      </c>
      <c r="C1776" s="48">
        <f t="shared" si="450"/>
        <v>41876</v>
      </c>
      <c r="D1776" s="908" t="s">
        <v>1378</v>
      </c>
      <c r="E1776" s="908">
        <v>41876</v>
      </c>
      <c r="F1776" s="909" t="s">
        <v>657</v>
      </c>
      <c r="G1776" s="930" t="s">
        <v>656</v>
      </c>
      <c r="H1776" s="913" t="s">
        <v>1371</v>
      </c>
      <c r="I1776" s="249">
        <v>160</v>
      </c>
      <c r="J1776" s="249">
        <v>8244.5936412933806</v>
      </c>
      <c r="K1776" s="910">
        <f t="shared" si="451"/>
        <v>1319135</v>
      </c>
      <c r="L1776" s="890" t="s">
        <v>169</v>
      </c>
      <c r="M1776" s="929" t="s">
        <v>167</v>
      </c>
      <c r="N1776" s="52" t="str">
        <f>IF(AND('331-CT'!$E$7=TH!H1776,OR(L1776="331",M1776="331")),"331",IF(AND(OR(L1776="131",M1776="131"),H1776='131-CT'!$E$7),"131",""))</f>
        <v/>
      </c>
      <c r="O1776" s="89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8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49"/>
        <v>8</v>
      </c>
      <c r="C1777" s="48">
        <f t="shared" si="450"/>
        <v>41876</v>
      </c>
      <c r="D1777" s="908" t="s">
        <v>1378</v>
      </c>
      <c r="E1777" s="908">
        <v>41876</v>
      </c>
      <c r="F1777" s="909" t="s">
        <v>623</v>
      </c>
      <c r="G1777" s="930" t="s">
        <v>656</v>
      </c>
      <c r="H1777" s="913" t="s">
        <v>1371</v>
      </c>
      <c r="I1777" s="249">
        <v>1900</v>
      </c>
      <c r="J1777" s="249">
        <v>489.77784007683448</v>
      </c>
      <c r="K1777" s="910">
        <f t="shared" si="451"/>
        <v>930578</v>
      </c>
      <c r="L1777" s="890" t="s">
        <v>169</v>
      </c>
      <c r="M1777" s="929" t="s">
        <v>167</v>
      </c>
      <c r="N1777" s="52" t="str">
        <f>IF(AND('331-CT'!$E$7=TH!H1777,OR(L1777="331",M1777="331")),"331",IF(AND(OR(L1777="131",M1777="131"),H1777='131-CT'!$E$7),"131",""))</f>
        <v/>
      </c>
      <c r="O1777" s="89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8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49"/>
        <v>8</v>
      </c>
      <c r="C1778" s="48">
        <f t="shared" si="450"/>
        <v>41877</v>
      </c>
      <c r="D1778" s="908" t="s">
        <v>1378</v>
      </c>
      <c r="E1778" s="908">
        <v>41877</v>
      </c>
      <c r="F1778" s="909" t="s">
        <v>600</v>
      </c>
      <c r="G1778" s="930" t="s">
        <v>658</v>
      </c>
      <c r="H1778" s="913" t="s">
        <v>1371</v>
      </c>
      <c r="I1778" s="249">
        <v>612</v>
      </c>
      <c r="J1778" s="249">
        <v>10366.964281626329</v>
      </c>
      <c r="K1778" s="910">
        <f t="shared" si="451"/>
        <v>6344582</v>
      </c>
      <c r="L1778" s="890" t="s">
        <v>169</v>
      </c>
      <c r="M1778" s="929" t="s">
        <v>167</v>
      </c>
      <c r="N1778" s="52" t="str">
        <f>IF(AND('331-CT'!$E$7=TH!H1778,OR(L1778="331",M1778="331")),"331",IF(AND(OR(L1778="131",M1778="131"),H1778='131-CT'!$E$7),"131",""))</f>
        <v/>
      </c>
      <c r="O1778" s="89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8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49"/>
        <v>8</v>
      </c>
      <c r="C1779" s="48">
        <f t="shared" si="450"/>
        <v>41877</v>
      </c>
      <c r="D1779" s="908" t="s">
        <v>1378</v>
      </c>
      <c r="E1779" s="908">
        <v>41877</v>
      </c>
      <c r="F1779" s="909" t="s">
        <v>603</v>
      </c>
      <c r="G1779" s="930" t="s">
        <v>658</v>
      </c>
      <c r="H1779" s="913" t="s">
        <v>1371</v>
      </c>
      <c r="I1779" s="249">
        <v>267</v>
      </c>
      <c r="J1779" s="249">
        <v>9469.0382414854666</v>
      </c>
      <c r="K1779" s="910">
        <f t="shared" si="451"/>
        <v>2528233</v>
      </c>
      <c r="L1779" s="890" t="s">
        <v>169</v>
      </c>
      <c r="M1779" s="929" t="s">
        <v>167</v>
      </c>
      <c r="N1779" s="52" t="str">
        <f>IF(AND('331-CT'!$E$7=TH!H1779,OR(L1779="331",M1779="331")),"331",IF(AND(OR(L1779="131",M1779="131"),H1779='131-CT'!$E$7),"131",""))</f>
        <v/>
      </c>
      <c r="O1779" s="89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8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49"/>
        <v>8</v>
      </c>
      <c r="C1780" s="48">
        <f t="shared" si="450"/>
        <v>41877</v>
      </c>
      <c r="D1780" s="908" t="s">
        <v>1378</v>
      </c>
      <c r="E1780" s="908">
        <v>41877</v>
      </c>
      <c r="F1780" s="909" t="s">
        <v>600</v>
      </c>
      <c r="G1780" s="930" t="s">
        <v>658</v>
      </c>
      <c r="H1780" s="913" t="s">
        <v>1371</v>
      </c>
      <c r="I1780" s="249">
        <v>77</v>
      </c>
      <c r="J1780" s="249">
        <v>10366.964281626329</v>
      </c>
      <c r="K1780" s="910">
        <f t="shared" si="451"/>
        <v>798256</v>
      </c>
      <c r="L1780" s="890" t="s">
        <v>169</v>
      </c>
      <c r="M1780" s="929" t="s">
        <v>167</v>
      </c>
      <c r="N1780" s="52" t="str">
        <f>IF(AND('331-CT'!$E$7=TH!H1780,OR(L1780="331",M1780="331")),"331",IF(AND(OR(L1780="131",M1780="131"),H1780='131-CT'!$E$7),"131",""))</f>
        <v/>
      </c>
      <c r="O1780" s="89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>x</v>
      </c>
      <c r="AB1780" s="848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49"/>
        <v>8</v>
      </c>
      <c r="C1781" s="48">
        <f t="shared" si="450"/>
        <v>41877</v>
      </c>
      <c r="D1781" s="908" t="s">
        <v>1378</v>
      </c>
      <c r="E1781" s="908">
        <v>41877</v>
      </c>
      <c r="F1781" s="909" t="s">
        <v>623</v>
      </c>
      <c r="G1781" s="930" t="s">
        <v>658</v>
      </c>
      <c r="H1781" s="913" t="s">
        <v>1371</v>
      </c>
      <c r="I1781" s="249">
        <v>2400</v>
      </c>
      <c r="J1781" s="249">
        <v>489.77784007683448</v>
      </c>
      <c r="K1781" s="910">
        <f t="shared" si="451"/>
        <v>1175467</v>
      </c>
      <c r="L1781" s="890" t="s">
        <v>169</v>
      </c>
      <c r="M1781" s="929" t="s">
        <v>167</v>
      </c>
      <c r="N1781" s="52" t="str">
        <f>IF(AND('331-CT'!$E$7=TH!H1781,OR(L1781="331",M1781="331")),"331",IF(AND(OR(L1781="131",M1781="131"),H1781='131-CT'!$E$7),"131",""))</f>
        <v/>
      </c>
      <c r="O1781" s="89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>x</v>
      </c>
      <c r="AB1781" s="848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49"/>
        <v>8</v>
      </c>
      <c r="C1782" s="48">
        <f t="shared" si="450"/>
        <v>41878</v>
      </c>
      <c r="D1782" s="908" t="s">
        <v>1378</v>
      </c>
      <c r="E1782" s="908">
        <v>41878</v>
      </c>
      <c r="F1782" s="909" t="s">
        <v>515</v>
      </c>
      <c r="G1782" s="930" t="s">
        <v>659</v>
      </c>
      <c r="H1782" s="913" t="s">
        <v>1371</v>
      </c>
      <c r="I1782" s="249">
        <v>981</v>
      </c>
      <c r="J1782" s="249">
        <v>9387.4086014726599</v>
      </c>
      <c r="K1782" s="910">
        <f t="shared" si="451"/>
        <v>9209048</v>
      </c>
      <c r="L1782" s="890" t="s">
        <v>169</v>
      </c>
      <c r="M1782" s="929" t="s">
        <v>167</v>
      </c>
      <c r="N1782" s="52" t="str">
        <f>IF(AND('331-CT'!$E$7=TH!H1782,OR(L1782="331",M1782="331")),"331",IF(AND(OR(L1782="131",M1782="131"),H1782='131-CT'!$E$7),"131",""))</f>
        <v/>
      </c>
      <c r="O1782" s="89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>x</v>
      </c>
      <c r="AB1782" s="848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49"/>
        <v>8</v>
      </c>
      <c r="C1783" s="48">
        <f t="shared" si="450"/>
        <v>41879</v>
      </c>
      <c r="D1783" s="908" t="s">
        <v>1378</v>
      </c>
      <c r="E1783" s="908">
        <v>41879</v>
      </c>
      <c r="F1783" s="909" t="s">
        <v>1199</v>
      </c>
      <c r="G1783" s="930" t="s">
        <v>660</v>
      </c>
      <c r="H1783" s="913" t="s">
        <v>1371</v>
      </c>
      <c r="I1783" s="249">
        <v>1200</v>
      </c>
      <c r="J1783" s="249">
        <v>1306.074240204892</v>
      </c>
      <c r="K1783" s="910">
        <f t="shared" si="451"/>
        <v>1567289</v>
      </c>
      <c r="L1783" s="890" t="s">
        <v>169</v>
      </c>
      <c r="M1783" s="929" t="s">
        <v>167</v>
      </c>
      <c r="N1783" s="52" t="str">
        <f>IF(AND('331-CT'!$E$7=TH!H1783,OR(L1783="331",M1783="331")),"331",IF(AND(OR(L1783="131",M1783="131"),H1783='131-CT'!$E$7),"131",""))</f>
        <v/>
      </c>
      <c r="O1783" s="89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>x</v>
      </c>
      <c r="AB1783" s="848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49"/>
        <v>8</v>
      </c>
      <c r="C1784" s="48">
        <f t="shared" si="450"/>
        <v>41879</v>
      </c>
      <c r="D1784" s="908" t="s">
        <v>1378</v>
      </c>
      <c r="E1784" s="908">
        <v>41879</v>
      </c>
      <c r="F1784" s="909" t="s">
        <v>1200</v>
      </c>
      <c r="G1784" s="930" t="s">
        <v>660</v>
      </c>
      <c r="H1784" s="913" t="s">
        <v>1371</v>
      </c>
      <c r="I1784" s="249">
        <v>400</v>
      </c>
      <c r="J1784" s="249">
        <v>3836.59308060187</v>
      </c>
      <c r="K1784" s="910">
        <f t="shared" si="451"/>
        <v>1534637</v>
      </c>
      <c r="L1784" s="890" t="s">
        <v>169</v>
      </c>
      <c r="M1784" s="929" t="s">
        <v>167</v>
      </c>
      <c r="N1784" s="52" t="str">
        <f>IF(AND('331-CT'!$E$7=TH!H1784,OR(L1784="331",M1784="331")),"331",IF(AND(OR(L1784="131",M1784="131"),H1784='131-CT'!$E$7),"131",""))</f>
        <v/>
      </c>
      <c r="O1784" s="89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>x</v>
      </c>
      <c r="AB1784" s="848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49"/>
        <v>9</v>
      </c>
      <c r="C1785" s="48">
        <f t="shared" si="450"/>
        <v>41883</v>
      </c>
      <c r="D1785" s="908" t="s">
        <v>1378</v>
      </c>
      <c r="E1785" s="908">
        <v>41883</v>
      </c>
      <c r="F1785" s="909" t="s">
        <v>664</v>
      </c>
      <c r="G1785" s="930" t="s">
        <v>665</v>
      </c>
      <c r="H1785" s="913" t="s">
        <v>1371</v>
      </c>
      <c r="I1785" s="249">
        <v>509</v>
      </c>
      <c r="J1785" s="249">
        <v>6367.1119209988483</v>
      </c>
      <c r="K1785" s="910">
        <f t="shared" si="451"/>
        <v>3240860</v>
      </c>
      <c r="L1785" s="890" t="s">
        <v>169</v>
      </c>
      <c r="M1785" s="929" t="s">
        <v>167</v>
      </c>
      <c r="N1785" s="52" t="str">
        <f>IF(AND('331-CT'!$E$7=TH!H1785,OR(L1785="331",M1785="331")),"331",IF(AND(OR(L1785="131",M1785="131"),H1785='131-CT'!$E$7),"131",""))</f>
        <v/>
      </c>
      <c r="O1785" s="89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>x</v>
      </c>
      <c r="AB1785" s="848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49"/>
        <v>9</v>
      </c>
      <c r="C1786" s="48">
        <f t="shared" si="450"/>
        <v>41883</v>
      </c>
      <c r="D1786" s="908" t="s">
        <v>1378</v>
      </c>
      <c r="E1786" s="908">
        <v>41883</v>
      </c>
      <c r="F1786" s="909" t="s">
        <v>666</v>
      </c>
      <c r="G1786" s="930" t="s">
        <v>665</v>
      </c>
      <c r="H1786" s="913" t="s">
        <v>1371</v>
      </c>
      <c r="I1786" s="249">
        <v>210</v>
      </c>
      <c r="J1786" s="249">
        <v>6040.5933609476251</v>
      </c>
      <c r="K1786" s="910">
        <f t="shared" si="451"/>
        <v>1268525</v>
      </c>
      <c r="L1786" s="890" t="s">
        <v>169</v>
      </c>
      <c r="M1786" s="929" t="s">
        <v>167</v>
      </c>
      <c r="N1786" s="52" t="str">
        <f>IF(AND('331-CT'!$E$7=TH!H1786,OR(L1786="331",M1786="331")),"331",IF(AND(OR(L1786="131",M1786="131"),H1786='131-CT'!$E$7),"131",""))</f>
        <v/>
      </c>
      <c r="O1786" s="89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>x</v>
      </c>
      <c r="AB1786" s="848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49"/>
        <v>9</v>
      </c>
      <c r="C1787" s="48">
        <f t="shared" si="450"/>
        <v>41883</v>
      </c>
      <c r="D1787" s="908" t="s">
        <v>1378</v>
      </c>
      <c r="E1787" s="908">
        <v>41883</v>
      </c>
      <c r="F1787" s="909" t="s">
        <v>600</v>
      </c>
      <c r="G1787" s="930" t="s">
        <v>667</v>
      </c>
      <c r="H1787" s="913" t="s">
        <v>1371</v>
      </c>
      <c r="I1787" s="249">
        <v>1116</v>
      </c>
      <c r="J1787" s="249">
        <v>10366.964281626329</v>
      </c>
      <c r="K1787" s="910">
        <f t="shared" si="451"/>
        <v>11569532</v>
      </c>
      <c r="L1787" s="890" t="s">
        <v>169</v>
      </c>
      <c r="M1787" s="929" t="s">
        <v>167</v>
      </c>
      <c r="N1787" s="52" t="str">
        <f>IF(AND('331-CT'!$E$7=TH!H1787,OR(L1787="331",M1787="331")),"331",IF(AND(OR(L1787="131",M1787="131"),H1787='131-CT'!$E$7),"131",""))</f>
        <v/>
      </c>
      <c r="O1787" s="89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>x</v>
      </c>
      <c r="AB1787" s="848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49"/>
        <v>9</v>
      </c>
      <c r="C1788" s="48">
        <f t="shared" si="450"/>
        <v>41883</v>
      </c>
      <c r="D1788" s="908" t="s">
        <v>1378</v>
      </c>
      <c r="E1788" s="908">
        <v>41883</v>
      </c>
      <c r="F1788" s="909" t="s">
        <v>662</v>
      </c>
      <c r="G1788" s="930" t="s">
        <v>667</v>
      </c>
      <c r="H1788" s="913" t="s">
        <v>1371</v>
      </c>
      <c r="I1788" s="249">
        <v>1273</v>
      </c>
      <c r="J1788" s="249">
        <v>7836.4454412293517</v>
      </c>
      <c r="K1788" s="910">
        <f t="shared" si="451"/>
        <v>9975795</v>
      </c>
      <c r="L1788" s="890" t="s">
        <v>169</v>
      </c>
      <c r="M1788" s="929" t="s">
        <v>167</v>
      </c>
      <c r="N1788" s="52" t="str">
        <f>IF(AND('331-CT'!$E$7=TH!H1788,OR(L1788="331",M1788="331")),"331",IF(AND(OR(L1788="131",M1788="131"),H1788='131-CT'!$E$7),"131",""))</f>
        <v/>
      </c>
      <c r="O1788" s="89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>x</v>
      </c>
      <c r="AB1788" s="848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49"/>
        <v>9</v>
      </c>
      <c r="C1789" s="48">
        <f t="shared" si="450"/>
        <v>41883</v>
      </c>
      <c r="D1789" s="908" t="s">
        <v>1378</v>
      </c>
      <c r="E1789" s="908">
        <v>41883</v>
      </c>
      <c r="F1789" s="909" t="s">
        <v>603</v>
      </c>
      <c r="G1789" s="930" t="s">
        <v>667</v>
      </c>
      <c r="H1789" s="913" t="s">
        <v>1371</v>
      </c>
      <c r="I1789" s="249">
        <v>373</v>
      </c>
      <c r="J1789" s="249">
        <v>9469.0382414854666</v>
      </c>
      <c r="K1789" s="910">
        <f t="shared" si="451"/>
        <v>3531951</v>
      </c>
      <c r="L1789" s="890" t="s">
        <v>169</v>
      </c>
      <c r="M1789" s="929" t="s">
        <v>167</v>
      </c>
      <c r="N1789" s="52" t="str">
        <f>IF(AND('331-CT'!$E$7=TH!H1789,OR(L1789="331",M1789="331")),"331",IF(AND(OR(L1789="131",M1789="131"),H1789='131-CT'!$E$7),"131",""))</f>
        <v/>
      </c>
      <c r="O1789" s="89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>x</v>
      </c>
      <c r="AB1789" s="848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49"/>
        <v>9</v>
      </c>
      <c r="C1790" s="48">
        <f t="shared" si="450"/>
        <v>41883</v>
      </c>
      <c r="D1790" s="908" t="s">
        <v>1378</v>
      </c>
      <c r="E1790" s="908">
        <v>41883</v>
      </c>
      <c r="F1790" s="909" t="s">
        <v>663</v>
      </c>
      <c r="G1790" s="930" t="s">
        <v>667</v>
      </c>
      <c r="H1790" s="913" t="s">
        <v>1371</v>
      </c>
      <c r="I1790" s="249">
        <v>176</v>
      </c>
      <c r="J1790" s="249">
        <v>10856.742121703164</v>
      </c>
      <c r="K1790" s="910">
        <f t="shared" si="451"/>
        <v>1910787</v>
      </c>
      <c r="L1790" s="890" t="s">
        <v>169</v>
      </c>
      <c r="M1790" s="929" t="s">
        <v>167</v>
      </c>
      <c r="N1790" s="52" t="str">
        <f>IF(AND('331-CT'!$E$7=TH!H1790,OR(L1790="331",M1790="331")),"331",IF(AND(OR(L1790="131",M1790="131"),H1790='131-CT'!$E$7),"131",""))</f>
        <v/>
      </c>
      <c r="O1790" s="89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>x</v>
      </c>
      <c r="AB1790" s="848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49"/>
        <v>9</v>
      </c>
      <c r="C1791" s="48">
        <f t="shared" si="450"/>
        <v>41883</v>
      </c>
      <c r="D1791" s="908" t="s">
        <v>1378</v>
      </c>
      <c r="E1791" s="908">
        <v>41883</v>
      </c>
      <c r="F1791" s="909" t="s">
        <v>623</v>
      </c>
      <c r="G1791" s="930" t="s">
        <v>667</v>
      </c>
      <c r="H1791" s="913" t="s">
        <v>1371</v>
      </c>
      <c r="I1791" s="249">
        <v>4500</v>
      </c>
      <c r="J1791" s="249">
        <v>489.77784007683448</v>
      </c>
      <c r="K1791" s="910">
        <f t="shared" si="451"/>
        <v>2204000</v>
      </c>
      <c r="L1791" s="890" t="s">
        <v>169</v>
      </c>
      <c r="M1791" s="929" t="s">
        <v>167</v>
      </c>
      <c r="N1791" s="52" t="str">
        <f>IF(AND('331-CT'!$E$7=TH!H1791,OR(L1791="331",M1791="331")),"331",IF(AND(OR(L1791="131",M1791="131"),H1791='131-CT'!$E$7),"131",""))</f>
        <v/>
      </c>
      <c r="O1791" s="89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>x</v>
      </c>
      <c r="AB1791" s="848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49"/>
        <v>9</v>
      </c>
      <c r="C1792" s="48">
        <f t="shared" si="450"/>
        <v>41883</v>
      </c>
      <c r="D1792" s="908" t="s">
        <v>1378</v>
      </c>
      <c r="E1792" s="908">
        <v>41883</v>
      </c>
      <c r="F1792" s="909" t="s">
        <v>668</v>
      </c>
      <c r="G1792" s="930" t="s">
        <v>669</v>
      </c>
      <c r="H1792" s="913" t="s">
        <v>1371</v>
      </c>
      <c r="I1792" s="249">
        <v>500</v>
      </c>
      <c r="J1792" s="249">
        <v>5550.8155208707913</v>
      </c>
      <c r="K1792" s="910">
        <f t="shared" si="451"/>
        <v>2775408</v>
      </c>
      <c r="L1792" s="890" t="s">
        <v>169</v>
      </c>
      <c r="M1792" s="929" t="s">
        <v>167</v>
      </c>
      <c r="N1792" s="52" t="str">
        <f>IF(AND('331-CT'!$E$7=TH!H1792,OR(L1792="331",M1792="331")),"331",IF(AND(OR(L1792="131",M1792="131"),H1792='131-CT'!$E$7),"131",""))</f>
        <v/>
      </c>
      <c r="O1792" s="89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>x</v>
      </c>
      <c r="AB1792" s="848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49"/>
        <v>9</v>
      </c>
      <c r="C1793" s="48">
        <f t="shared" si="450"/>
        <v>41886</v>
      </c>
      <c r="D1793" s="908" t="s">
        <v>1378</v>
      </c>
      <c r="E1793" s="908">
        <v>41886</v>
      </c>
      <c r="F1793" s="909" t="s">
        <v>670</v>
      </c>
      <c r="G1793" s="930" t="s">
        <v>671</v>
      </c>
      <c r="H1793" s="913" t="s">
        <v>1371</v>
      </c>
      <c r="I1793" s="249">
        <v>711</v>
      </c>
      <c r="J1793" s="249">
        <v>7346.6676011525178</v>
      </c>
      <c r="K1793" s="910">
        <f t="shared" si="451"/>
        <v>5223481</v>
      </c>
      <c r="L1793" s="890" t="s">
        <v>169</v>
      </c>
      <c r="M1793" s="929" t="s">
        <v>167</v>
      </c>
      <c r="N1793" s="52" t="str">
        <f>IF(AND('331-CT'!$E$7=TH!H1793,OR(L1793="331",M1793="331")),"331",IF(AND(OR(L1793="131",M1793="131"),H1793='131-CT'!$E$7),"131",""))</f>
        <v/>
      </c>
      <c r="O1793" s="89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>x</v>
      </c>
      <c r="AB1793" s="848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49"/>
        <v>9</v>
      </c>
      <c r="C1794" s="48">
        <f t="shared" si="450"/>
        <v>41886</v>
      </c>
      <c r="D1794" s="908" t="s">
        <v>1378</v>
      </c>
      <c r="E1794" s="908">
        <v>41886</v>
      </c>
      <c r="F1794" s="909" t="s">
        <v>483</v>
      </c>
      <c r="G1794" s="930" t="s">
        <v>673</v>
      </c>
      <c r="H1794" s="913" t="s">
        <v>1371</v>
      </c>
      <c r="I1794" s="249">
        <v>197</v>
      </c>
      <c r="J1794" s="249">
        <v>10938.371761715971</v>
      </c>
      <c r="K1794" s="910">
        <f t="shared" si="451"/>
        <v>2154859</v>
      </c>
      <c r="L1794" s="890" t="s">
        <v>169</v>
      </c>
      <c r="M1794" s="929" t="s">
        <v>167</v>
      </c>
      <c r="N1794" s="52" t="str">
        <f>IF(AND('331-CT'!$E$7=TH!H1794,OR(L1794="331",M1794="331")),"331",IF(AND(OR(L1794="131",M1794="131"),H1794='131-CT'!$E$7),"131",""))</f>
        <v/>
      </c>
      <c r="O1794" s="89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>x</v>
      </c>
      <c r="AB1794" s="848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49"/>
        <v>9</v>
      </c>
      <c r="C1795" s="48">
        <f t="shared" si="450"/>
        <v>41886</v>
      </c>
      <c r="D1795" s="908" t="s">
        <v>1378</v>
      </c>
      <c r="E1795" s="908">
        <v>41886</v>
      </c>
      <c r="F1795" s="909" t="s">
        <v>486</v>
      </c>
      <c r="G1795" s="930" t="s">
        <v>673</v>
      </c>
      <c r="H1795" s="913" t="s">
        <v>1371</v>
      </c>
      <c r="I1795" s="249">
        <v>307</v>
      </c>
      <c r="J1795" s="249">
        <v>7265.037961139712</v>
      </c>
      <c r="K1795" s="910">
        <f t="shared" si="451"/>
        <v>2230367</v>
      </c>
      <c r="L1795" s="890" t="s">
        <v>169</v>
      </c>
      <c r="M1795" s="929" t="s">
        <v>167</v>
      </c>
      <c r="N1795" s="52" t="str">
        <f>IF(AND('331-CT'!$E$7=TH!H1795,OR(L1795="331",M1795="331")),"331",IF(AND(OR(L1795="131",M1795="131"),H1795='131-CT'!$E$7),"131",""))</f>
        <v/>
      </c>
      <c r="O1795" s="89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>x</v>
      </c>
      <c r="AB1795" s="848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49"/>
        <v>9</v>
      </c>
      <c r="C1796" s="48">
        <f t="shared" si="450"/>
        <v>41890</v>
      </c>
      <c r="D1796" s="908" t="s">
        <v>1378</v>
      </c>
      <c r="E1796" s="908">
        <v>41890</v>
      </c>
      <c r="F1796" s="909" t="s">
        <v>674</v>
      </c>
      <c r="G1796" s="930" t="s">
        <v>675</v>
      </c>
      <c r="H1796" s="913" t="s">
        <v>1371</v>
      </c>
      <c r="I1796" s="249">
        <v>860</v>
      </c>
      <c r="J1796" s="249">
        <v>14774.964842317841</v>
      </c>
      <c r="K1796" s="910">
        <f t="shared" si="451"/>
        <v>12706470</v>
      </c>
      <c r="L1796" s="890" t="s">
        <v>169</v>
      </c>
      <c r="M1796" s="929" t="s">
        <v>167</v>
      </c>
      <c r="N1796" s="52" t="str">
        <f>IF(AND('331-CT'!$E$7=TH!H1796,OR(L1796="331",M1796="331")),"331",IF(AND(OR(L1796="131",M1796="131"),H1796='131-CT'!$E$7),"131",""))</f>
        <v/>
      </c>
      <c r="O1796" s="89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>x</v>
      </c>
      <c r="AB1796" s="848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49"/>
        <v>9</v>
      </c>
      <c r="C1797" s="48">
        <f t="shared" si="450"/>
        <v>41890</v>
      </c>
      <c r="D1797" s="908" t="s">
        <v>1378</v>
      </c>
      <c r="E1797" s="908">
        <v>41890</v>
      </c>
      <c r="F1797" s="909" t="s">
        <v>663</v>
      </c>
      <c r="G1797" s="930" t="s">
        <v>676</v>
      </c>
      <c r="H1797" s="913" t="s">
        <v>1371</v>
      </c>
      <c r="I1797" s="249">
        <v>2153</v>
      </c>
      <c r="J1797" s="249">
        <v>10856.742121703164</v>
      </c>
      <c r="K1797" s="910">
        <f t="shared" si="451"/>
        <v>23374566</v>
      </c>
      <c r="L1797" s="890" t="s">
        <v>169</v>
      </c>
      <c r="M1797" s="929" t="s">
        <v>167</v>
      </c>
      <c r="N1797" s="52" t="str">
        <f>IF(AND('331-CT'!$E$7=TH!H1797,OR(L1797="331",M1797="331")),"331",IF(AND(OR(L1797="131",M1797="131"),H1797='131-CT'!$E$7),"131",""))</f>
        <v/>
      </c>
      <c r="O1797" s="89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8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49"/>
        <v>9</v>
      </c>
      <c r="C1798" s="48">
        <f t="shared" si="450"/>
        <v>41890</v>
      </c>
      <c r="D1798" s="908" t="s">
        <v>1378</v>
      </c>
      <c r="E1798" s="908">
        <v>41890</v>
      </c>
      <c r="F1798" s="909" t="s">
        <v>623</v>
      </c>
      <c r="G1798" s="930" t="s">
        <v>676</v>
      </c>
      <c r="H1798" s="913" t="s">
        <v>1371</v>
      </c>
      <c r="I1798" s="249">
        <v>2000</v>
      </c>
      <c r="J1798" s="249">
        <v>489.77784007683448</v>
      </c>
      <c r="K1798" s="910">
        <f t="shared" si="451"/>
        <v>979556</v>
      </c>
      <c r="L1798" s="890" t="s">
        <v>169</v>
      </c>
      <c r="M1798" s="929" t="s">
        <v>167</v>
      </c>
      <c r="N1798" s="52" t="str">
        <f>IF(AND('331-CT'!$E$7=TH!H1798,OR(L1798="331",M1798="331")),"331",IF(AND(OR(L1798="131",M1798="131"),H1798='131-CT'!$E$7),"131",""))</f>
        <v/>
      </c>
      <c r="O1798" s="89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8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49"/>
        <v>9</v>
      </c>
      <c r="C1799" s="48">
        <f t="shared" si="450"/>
        <v>41890</v>
      </c>
      <c r="D1799" s="908" t="s">
        <v>1378</v>
      </c>
      <c r="E1799" s="908">
        <v>41890</v>
      </c>
      <c r="F1799" s="909" t="s">
        <v>1157</v>
      </c>
      <c r="G1799" s="930" t="s">
        <v>677</v>
      </c>
      <c r="H1799" s="913" t="s">
        <v>1371</v>
      </c>
      <c r="I1799" s="249">
        <v>1000</v>
      </c>
      <c r="J1799" s="249">
        <v>816.29640012805748</v>
      </c>
      <c r="K1799" s="910">
        <f t="shared" si="451"/>
        <v>816296</v>
      </c>
      <c r="L1799" s="890" t="s">
        <v>169</v>
      </c>
      <c r="M1799" s="929" t="s">
        <v>167</v>
      </c>
      <c r="N1799" s="52" t="str">
        <f>IF(AND('331-CT'!$E$7=TH!H1799,OR(L1799="331",M1799="331")),"331",IF(AND(OR(L1799="131",M1799="131"),H1799='131-CT'!$E$7),"131",""))</f>
        <v/>
      </c>
      <c r="O1799" s="89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8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49"/>
        <v>9</v>
      </c>
      <c r="C1800" s="48">
        <f t="shared" si="450"/>
        <v>41894</v>
      </c>
      <c r="D1800" s="908" t="s">
        <v>1378</v>
      </c>
      <c r="E1800" s="908">
        <v>41894</v>
      </c>
      <c r="F1800" s="909" t="s">
        <v>593</v>
      </c>
      <c r="G1800" s="930" t="s">
        <v>679</v>
      </c>
      <c r="H1800" s="913" t="s">
        <v>1371</v>
      </c>
      <c r="I1800" s="249">
        <v>210</v>
      </c>
      <c r="J1800" s="249">
        <v>24407.262363828919</v>
      </c>
      <c r="K1800" s="910">
        <f t="shared" si="451"/>
        <v>5125525</v>
      </c>
      <c r="L1800" s="890" t="s">
        <v>169</v>
      </c>
      <c r="M1800" s="929" t="s">
        <v>167</v>
      </c>
      <c r="N1800" s="52" t="str">
        <f>IF(AND('331-CT'!$E$7=TH!H1800,OR(L1800="331",M1800="331")),"331",IF(AND(OR(L1800="131",M1800="131"),H1800='131-CT'!$E$7),"131",""))</f>
        <v/>
      </c>
      <c r="O1800" s="89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8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49"/>
        <v>9</v>
      </c>
      <c r="C1801" s="48">
        <f t="shared" si="450"/>
        <v>41895</v>
      </c>
      <c r="D1801" s="908" t="s">
        <v>1378</v>
      </c>
      <c r="E1801" s="908">
        <v>41895</v>
      </c>
      <c r="F1801" s="909" t="s">
        <v>1206</v>
      </c>
      <c r="G1801" s="930" t="s">
        <v>680</v>
      </c>
      <c r="H1801" s="913" t="s">
        <v>1371</v>
      </c>
      <c r="I1801" s="249">
        <v>200</v>
      </c>
      <c r="J1801" s="249">
        <v>9305.7789614598551</v>
      </c>
      <c r="K1801" s="910">
        <f t="shared" si="451"/>
        <v>1861156</v>
      </c>
      <c r="L1801" s="890" t="s">
        <v>169</v>
      </c>
      <c r="M1801" s="929" t="s">
        <v>167</v>
      </c>
      <c r="N1801" s="52" t="str">
        <f>IF(AND('331-CT'!$E$7=TH!H1801,OR(L1801="331",M1801="331")),"331",IF(AND(OR(L1801="131",M1801="131"),H1801='131-CT'!$E$7),"131",""))</f>
        <v/>
      </c>
      <c r="O1801" s="89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8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49"/>
        <v>9</v>
      </c>
      <c r="C1802" s="48">
        <f t="shared" si="450"/>
        <v>41895</v>
      </c>
      <c r="D1802" s="908" t="s">
        <v>1378</v>
      </c>
      <c r="E1802" s="908">
        <v>41895</v>
      </c>
      <c r="F1802" s="909" t="s">
        <v>1206</v>
      </c>
      <c r="G1802" s="930" t="s">
        <v>680</v>
      </c>
      <c r="H1802" s="913" t="s">
        <v>1371</v>
      </c>
      <c r="I1802" s="249">
        <v>989</v>
      </c>
      <c r="J1802" s="249">
        <v>9305.7789614598551</v>
      </c>
      <c r="K1802" s="910">
        <f t="shared" si="451"/>
        <v>9203415</v>
      </c>
      <c r="L1802" s="890" t="s">
        <v>169</v>
      </c>
      <c r="M1802" s="929" t="s">
        <v>167</v>
      </c>
      <c r="N1802" s="52" t="str">
        <f>IF(AND('331-CT'!$E$7=TH!H1802,OR(L1802="331",M1802="331")),"331",IF(AND(OR(L1802="131",M1802="131"),H1802='131-CT'!$E$7),"131",""))</f>
        <v/>
      </c>
      <c r="O1802" s="89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8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49"/>
        <v>9</v>
      </c>
      <c r="C1803" s="48">
        <f t="shared" si="450"/>
        <v>41895</v>
      </c>
      <c r="D1803" s="908" t="s">
        <v>1378</v>
      </c>
      <c r="E1803" s="908">
        <v>41895</v>
      </c>
      <c r="F1803" s="909" t="s">
        <v>445</v>
      </c>
      <c r="G1803" s="930" t="s">
        <v>680</v>
      </c>
      <c r="H1803" s="913" t="s">
        <v>1371</v>
      </c>
      <c r="I1803" s="249">
        <v>2400</v>
      </c>
      <c r="J1803" s="249">
        <v>816.29640012805748</v>
      </c>
      <c r="K1803" s="910">
        <f t="shared" si="451"/>
        <v>1959111</v>
      </c>
      <c r="L1803" s="890" t="s">
        <v>169</v>
      </c>
      <c r="M1803" s="929" t="s">
        <v>167</v>
      </c>
      <c r="N1803" s="52" t="str">
        <f>IF(AND('331-CT'!$E$7=TH!H1803,OR(L1803="331",M1803="331")),"331",IF(AND(OR(L1803="131",M1803="131"),H1803='131-CT'!$E$7),"131",""))</f>
        <v/>
      </c>
      <c r="O1803" s="89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8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49"/>
        <v>9</v>
      </c>
      <c r="C1804" s="48">
        <f t="shared" si="450"/>
        <v>41897</v>
      </c>
      <c r="D1804" s="908" t="s">
        <v>1378</v>
      </c>
      <c r="E1804" s="908">
        <v>41897</v>
      </c>
      <c r="F1804" s="909" t="s">
        <v>436</v>
      </c>
      <c r="G1804" s="930" t="s">
        <v>681</v>
      </c>
      <c r="H1804" s="913" t="s">
        <v>1371</v>
      </c>
      <c r="I1804" s="249">
        <v>495</v>
      </c>
      <c r="J1804" s="249">
        <v>7754.8158012165459</v>
      </c>
      <c r="K1804" s="910">
        <f t="shared" si="451"/>
        <v>3838634</v>
      </c>
      <c r="L1804" s="890" t="s">
        <v>169</v>
      </c>
      <c r="M1804" s="929" t="s">
        <v>167</v>
      </c>
      <c r="N1804" s="52" t="str">
        <f>IF(AND('331-CT'!$E$7=TH!H1804,OR(L1804="331",M1804="331")),"331",IF(AND(OR(L1804="131",M1804="131"),H1804='131-CT'!$E$7),"131",""))</f>
        <v/>
      </c>
      <c r="O1804" s="89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8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49"/>
        <v>9</v>
      </c>
      <c r="C1805" s="48">
        <f t="shared" si="450"/>
        <v>41898</v>
      </c>
      <c r="D1805" s="908" t="s">
        <v>1378</v>
      </c>
      <c r="E1805" s="908">
        <v>41898</v>
      </c>
      <c r="F1805" s="909" t="s">
        <v>682</v>
      </c>
      <c r="G1805" s="930" t="s">
        <v>683</v>
      </c>
      <c r="H1805" s="913" t="s">
        <v>1371</v>
      </c>
      <c r="I1805" s="249">
        <v>451</v>
      </c>
      <c r="J1805" s="249">
        <v>24897.040203905752</v>
      </c>
      <c r="K1805" s="910">
        <f t="shared" si="451"/>
        <v>11228565</v>
      </c>
      <c r="L1805" s="890" t="s">
        <v>169</v>
      </c>
      <c r="M1805" s="929" t="s">
        <v>167</v>
      </c>
      <c r="N1805" s="52" t="str">
        <f>IF(AND('331-CT'!$E$7=TH!H1805,OR(L1805="331",M1805="331")),"331",IF(AND(OR(L1805="131",M1805="131"),H1805='131-CT'!$E$7),"131",""))</f>
        <v/>
      </c>
      <c r="O1805" s="89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8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49"/>
        <v>9</v>
      </c>
      <c r="C1806" s="48">
        <f t="shared" si="450"/>
        <v>41898</v>
      </c>
      <c r="D1806" s="908" t="s">
        <v>1378</v>
      </c>
      <c r="E1806" s="908">
        <v>41898</v>
      </c>
      <c r="F1806" s="909" t="s">
        <v>746</v>
      </c>
      <c r="G1806" s="930" t="s">
        <v>683</v>
      </c>
      <c r="H1806" s="913" t="s">
        <v>1371</v>
      </c>
      <c r="I1806" s="249">
        <v>902</v>
      </c>
      <c r="J1806" s="249">
        <v>1224.4446001920862</v>
      </c>
      <c r="K1806" s="910">
        <f t="shared" si="451"/>
        <v>1104449</v>
      </c>
      <c r="L1806" s="890" t="s">
        <v>169</v>
      </c>
      <c r="M1806" s="929" t="s">
        <v>167</v>
      </c>
      <c r="N1806" s="52" t="str">
        <f>IF(AND('331-CT'!$E$7=TH!H1806,OR(L1806="331",M1806="331")),"331",IF(AND(OR(L1806="131",M1806="131"),H1806='131-CT'!$E$7),"131",""))</f>
        <v/>
      </c>
      <c r="O1806" s="89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8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49"/>
        <v>9</v>
      </c>
      <c r="C1807" s="48">
        <f t="shared" si="450"/>
        <v>41898</v>
      </c>
      <c r="D1807" s="908" t="s">
        <v>1378</v>
      </c>
      <c r="E1807" s="908">
        <v>41898</v>
      </c>
      <c r="F1807" s="909" t="s">
        <v>663</v>
      </c>
      <c r="G1807" s="930" t="s">
        <v>685</v>
      </c>
      <c r="H1807" s="913" t="s">
        <v>1371</v>
      </c>
      <c r="I1807" s="249">
        <v>175</v>
      </c>
      <c r="J1807" s="249">
        <v>10856.742121703164</v>
      </c>
      <c r="K1807" s="910">
        <f t="shared" si="451"/>
        <v>1899930</v>
      </c>
      <c r="L1807" s="890" t="s">
        <v>169</v>
      </c>
      <c r="M1807" s="929" t="s">
        <v>167</v>
      </c>
      <c r="N1807" s="52" t="str">
        <f>IF(AND('331-CT'!$E$7=TH!H1807,OR(L1807="331",M1807="331")),"331",IF(AND(OR(L1807="131",M1807="131"),H1807='131-CT'!$E$7),"131",""))</f>
        <v/>
      </c>
      <c r="O1807" s="89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8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49"/>
        <v>9</v>
      </c>
      <c r="C1808" s="48">
        <f t="shared" si="450"/>
        <v>41898</v>
      </c>
      <c r="D1808" s="908" t="s">
        <v>1378</v>
      </c>
      <c r="E1808" s="908">
        <v>41898</v>
      </c>
      <c r="F1808" s="909" t="s">
        <v>663</v>
      </c>
      <c r="G1808" s="930" t="s">
        <v>685</v>
      </c>
      <c r="H1808" s="913" t="s">
        <v>1371</v>
      </c>
      <c r="I1808" s="249">
        <v>1686</v>
      </c>
      <c r="J1808" s="249">
        <v>10856.742121703164</v>
      </c>
      <c r="K1808" s="910">
        <f t="shared" si="451"/>
        <v>18304467</v>
      </c>
      <c r="L1808" s="890" t="s">
        <v>169</v>
      </c>
      <c r="M1808" s="929" t="s">
        <v>167</v>
      </c>
      <c r="N1808" s="52" t="str">
        <f>IF(AND('331-CT'!$E$7=TH!H1808,OR(L1808="331",M1808="331")),"331",IF(AND(OR(L1808="131",M1808="131"),H1808='131-CT'!$E$7),"131",""))</f>
        <v/>
      </c>
      <c r="O1808" s="89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8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49"/>
        <v>9</v>
      </c>
      <c r="C1809" s="48">
        <f t="shared" si="450"/>
        <v>41898</v>
      </c>
      <c r="D1809" s="908" t="s">
        <v>1378</v>
      </c>
      <c r="E1809" s="908">
        <v>41898</v>
      </c>
      <c r="F1809" s="909" t="s">
        <v>662</v>
      </c>
      <c r="G1809" s="930" t="s">
        <v>685</v>
      </c>
      <c r="H1809" s="913" t="s">
        <v>1371</v>
      </c>
      <c r="I1809" s="249">
        <v>827</v>
      </c>
      <c r="J1809" s="249">
        <v>7836.4454412293517</v>
      </c>
      <c r="K1809" s="910">
        <f t="shared" si="451"/>
        <v>6480740</v>
      </c>
      <c r="L1809" s="890" t="s">
        <v>169</v>
      </c>
      <c r="M1809" s="929" t="s">
        <v>167</v>
      </c>
      <c r="N1809" s="52" t="str">
        <f>IF(AND('331-CT'!$E$7=TH!H1809,OR(L1809="331",M1809="331")),"331",IF(AND(OR(L1809="131",M1809="131"),H1809='131-CT'!$E$7),"131",""))</f>
        <v/>
      </c>
      <c r="O1809" s="89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8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49"/>
        <v>9</v>
      </c>
      <c r="C1810" s="48">
        <f t="shared" si="450"/>
        <v>41898</v>
      </c>
      <c r="D1810" s="908" t="s">
        <v>1378</v>
      </c>
      <c r="E1810" s="908">
        <v>41898</v>
      </c>
      <c r="F1810" s="909" t="s">
        <v>662</v>
      </c>
      <c r="G1810" s="930" t="s">
        <v>685</v>
      </c>
      <c r="H1810" s="913" t="s">
        <v>1371</v>
      </c>
      <c r="I1810" s="249">
        <v>1700</v>
      </c>
      <c r="J1810" s="249">
        <v>7836.4454412293517</v>
      </c>
      <c r="K1810" s="910">
        <f t="shared" si="451"/>
        <v>13321957</v>
      </c>
      <c r="L1810" s="890" t="s">
        <v>169</v>
      </c>
      <c r="M1810" s="929" t="s">
        <v>167</v>
      </c>
      <c r="N1810" s="52" t="str">
        <f>IF(AND('331-CT'!$E$7=TH!H1810,OR(L1810="331",M1810="331")),"331",IF(AND(OR(L1810="131",M1810="131"),H1810='131-CT'!$E$7),"131",""))</f>
        <v/>
      </c>
      <c r="O1810" s="89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8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49"/>
        <v>9</v>
      </c>
      <c r="C1811" s="48">
        <f t="shared" si="450"/>
        <v>41898</v>
      </c>
      <c r="D1811" s="908" t="s">
        <v>1378</v>
      </c>
      <c r="E1811" s="908">
        <v>41898</v>
      </c>
      <c r="F1811" s="909" t="s">
        <v>623</v>
      </c>
      <c r="G1811" s="930" t="s">
        <v>685</v>
      </c>
      <c r="H1811" s="913" t="s">
        <v>1371</v>
      </c>
      <c r="I1811" s="249">
        <v>10500</v>
      </c>
      <c r="J1811" s="249">
        <v>489.77784007683448</v>
      </c>
      <c r="K1811" s="910">
        <f t="shared" si="451"/>
        <v>5142667</v>
      </c>
      <c r="L1811" s="890" t="s">
        <v>169</v>
      </c>
      <c r="M1811" s="929" t="s">
        <v>167</v>
      </c>
      <c r="N1811" s="52" t="str">
        <f>IF(AND('331-CT'!$E$7=TH!H1811,OR(L1811="331",M1811="331")),"331",IF(AND(OR(L1811="131",M1811="131"),H1811='131-CT'!$E$7),"131",""))</f>
        <v/>
      </c>
      <c r="O1811" s="89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8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49"/>
        <v>9</v>
      </c>
      <c r="C1812" s="48">
        <f t="shared" si="450"/>
        <v>41899</v>
      </c>
      <c r="D1812" s="908" t="s">
        <v>1378</v>
      </c>
      <c r="E1812" s="908">
        <v>41899</v>
      </c>
      <c r="F1812" s="909" t="s">
        <v>686</v>
      </c>
      <c r="G1812" s="930" t="s">
        <v>687</v>
      </c>
      <c r="H1812" s="913" t="s">
        <v>1371</v>
      </c>
      <c r="I1812" s="249">
        <v>833</v>
      </c>
      <c r="J1812" s="249">
        <v>19019.706122983738</v>
      </c>
      <c r="K1812" s="910">
        <f t="shared" si="451"/>
        <v>15843415</v>
      </c>
      <c r="L1812" s="890" t="s">
        <v>169</v>
      </c>
      <c r="M1812" s="929" t="s">
        <v>167</v>
      </c>
      <c r="N1812" s="52" t="str">
        <f>IF(AND('331-CT'!$E$7=TH!H1812,OR(L1812="331",M1812="331")),"331",IF(AND(OR(L1812="131",M1812="131"),H1812='131-CT'!$E$7),"131",""))</f>
        <v/>
      </c>
      <c r="O1812" s="89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8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49"/>
        <v>9</v>
      </c>
      <c r="C1813" s="48">
        <f t="shared" si="450"/>
        <v>41900</v>
      </c>
      <c r="D1813" s="908" t="s">
        <v>1378</v>
      </c>
      <c r="E1813" s="908">
        <v>41900</v>
      </c>
      <c r="F1813" s="909" t="s">
        <v>487</v>
      </c>
      <c r="G1813" s="930" t="s">
        <v>689</v>
      </c>
      <c r="H1813" s="913" t="s">
        <v>1371</v>
      </c>
      <c r="I1813" s="249">
        <v>195</v>
      </c>
      <c r="J1813" s="249">
        <v>7591.5565211909352</v>
      </c>
      <c r="K1813" s="910">
        <f t="shared" si="451"/>
        <v>1480354</v>
      </c>
      <c r="L1813" s="890" t="s">
        <v>169</v>
      </c>
      <c r="M1813" s="929" t="s">
        <v>167</v>
      </c>
      <c r="N1813" s="52" t="str">
        <f>IF(AND('331-CT'!$E$7=TH!H1813,OR(L1813="331",M1813="331")),"331",IF(AND(OR(L1813="131",M1813="131"),H1813='131-CT'!$E$7),"131",""))</f>
        <v/>
      </c>
      <c r="O1813" s="89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8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49"/>
        <v>9</v>
      </c>
      <c r="C1814" s="48">
        <f t="shared" si="450"/>
        <v>41900</v>
      </c>
      <c r="D1814" s="908" t="s">
        <v>1378</v>
      </c>
      <c r="E1814" s="908">
        <v>41900</v>
      </c>
      <c r="F1814" s="909" t="s">
        <v>494</v>
      </c>
      <c r="G1814" s="930" t="s">
        <v>689</v>
      </c>
      <c r="H1814" s="913" t="s">
        <v>1371</v>
      </c>
      <c r="I1814" s="249">
        <v>300</v>
      </c>
      <c r="J1814" s="249">
        <v>7101.7786811141004</v>
      </c>
      <c r="K1814" s="910">
        <f t="shared" si="451"/>
        <v>2130534</v>
      </c>
      <c r="L1814" s="890" t="s">
        <v>169</v>
      </c>
      <c r="M1814" s="929" t="s">
        <v>167</v>
      </c>
      <c r="N1814" s="52" t="str">
        <f>IF(AND('331-CT'!$E$7=TH!H1814,OR(L1814="331",M1814="331")),"331",IF(AND(OR(L1814="131",M1814="131"),H1814='131-CT'!$E$7),"131",""))</f>
        <v/>
      </c>
      <c r="O1814" s="89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8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49"/>
        <v>9</v>
      </c>
      <c r="C1815" s="48">
        <f t="shared" si="450"/>
        <v>41904</v>
      </c>
      <c r="D1815" s="908" t="s">
        <v>1378</v>
      </c>
      <c r="E1815" s="908">
        <v>41904</v>
      </c>
      <c r="F1815" s="909" t="s">
        <v>690</v>
      </c>
      <c r="G1815" s="930" t="s">
        <v>691</v>
      </c>
      <c r="H1815" s="913" t="s">
        <v>1371</v>
      </c>
      <c r="I1815" s="249">
        <v>314</v>
      </c>
      <c r="J1815" s="249">
        <v>5958.9637209348193</v>
      </c>
      <c r="K1815" s="910">
        <f t="shared" si="451"/>
        <v>1871115</v>
      </c>
      <c r="L1815" s="890" t="s">
        <v>169</v>
      </c>
      <c r="M1815" s="929" t="s">
        <v>167</v>
      </c>
      <c r="N1815" s="52" t="str">
        <f>IF(AND('331-CT'!$E$7=TH!H1815,OR(L1815="331",M1815="331")),"331",IF(AND(OR(L1815="131",M1815="131"),H1815='131-CT'!$E$7),"131",""))</f>
        <v/>
      </c>
      <c r="O1815" s="89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8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49"/>
        <v>9</v>
      </c>
      <c r="C1816" s="48">
        <f t="shared" si="450"/>
        <v>41904</v>
      </c>
      <c r="D1816" s="908" t="s">
        <v>1378</v>
      </c>
      <c r="E1816" s="908">
        <v>41904</v>
      </c>
      <c r="F1816" s="909" t="s">
        <v>692</v>
      </c>
      <c r="G1816" s="930" t="s">
        <v>691</v>
      </c>
      <c r="H1816" s="913" t="s">
        <v>1371</v>
      </c>
      <c r="I1816" s="249">
        <v>103</v>
      </c>
      <c r="J1816" s="249">
        <v>5305.9266008323739</v>
      </c>
      <c r="K1816" s="910">
        <f t="shared" si="451"/>
        <v>546510</v>
      </c>
      <c r="L1816" s="890" t="s">
        <v>169</v>
      </c>
      <c r="M1816" s="929" t="s">
        <v>167</v>
      </c>
      <c r="N1816" s="52" t="str">
        <f>IF(AND('331-CT'!$E$7=TH!H1816,OR(L1816="331",M1816="331")),"331",IF(AND(OR(L1816="131",M1816="131"),H1816='131-CT'!$E$7),"131",""))</f>
        <v/>
      </c>
      <c r="O1816" s="89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8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49"/>
        <v>9</v>
      </c>
      <c r="C1817" s="48">
        <f t="shared" si="450"/>
        <v>41904</v>
      </c>
      <c r="D1817" s="908" t="s">
        <v>1378</v>
      </c>
      <c r="E1817" s="908">
        <v>41904</v>
      </c>
      <c r="F1817" s="909" t="s">
        <v>693</v>
      </c>
      <c r="G1817" s="930" t="s">
        <v>691</v>
      </c>
      <c r="H1817" s="913" t="s">
        <v>1371</v>
      </c>
      <c r="I1817" s="249">
        <v>497</v>
      </c>
      <c r="J1817" s="249">
        <v>4408.0005606915111</v>
      </c>
      <c r="K1817" s="910">
        <f t="shared" si="451"/>
        <v>2190776</v>
      </c>
      <c r="L1817" s="890" t="s">
        <v>169</v>
      </c>
      <c r="M1817" s="929" t="s">
        <v>167</v>
      </c>
      <c r="N1817" s="52" t="str">
        <f>IF(AND('331-CT'!$E$7=TH!H1817,OR(L1817="331",M1817="331")),"331",IF(AND(OR(L1817="131",M1817="131"),H1817='131-CT'!$E$7),"131",""))</f>
        <v/>
      </c>
      <c r="O1817" s="89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8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49"/>
        <v>9</v>
      </c>
      <c r="C1818" s="48">
        <f t="shared" si="450"/>
        <v>41904</v>
      </c>
      <c r="D1818" s="908" t="s">
        <v>1378</v>
      </c>
      <c r="E1818" s="908">
        <v>41904</v>
      </c>
      <c r="F1818" s="909" t="s">
        <v>694</v>
      </c>
      <c r="G1818" s="930" t="s">
        <v>691</v>
      </c>
      <c r="H1818" s="913" t="s">
        <v>1371</v>
      </c>
      <c r="I1818" s="249">
        <v>300</v>
      </c>
      <c r="J1818" s="249">
        <v>3836.59308060187</v>
      </c>
      <c r="K1818" s="910">
        <f t="shared" si="451"/>
        <v>1150978</v>
      </c>
      <c r="L1818" s="890" t="s">
        <v>169</v>
      </c>
      <c r="M1818" s="929" t="s">
        <v>167</v>
      </c>
      <c r="N1818" s="52" t="str">
        <f>IF(AND('331-CT'!$E$7=TH!H1818,OR(L1818="331",M1818="331")),"331",IF(AND(OR(L1818="131",M1818="131"),H1818='131-CT'!$E$7),"131",""))</f>
        <v/>
      </c>
      <c r="O1818" s="89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8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49"/>
        <v>9</v>
      </c>
      <c r="C1819" s="48">
        <f t="shared" si="450"/>
        <v>41905</v>
      </c>
      <c r="D1819" s="908" t="s">
        <v>1378</v>
      </c>
      <c r="E1819" s="908">
        <v>41905</v>
      </c>
      <c r="F1819" s="909" t="s">
        <v>695</v>
      </c>
      <c r="G1819" s="930" t="s">
        <v>696</v>
      </c>
      <c r="H1819" s="913" t="s">
        <v>1371</v>
      </c>
      <c r="I1819" s="249">
        <v>184</v>
      </c>
      <c r="J1819" s="249">
        <v>19836.002523111798</v>
      </c>
      <c r="K1819" s="910">
        <f t="shared" si="451"/>
        <v>3649824</v>
      </c>
      <c r="L1819" s="890" t="s">
        <v>169</v>
      </c>
      <c r="M1819" s="929" t="s">
        <v>167</v>
      </c>
      <c r="N1819" s="52" t="str">
        <f>IF(AND('331-CT'!$E$7=TH!H1819,OR(L1819="331",M1819="331")),"331",IF(AND(OR(L1819="131",M1819="131"),H1819='131-CT'!$E$7),"131",""))</f>
        <v/>
      </c>
      <c r="O1819" s="89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8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49"/>
        <v>9</v>
      </c>
      <c r="C1820" s="48">
        <f t="shared" si="450"/>
        <v>41905</v>
      </c>
      <c r="D1820" s="908" t="s">
        <v>1378</v>
      </c>
      <c r="E1820" s="908">
        <v>41905</v>
      </c>
      <c r="F1820" s="909" t="s">
        <v>746</v>
      </c>
      <c r="G1820" s="930" t="s">
        <v>696</v>
      </c>
      <c r="H1820" s="913" t="s">
        <v>1371</v>
      </c>
      <c r="I1820" s="249">
        <v>368</v>
      </c>
      <c r="J1820" s="249">
        <v>1224.4446001920862</v>
      </c>
      <c r="K1820" s="910">
        <f t="shared" si="451"/>
        <v>450596</v>
      </c>
      <c r="L1820" s="890" t="s">
        <v>169</v>
      </c>
      <c r="M1820" s="929" t="s">
        <v>167</v>
      </c>
      <c r="N1820" s="52" t="str">
        <f>IF(AND('331-CT'!$E$7=TH!H1820,OR(L1820="331",M1820="331")),"331",IF(AND(OR(L1820="131",M1820="131"),H1820='131-CT'!$E$7),"131",""))</f>
        <v/>
      </c>
      <c r="O1820" s="89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8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49"/>
        <v>9</v>
      </c>
      <c r="C1821" s="48">
        <f t="shared" si="450"/>
        <v>41905</v>
      </c>
      <c r="D1821" s="908" t="s">
        <v>1378</v>
      </c>
      <c r="E1821" s="908">
        <v>41905</v>
      </c>
      <c r="F1821" s="909" t="s">
        <v>682</v>
      </c>
      <c r="G1821" s="930" t="s">
        <v>697</v>
      </c>
      <c r="H1821" s="913" t="s">
        <v>1371</v>
      </c>
      <c r="I1821" s="249">
        <v>13</v>
      </c>
      <c r="J1821" s="249">
        <v>24897.040203905752</v>
      </c>
      <c r="K1821" s="910">
        <f t="shared" si="451"/>
        <v>323662</v>
      </c>
      <c r="L1821" s="890" t="s">
        <v>169</v>
      </c>
      <c r="M1821" s="929" t="s">
        <v>167</v>
      </c>
      <c r="N1821" s="52" t="str">
        <f>IF(AND('331-CT'!$E$7=TH!H1821,OR(L1821="331",M1821="331")),"331",IF(AND(OR(L1821="131",M1821="131"),H1821='131-CT'!$E$7),"131",""))</f>
        <v/>
      </c>
      <c r="O1821" s="89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8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49"/>
        <v>9</v>
      </c>
      <c r="C1822" s="48">
        <f t="shared" si="450"/>
        <v>41907</v>
      </c>
      <c r="D1822" s="908" t="s">
        <v>1378</v>
      </c>
      <c r="E1822" s="908">
        <v>41907</v>
      </c>
      <c r="F1822" s="909" t="s">
        <v>515</v>
      </c>
      <c r="G1822" s="930" t="s">
        <v>698</v>
      </c>
      <c r="H1822" s="913" t="s">
        <v>1371</v>
      </c>
      <c r="I1822" s="249">
        <v>994</v>
      </c>
      <c r="J1822" s="249">
        <v>9387.4086014726599</v>
      </c>
      <c r="K1822" s="910">
        <f t="shared" si="451"/>
        <v>9331084</v>
      </c>
      <c r="L1822" s="890" t="s">
        <v>169</v>
      </c>
      <c r="M1822" s="929" t="s">
        <v>167</v>
      </c>
      <c r="N1822" s="52" t="str">
        <f>IF(AND('331-CT'!$E$7=TH!H1822,OR(L1822="331",M1822="331")),"331",IF(AND(OR(L1822="131",M1822="131"),H1822='131-CT'!$E$7),"131",""))</f>
        <v/>
      </c>
      <c r="O1822" s="89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8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49"/>
        <v>9</v>
      </c>
      <c r="C1823" s="48">
        <f t="shared" si="450"/>
        <v>41908</v>
      </c>
      <c r="D1823" s="908" t="s">
        <v>1378</v>
      </c>
      <c r="E1823" s="908">
        <v>41908</v>
      </c>
      <c r="F1823" s="909" t="s">
        <v>639</v>
      </c>
      <c r="G1823" s="930" t="s">
        <v>699</v>
      </c>
      <c r="H1823" s="913" t="s">
        <v>1371</v>
      </c>
      <c r="I1823" s="249">
        <v>1500</v>
      </c>
      <c r="J1823" s="249">
        <v>4163.1116406530937</v>
      </c>
      <c r="K1823" s="910">
        <f t="shared" si="451"/>
        <v>6244667</v>
      </c>
      <c r="L1823" s="890" t="s">
        <v>169</v>
      </c>
      <c r="M1823" s="929" t="s">
        <v>167</v>
      </c>
      <c r="N1823" s="52" t="str">
        <f>IF(AND('331-CT'!$E$7=TH!H1823,OR(L1823="331",M1823="331")),"331",IF(AND(OR(L1823="131",M1823="131"),H1823='131-CT'!$E$7),"131",""))</f>
        <v/>
      </c>
      <c r="O1823" s="89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8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49"/>
        <v>9</v>
      </c>
      <c r="C1824" s="48">
        <f t="shared" si="450"/>
        <v>41908</v>
      </c>
      <c r="D1824" s="908" t="s">
        <v>1378</v>
      </c>
      <c r="E1824" s="908">
        <v>41908</v>
      </c>
      <c r="F1824" s="909" t="s">
        <v>500</v>
      </c>
      <c r="G1824" s="930" t="s">
        <v>700</v>
      </c>
      <c r="H1824" s="913" t="s">
        <v>1371</v>
      </c>
      <c r="I1824" s="249">
        <v>399</v>
      </c>
      <c r="J1824" s="249">
        <v>6856.8897610756831</v>
      </c>
      <c r="K1824" s="910">
        <f t="shared" si="451"/>
        <v>2735899</v>
      </c>
      <c r="L1824" s="890" t="s">
        <v>169</v>
      </c>
      <c r="M1824" s="929" t="s">
        <v>167</v>
      </c>
      <c r="N1824" s="52" t="str">
        <f>IF(AND('331-CT'!$E$7=TH!H1824,OR(L1824="331",M1824="331")),"331",IF(AND(OR(L1824="131",M1824="131"),H1824='131-CT'!$E$7),"131",""))</f>
        <v/>
      </c>
      <c r="O1824" s="89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8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49"/>
        <v>9</v>
      </c>
      <c r="C1825" s="48">
        <f t="shared" si="450"/>
        <v>41908</v>
      </c>
      <c r="D1825" s="908" t="s">
        <v>1378</v>
      </c>
      <c r="E1825" s="908">
        <v>41908</v>
      </c>
      <c r="F1825" s="909" t="s">
        <v>503</v>
      </c>
      <c r="G1825" s="930" t="s">
        <v>700</v>
      </c>
      <c r="H1825" s="913" t="s">
        <v>1371</v>
      </c>
      <c r="I1825" s="249">
        <v>295</v>
      </c>
      <c r="J1825" s="249">
        <v>7346.6676011525178</v>
      </c>
      <c r="K1825" s="910">
        <f t="shared" si="451"/>
        <v>2167267</v>
      </c>
      <c r="L1825" s="890" t="s">
        <v>169</v>
      </c>
      <c r="M1825" s="929" t="s">
        <v>167</v>
      </c>
      <c r="N1825" s="52" t="str">
        <f>IF(AND('331-CT'!$E$7=TH!H1825,OR(L1825="331",M1825="331")),"331",IF(AND(OR(L1825="131",M1825="131"),H1825='131-CT'!$E$7),"131",""))</f>
        <v/>
      </c>
      <c r="O1825" s="89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8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49"/>
        <v>9</v>
      </c>
      <c r="C1826" s="48">
        <f t="shared" si="450"/>
        <v>41908</v>
      </c>
      <c r="D1826" s="908" t="s">
        <v>1378</v>
      </c>
      <c r="E1826" s="908">
        <v>41908</v>
      </c>
      <c r="F1826" s="909" t="s">
        <v>504</v>
      </c>
      <c r="G1826" s="930" t="s">
        <v>700</v>
      </c>
      <c r="H1826" s="913" t="s">
        <v>1371</v>
      </c>
      <c r="I1826" s="249">
        <v>200</v>
      </c>
      <c r="J1826" s="249">
        <v>7591.5565211909352</v>
      </c>
      <c r="K1826" s="910">
        <f t="shared" si="451"/>
        <v>1518311</v>
      </c>
      <c r="L1826" s="890" t="s">
        <v>169</v>
      </c>
      <c r="M1826" s="929" t="s">
        <v>167</v>
      </c>
      <c r="N1826" s="52" t="str">
        <f>IF(AND('331-CT'!$E$7=TH!H1826,OR(L1826="331",M1826="331")),"331",IF(AND(OR(L1826="131",M1826="131"),H1826='131-CT'!$E$7),"131",""))</f>
        <v/>
      </c>
      <c r="O1826" s="89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8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49"/>
        <v>9</v>
      </c>
      <c r="C1827" s="48">
        <f t="shared" si="450"/>
        <v>41908</v>
      </c>
      <c r="D1827" s="908" t="s">
        <v>1378</v>
      </c>
      <c r="E1827" s="908">
        <v>41908</v>
      </c>
      <c r="F1827" s="909" t="s">
        <v>406</v>
      </c>
      <c r="G1827" s="930" t="s">
        <v>700</v>
      </c>
      <c r="H1827" s="913" t="s">
        <v>1371</v>
      </c>
      <c r="I1827" s="249">
        <v>298</v>
      </c>
      <c r="J1827" s="249">
        <v>8326.2232813061873</v>
      </c>
      <c r="K1827" s="910">
        <f t="shared" si="451"/>
        <v>2481215</v>
      </c>
      <c r="L1827" s="890" t="s">
        <v>169</v>
      </c>
      <c r="M1827" s="929" t="s">
        <v>167</v>
      </c>
      <c r="N1827" s="52" t="str">
        <f>IF(AND('331-CT'!$E$7=TH!H1827,OR(L1827="331",M1827="331")),"331",IF(AND(OR(L1827="131",M1827="131"),H1827='131-CT'!$E$7),"131",""))</f>
        <v/>
      </c>
      <c r="O1827" s="89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8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49"/>
        <v>9</v>
      </c>
      <c r="C1828" s="48">
        <f t="shared" si="450"/>
        <v>41908</v>
      </c>
      <c r="D1828" s="908" t="s">
        <v>1378</v>
      </c>
      <c r="E1828" s="908">
        <v>41908</v>
      </c>
      <c r="F1828" s="909" t="s">
        <v>701</v>
      </c>
      <c r="G1828" s="930" t="s">
        <v>700</v>
      </c>
      <c r="H1828" s="913" t="s">
        <v>1371</v>
      </c>
      <c r="I1828" s="249">
        <v>360</v>
      </c>
      <c r="J1828" s="249">
        <v>5795.7044409092077</v>
      </c>
      <c r="K1828" s="910">
        <f t="shared" si="451"/>
        <v>2086454</v>
      </c>
      <c r="L1828" s="890" t="s">
        <v>169</v>
      </c>
      <c r="M1828" s="929" t="s">
        <v>167</v>
      </c>
      <c r="N1828" s="52" t="str">
        <f>IF(AND('331-CT'!$E$7=TH!H1828,OR(L1828="331",M1828="331")),"331",IF(AND(OR(L1828="131",M1828="131"),H1828='131-CT'!$E$7),"131",""))</f>
        <v/>
      </c>
      <c r="O1828" s="89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8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49"/>
        <v>9</v>
      </c>
      <c r="C1829" s="48">
        <f t="shared" si="450"/>
        <v>41908</v>
      </c>
      <c r="D1829" s="908" t="s">
        <v>1378</v>
      </c>
      <c r="E1829" s="908">
        <v>41908</v>
      </c>
      <c r="F1829" s="909" t="s">
        <v>436</v>
      </c>
      <c r="G1829" s="930" t="s">
        <v>702</v>
      </c>
      <c r="H1829" s="913" t="s">
        <v>1371</v>
      </c>
      <c r="I1829" s="249">
        <v>498</v>
      </c>
      <c r="J1829" s="249">
        <v>7754.8158012165459</v>
      </c>
      <c r="K1829" s="910">
        <f t="shared" si="451"/>
        <v>3861898</v>
      </c>
      <c r="L1829" s="890" t="s">
        <v>169</v>
      </c>
      <c r="M1829" s="929" t="s">
        <v>167</v>
      </c>
      <c r="N1829" s="52" t="str">
        <f>IF(AND('331-CT'!$E$7=TH!H1829,OR(L1829="331",M1829="331")),"331",IF(AND(OR(L1829="131",M1829="131"),H1829='131-CT'!$E$7),"131",""))</f>
        <v/>
      </c>
      <c r="O1829" s="89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8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49"/>
        <v>9</v>
      </c>
      <c r="C1830" s="48">
        <f t="shared" si="450"/>
        <v>41908</v>
      </c>
      <c r="D1830" s="908" t="s">
        <v>1378</v>
      </c>
      <c r="E1830" s="908">
        <v>41908</v>
      </c>
      <c r="F1830" s="909" t="s">
        <v>566</v>
      </c>
      <c r="G1830" s="930" t="s">
        <v>702</v>
      </c>
      <c r="H1830" s="913" t="s">
        <v>1371</v>
      </c>
      <c r="I1830" s="249">
        <v>493</v>
      </c>
      <c r="J1830" s="249">
        <v>7918.0750812421575</v>
      </c>
      <c r="K1830" s="910">
        <f t="shared" si="451"/>
        <v>3903611</v>
      </c>
      <c r="L1830" s="890" t="s">
        <v>169</v>
      </c>
      <c r="M1830" s="929" t="s">
        <v>167</v>
      </c>
      <c r="N1830" s="52" t="str">
        <f>IF(AND('331-CT'!$E$7=TH!H1830,OR(L1830="331",M1830="331")),"331",IF(AND(OR(L1830="131",M1830="131"),H1830='131-CT'!$E$7),"131",""))</f>
        <v/>
      </c>
      <c r="O1830" s="89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8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ref="B1831:B1894" si="452">IF(C1831&lt;&gt;"",MONTH(C1831),"")</f>
        <v>9</v>
      </c>
      <c r="C1831" s="48">
        <f t="shared" si="450"/>
        <v>41908</v>
      </c>
      <c r="D1831" s="908" t="s">
        <v>1378</v>
      </c>
      <c r="E1831" s="908">
        <v>41908</v>
      </c>
      <c r="F1831" s="909" t="s">
        <v>703</v>
      </c>
      <c r="G1831" s="930" t="s">
        <v>704</v>
      </c>
      <c r="H1831" s="913" t="s">
        <v>1371</v>
      </c>
      <c r="I1831" s="249">
        <v>51</v>
      </c>
      <c r="J1831" s="249">
        <v>7509.9268811781294</v>
      </c>
      <c r="K1831" s="910">
        <f t="shared" si="451"/>
        <v>383006</v>
      </c>
      <c r="L1831" s="890" t="s">
        <v>169</v>
      </c>
      <c r="M1831" s="929" t="s">
        <v>167</v>
      </c>
      <c r="N1831" s="52" t="str">
        <f>IF(AND('331-CT'!$E$7=TH!H1831,OR(L1831="331",M1831="331")),"331",IF(AND(OR(L1831="131",M1831="131"),H1831='131-CT'!$E$7),"131",""))</f>
        <v/>
      </c>
      <c r="O1831" s="89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8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52"/>
        <v>9</v>
      </c>
      <c r="C1832" s="48">
        <f t="shared" si="450"/>
        <v>41908</v>
      </c>
      <c r="D1832" s="908" t="s">
        <v>1378</v>
      </c>
      <c r="E1832" s="908">
        <v>41908</v>
      </c>
      <c r="F1832" s="909" t="s">
        <v>705</v>
      </c>
      <c r="G1832" s="930" t="s">
        <v>704</v>
      </c>
      <c r="H1832" s="913" t="s">
        <v>1371</v>
      </c>
      <c r="I1832" s="249">
        <v>313</v>
      </c>
      <c r="J1832" s="249">
        <v>10530.223561651941</v>
      </c>
      <c r="K1832" s="910">
        <f t="shared" si="451"/>
        <v>3295960</v>
      </c>
      <c r="L1832" s="890" t="s">
        <v>169</v>
      </c>
      <c r="M1832" s="929" t="s">
        <v>167</v>
      </c>
      <c r="N1832" s="52" t="str">
        <f>IF(AND('331-CT'!$E$7=TH!H1832,OR(L1832="331",M1832="331")),"331",IF(AND(OR(L1832="131",M1832="131"),H1832='131-CT'!$E$7),"131",""))</f>
        <v/>
      </c>
      <c r="O1832" s="89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8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52"/>
        <v>9</v>
      </c>
      <c r="C1833" s="48">
        <f t="shared" si="450"/>
        <v>41908</v>
      </c>
      <c r="D1833" s="908" t="s">
        <v>1378</v>
      </c>
      <c r="E1833" s="908">
        <v>41908</v>
      </c>
      <c r="F1833" s="909" t="s">
        <v>706</v>
      </c>
      <c r="G1833" s="930" t="s">
        <v>704</v>
      </c>
      <c r="H1833" s="913" t="s">
        <v>1371</v>
      </c>
      <c r="I1833" s="249">
        <v>113</v>
      </c>
      <c r="J1833" s="249">
        <v>7918.0750812421575</v>
      </c>
      <c r="K1833" s="910">
        <f t="shared" si="451"/>
        <v>894742</v>
      </c>
      <c r="L1833" s="890" t="s">
        <v>169</v>
      </c>
      <c r="M1833" s="929" t="s">
        <v>167</v>
      </c>
      <c r="N1833" s="52" t="str">
        <f>IF(AND('331-CT'!$E$7=TH!H1833,OR(L1833="331",M1833="331")),"331",IF(AND(OR(L1833="131",M1833="131"),H1833='131-CT'!$E$7),"131",""))</f>
        <v/>
      </c>
      <c r="O1833" s="89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8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52"/>
        <v>9</v>
      </c>
      <c r="C1834" s="48">
        <f t="shared" si="450"/>
        <v>41908</v>
      </c>
      <c r="D1834" s="908" t="s">
        <v>1378</v>
      </c>
      <c r="E1834" s="908">
        <v>41908</v>
      </c>
      <c r="F1834" s="909" t="s">
        <v>707</v>
      </c>
      <c r="G1834" s="930" t="s">
        <v>704</v>
      </c>
      <c r="H1834" s="913" t="s">
        <v>1371</v>
      </c>
      <c r="I1834" s="249">
        <v>21</v>
      </c>
      <c r="J1834" s="249">
        <v>10530.223561651941</v>
      </c>
      <c r="K1834" s="910">
        <f t="shared" si="451"/>
        <v>221135</v>
      </c>
      <c r="L1834" s="890" t="s">
        <v>169</v>
      </c>
      <c r="M1834" s="929" t="s">
        <v>167</v>
      </c>
      <c r="N1834" s="52" t="str">
        <f>IF(AND('331-CT'!$E$7=TH!H1834,OR(L1834="331",M1834="331")),"331",IF(AND(OR(L1834="131",M1834="131"),H1834='131-CT'!$E$7),"131",""))</f>
        <v/>
      </c>
      <c r="O1834" s="89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8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52"/>
        <v>9</v>
      </c>
      <c r="C1835" s="48">
        <f t="shared" si="450"/>
        <v>41908</v>
      </c>
      <c r="D1835" s="908" t="s">
        <v>1378</v>
      </c>
      <c r="E1835" s="908">
        <v>41908</v>
      </c>
      <c r="F1835" s="909" t="s">
        <v>708</v>
      </c>
      <c r="G1835" s="930" t="s">
        <v>704</v>
      </c>
      <c r="H1835" s="913" t="s">
        <v>1371</v>
      </c>
      <c r="I1835" s="249">
        <v>35</v>
      </c>
      <c r="J1835" s="249">
        <v>9224.1493214470484</v>
      </c>
      <c r="K1835" s="910">
        <f t="shared" si="451"/>
        <v>322845</v>
      </c>
      <c r="L1835" s="890" t="s">
        <v>169</v>
      </c>
      <c r="M1835" s="929" t="s">
        <v>167</v>
      </c>
      <c r="N1835" s="52" t="str">
        <f>IF(AND('331-CT'!$E$7=TH!H1835,OR(L1835="331",M1835="331")),"331",IF(AND(OR(L1835="131",M1835="131"),H1835='131-CT'!$E$7),"131",""))</f>
        <v/>
      </c>
      <c r="O1835" s="89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8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52"/>
        <v>9</v>
      </c>
      <c r="C1836" s="48">
        <f t="shared" si="450"/>
        <v>41908</v>
      </c>
      <c r="D1836" s="908" t="s">
        <v>1378</v>
      </c>
      <c r="E1836" s="908">
        <v>41908</v>
      </c>
      <c r="F1836" s="909" t="s">
        <v>709</v>
      </c>
      <c r="G1836" s="930" t="s">
        <v>704</v>
      </c>
      <c r="H1836" s="913" t="s">
        <v>1371</v>
      </c>
      <c r="I1836" s="249">
        <v>33</v>
      </c>
      <c r="J1836" s="249">
        <v>9713.9271615238831</v>
      </c>
      <c r="K1836" s="910">
        <f t="shared" si="451"/>
        <v>320560</v>
      </c>
      <c r="L1836" s="890" t="s">
        <v>169</v>
      </c>
      <c r="M1836" s="929" t="s">
        <v>167</v>
      </c>
      <c r="N1836" s="52" t="str">
        <f>IF(AND('331-CT'!$E$7=TH!H1836,OR(L1836="331",M1836="331")),"331",IF(AND(OR(L1836="131",M1836="131"),H1836='131-CT'!$E$7),"131",""))</f>
        <v/>
      </c>
      <c r="O1836" s="89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8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52"/>
        <v>9</v>
      </c>
      <c r="C1837" s="48">
        <f t="shared" si="450"/>
        <v>41908</v>
      </c>
      <c r="D1837" s="908" t="s">
        <v>1378</v>
      </c>
      <c r="E1837" s="908">
        <v>41908</v>
      </c>
      <c r="F1837" s="909" t="s">
        <v>586</v>
      </c>
      <c r="G1837" s="930" t="s">
        <v>704</v>
      </c>
      <c r="H1837" s="913" t="s">
        <v>1371</v>
      </c>
      <c r="I1837" s="249">
        <v>762</v>
      </c>
      <c r="J1837" s="249">
        <v>10122.075361587913</v>
      </c>
      <c r="K1837" s="910">
        <f t="shared" si="451"/>
        <v>7713021</v>
      </c>
      <c r="L1837" s="890" t="s">
        <v>169</v>
      </c>
      <c r="M1837" s="929" t="s">
        <v>167</v>
      </c>
      <c r="N1837" s="52" t="str">
        <f>IF(AND('331-CT'!$E$7=TH!H1837,OR(L1837="331",M1837="331")),"331",IF(AND(OR(L1837="131",M1837="131"),H1837='131-CT'!$E$7),"131",""))</f>
        <v/>
      </c>
      <c r="O1837" s="89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8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52"/>
        <v>9</v>
      </c>
      <c r="C1838" s="48">
        <f t="shared" si="450"/>
        <v>41908</v>
      </c>
      <c r="D1838" s="908" t="s">
        <v>1378</v>
      </c>
      <c r="E1838" s="908">
        <v>41908</v>
      </c>
      <c r="F1838" s="909" t="s">
        <v>710</v>
      </c>
      <c r="G1838" s="930" t="s">
        <v>704</v>
      </c>
      <c r="H1838" s="913" t="s">
        <v>1371</v>
      </c>
      <c r="I1838" s="249">
        <v>145</v>
      </c>
      <c r="J1838" s="249">
        <v>10530.223561651941</v>
      </c>
      <c r="K1838" s="910">
        <f t="shared" si="451"/>
        <v>1526882</v>
      </c>
      <c r="L1838" s="890" t="s">
        <v>169</v>
      </c>
      <c r="M1838" s="929" t="s">
        <v>167</v>
      </c>
      <c r="N1838" s="52" t="str">
        <f>IF(AND('331-CT'!$E$7=TH!H1838,OR(L1838="331",M1838="331")),"331",IF(AND(OR(L1838="131",M1838="131"),H1838='131-CT'!$E$7),"131",""))</f>
        <v/>
      </c>
      <c r="O1838" s="89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8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52"/>
        <v>9</v>
      </c>
      <c r="C1839" s="48">
        <f t="shared" ref="C1839:C1845" si="453">E1839</f>
        <v>41909</v>
      </c>
      <c r="D1839" s="908" t="s">
        <v>1378</v>
      </c>
      <c r="E1839" s="908">
        <v>41909</v>
      </c>
      <c r="F1839" s="909" t="s">
        <v>459</v>
      </c>
      <c r="G1839" s="930" t="s">
        <v>711</v>
      </c>
      <c r="H1839" s="913" t="s">
        <v>1371</v>
      </c>
      <c r="I1839" s="249">
        <v>1007</v>
      </c>
      <c r="J1839" s="249">
        <v>7509.9268811781294</v>
      </c>
      <c r="K1839" s="910">
        <f t="shared" ref="K1839:K1845" si="454">ROUND(I1839*J1839,0)</f>
        <v>7562496</v>
      </c>
      <c r="L1839" s="890" t="s">
        <v>169</v>
      </c>
      <c r="M1839" s="929" t="s">
        <v>167</v>
      </c>
      <c r="N1839" s="52" t="str">
        <f>IF(AND('331-CT'!$E$7=TH!H1839,OR(L1839="331",M1839="331")),"331",IF(AND(OR(L1839="131",M1839="131"),H1839='131-CT'!$E$7),"131",""))</f>
        <v/>
      </c>
      <c r="O1839" s="89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8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52"/>
        <v>9</v>
      </c>
      <c r="C1840" s="48">
        <f t="shared" si="453"/>
        <v>41912</v>
      </c>
      <c r="D1840" s="908" t="s">
        <v>1378</v>
      </c>
      <c r="E1840" s="908">
        <v>41912</v>
      </c>
      <c r="F1840" s="909" t="s">
        <v>712</v>
      </c>
      <c r="G1840" s="930" t="s">
        <v>713</v>
      </c>
      <c r="H1840" s="913" t="s">
        <v>1371</v>
      </c>
      <c r="I1840" s="249">
        <v>264</v>
      </c>
      <c r="J1840" s="249">
        <v>9877.1864415494947</v>
      </c>
      <c r="K1840" s="910">
        <f t="shared" si="454"/>
        <v>2607577</v>
      </c>
      <c r="L1840" s="890" t="s">
        <v>169</v>
      </c>
      <c r="M1840" s="929" t="s">
        <v>167</v>
      </c>
      <c r="N1840" s="52" t="str">
        <f>IF(AND('331-CT'!$E$7=TH!H1840,OR(L1840="331",M1840="331")),"331",IF(AND(OR(L1840="131",M1840="131"),H1840='131-CT'!$E$7),"131",""))</f>
        <v/>
      </c>
      <c r="O1840" s="89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8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52"/>
        <v>9</v>
      </c>
      <c r="C1841" s="48">
        <f t="shared" si="453"/>
        <v>41912</v>
      </c>
      <c r="D1841" s="908" t="s">
        <v>1378</v>
      </c>
      <c r="E1841" s="908">
        <v>41912</v>
      </c>
      <c r="F1841" s="909" t="s">
        <v>712</v>
      </c>
      <c r="G1841" s="930" t="s">
        <v>713</v>
      </c>
      <c r="H1841" s="913" t="s">
        <v>1371</v>
      </c>
      <c r="I1841" s="249">
        <v>169</v>
      </c>
      <c r="J1841" s="249">
        <v>9877.1864415494947</v>
      </c>
      <c r="K1841" s="910">
        <f t="shared" si="454"/>
        <v>1669245</v>
      </c>
      <c r="L1841" s="890" t="s">
        <v>169</v>
      </c>
      <c r="M1841" s="929" t="s">
        <v>167</v>
      </c>
      <c r="N1841" s="52" t="str">
        <f>IF(AND('331-CT'!$E$7=TH!H1841,OR(L1841="331",M1841="331")),"331",IF(AND(OR(L1841="131",M1841="131"),H1841='131-CT'!$E$7),"131",""))</f>
        <v/>
      </c>
      <c r="O1841" s="89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8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52"/>
        <v>9</v>
      </c>
      <c r="C1842" s="48">
        <f t="shared" si="453"/>
        <v>41912</v>
      </c>
      <c r="D1842" s="908" t="s">
        <v>1378</v>
      </c>
      <c r="E1842" s="908">
        <v>41912</v>
      </c>
      <c r="F1842" s="909" t="s">
        <v>670</v>
      </c>
      <c r="G1842" s="930" t="s">
        <v>715</v>
      </c>
      <c r="H1842" s="913" t="s">
        <v>1371</v>
      </c>
      <c r="I1842" s="249">
        <v>993</v>
      </c>
      <c r="J1842" s="249">
        <v>7346.6676011525178</v>
      </c>
      <c r="K1842" s="910">
        <f t="shared" si="454"/>
        <v>7295241</v>
      </c>
      <c r="L1842" s="890" t="s">
        <v>169</v>
      </c>
      <c r="M1842" s="929" t="s">
        <v>167</v>
      </c>
      <c r="N1842" s="52" t="str">
        <f>IF(AND('331-CT'!$E$7=TH!H1842,OR(L1842="331",M1842="331")),"331",IF(AND(OR(L1842="131",M1842="131"),H1842='131-CT'!$E$7),"131",""))</f>
        <v/>
      </c>
      <c r="O1842" s="89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8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52"/>
        <v>9</v>
      </c>
      <c r="C1843" s="48">
        <f t="shared" si="453"/>
        <v>41912</v>
      </c>
      <c r="D1843" s="908" t="s">
        <v>1378</v>
      </c>
      <c r="E1843" s="908">
        <v>41912</v>
      </c>
      <c r="F1843" s="909" t="s">
        <v>716</v>
      </c>
      <c r="G1843" s="930" t="s">
        <v>717</v>
      </c>
      <c r="H1843" s="913" t="s">
        <v>1371</v>
      </c>
      <c r="I1843" s="249">
        <v>247</v>
      </c>
      <c r="J1843" s="249">
        <v>21305.3360433423</v>
      </c>
      <c r="K1843" s="910">
        <f t="shared" si="454"/>
        <v>5262418</v>
      </c>
      <c r="L1843" s="890" t="s">
        <v>169</v>
      </c>
      <c r="M1843" s="929" t="s">
        <v>167</v>
      </c>
      <c r="N1843" s="52" t="str">
        <f>IF(AND('331-CT'!$E$7=TH!H1843,OR(L1843="331",M1843="331")),"331",IF(AND(OR(L1843="131",M1843="131"),H1843='131-CT'!$E$7),"131",""))</f>
        <v/>
      </c>
      <c r="O1843" s="89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8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52"/>
        <v>9</v>
      </c>
      <c r="C1844" s="48">
        <f t="shared" si="453"/>
        <v>41912</v>
      </c>
      <c r="D1844" s="908" t="s">
        <v>1378</v>
      </c>
      <c r="E1844" s="908">
        <v>41912</v>
      </c>
      <c r="F1844" s="909" t="s">
        <v>692</v>
      </c>
      <c r="G1844" s="930" t="s">
        <v>718</v>
      </c>
      <c r="H1844" s="913" t="s">
        <v>1371</v>
      </c>
      <c r="I1844" s="249">
        <v>498</v>
      </c>
      <c r="J1844" s="249">
        <v>5305.9266008323739</v>
      </c>
      <c r="K1844" s="910">
        <f t="shared" si="454"/>
        <v>2642351</v>
      </c>
      <c r="L1844" s="890" t="s">
        <v>169</v>
      </c>
      <c r="M1844" s="929" t="s">
        <v>167</v>
      </c>
      <c r="N1844" s="52" t="str">
        <f>IF(AND('331-CT'!$E$7=TH!H1844,OR(L1844="331",M1844="331")),"331",IF(AND(OR(L1844="131",M1844="131"),H1844='131-CT'!$E$7),"131",""))</f>
        <v/>
      </c>
      <c r="O1844" s="89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8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52"/>
        <v>9</v>
      </c>
      <c r="C1845" s="48">
        <f t="shared" si="453"/>
        <v>41912</v>
      </c>
      <c r="D1845" s="908" t="s">
        <v>1378</v>
      </c>
      <c r="E1845" s="908">
        <v>41912</v>
      </c>
      <c r="F1845" s="909" t="s">
        <v>693</v>
      </c>
      <c r="G1845" s="930" t="s">
        <v>718</v>
      </c>
      <c r="H1845" s="913" t="s">
        <v>1371</v>
      </c>
      <c r="I1845" s="249">
        <v>500</v>
      </c>
      <c r="J1845" s="249">
        <v>4408.0005606915111</v>
      </c>
      <c r="K1845" s="910">
        <f t="shared" si="454"/>
        <v>2204000</v>
      </c>
      <c r="L1845" s="890" t="s">
        <v>169</v>
      </c>
      <c r="M1845" s="929" t="s">
        <v>167</v>
      </c>
      <c r="N1845" s="52" t="str">
        <f>IF(AND('331-CT'!$E$7=TH!H1845,OR(L1845="331",M1845="331")),"331",IF(AND(OR(L1845="131",M1845="131"),H1845='131-CT'!$E$7),"131",""))</f>
        <v/>
      </c>
      <c r="O1845" s="89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8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52"/>
        <v>9</v>
      </c>
      <c r="C1846" s="48">
        <f t="shared" ref="C1846:C1909" si="455">E1846</f>
        <v>41912</v>
      </c>
      <c r="D1846" s="908" t="s">
        <v>1378</v>
      </c>
      <c r="E1846" s="908">
        <v>41912</v>
      </c>
      <c r="F1846" s="909" t="s">
        <v>719</v>
      </c>
      <c r="G1846" s="930" t="s">
        <v>720</v>
      </c>
      <c r="H1846" s="913" t="s">
        <v>1371</v>
      </c>
      <c r="I1846" s="249">
        <v>1000</v>
      </c>
      <c r="J1846" s="249">
        <v>12734.223841997697</v>
      </c>
      <c r="K1846" s="910">
        <f t="shared" ref="K1846:K1909" si="456">ROUND(I1846*J1846,0)</f>
        <v>12734224</v>
      </c>
      <c r="L1846" s="890" t="s">
        <v>169</v>
      </c>
      <c r="M1846" s="929" t="s">
        <v>167</v>
      </c>
      <c r="N1846" s="52" t="str">
        <f>IF(AND('331-CT'!$E$7=TH!H1846,OR(L1846="331",M1846="331")),"331",IF(AND(OR(L1846="131",M1846="131"),H1846='131-CT'!$E$7),"131",""))</f>
        <v/>
      </c>
      <c r="O1846" s="89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8"/>
    </row>
    <row r="1847" spans="1:28" s="850" customFormat="1" ht="15.75" customHeight="1">
      <c r="A1847" s="838" t="str">
        <f>IF(B1847&lt;&gt;"",IF(AND(B1847&gt;=_TM1,B1847&lt;=_TM2,OR(TH!L1847="1111",TH!M1847="1111")),TH!D1847,""),"")</f>
        <v/>
      </c>
      <c r="B1847" s="839">
        <f t="shared" si="452"/>
        <v>10</v>
      </c>
      <c r="C1847" s="927">
        <f t="shared" si="455"/>
        <v>41918</v>
      </c>
      <c r="D1847" s="908" t="s">
        <v>1378</v>
      </c>
      <c r="E1847" s="841">
        <v>41918</v>
      </c>
      <c r="F1847" s="851" t="s">
        <v>722</v>
      </c>
      <c r="G1847" s="852" t="s">
        <v>723</v>
      </c>
      <c r="H1847" s="844" t="s">
        <v>1371</v>
      </c>
      <c r="I1847" s="845">
        <v>218</v>
      </c>
      <c r="J1847" s="845">
        <v>19576.720447858519</v>
      </c>
      <c r="K1847" s="846">
        <f t="shared" si="456"/>
        <v>4267725</v>
      </c>
      <c r="L1847" s="928" t="s">
        <v>169</v>
      </c>
      <c r="M1847" s="847" t="s">
        <v>167</v>
      </c>
      <c r="N1847" s="52" t="str">
        <f>IF(AND('331-CT'!$E$7=TH!H1847,OR(L1847="331",M1847="331")),"331",IF(AND(OR(L1847="131",M1847="131"),H1847='131-CT'!$E$7),"131",""))</f>
        <v/>
      </c>
      <c r="O1847" s="89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8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52"/>
        <v>10</v>
      </c>
      <c r="C1848" s="48">
        <f t="shared" si="455"/>
        <v>41918</v>
      </c>
      <c r="D1848" s="908" t="s">
        <v>1378</v>
      </c>
      <c r="E1848" s="908">
        <v>41918</v>
      </c>
      <c r="F1848" s="909" t="s">
        <v>746</v>
      </c>
      <c r="G1848" s="930" t="s">
        <v>723</v>
      </c>
      <c r="H1848" s="913" t="s">
        <v>1371</v>
      </c>
      <c r="I1848" s="249">
        <v>436</v>
      </c>
      <c r="J1848" s="249">
        <v>1233.8256880733945</v>
      </c>
      <c r="K1848" s="910">
        <f t="shared" si="456"/>
        <v>537948</v>
      </c>
      <c r="L1848" s="890" t="s">
        <v>169</v>
      </c>
      <c r="M1848" s="929" t="s">
        <v>167</v>
      </c>
      <c r="N1848" s="52" t="str">
        <f>IF(AND('331-CT'!$E$7=TH!H1848,OR(L1848="331",M1848="331")),"331",IF(AND(OR(L1848="131",M1848="131"),H1848='131-CT'!$E$7),"131",""))</f>
        <v/>
      </c>
      <c r="O1848" s="89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8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52"/>
        <v>10</v>
      </c>
      <c r="C1849" s="48">
        <f t="shared" si="455"/>
        <v>41918</v>
      </c>
      <c r="D1849" s="908" t="s">
        <v>1378</v>
      </c>
      <c r="E1849" s="908">
        <v>41918</v>
      </c>
      <c r="F1849" s="909" t="s">
        <v>724</v>
      </c>
      <c r="G1849" s="930" t="s">
        <v>725</v>
      </c>
      <c r="H1849" s="913" t="s">
        <v>1371</v>
      </c>
      <c r="I1849" s="249">
        <v>267</v>
      </c>
      <c r="J1849" s="249">
        <v>3948.2434456928841</v>
      </c>
      <c r="K1849" s="910">
        <f t="shared" si="456"/>
        <v>1054181</v>
      </c>
      <c r="L1849" s="890" t="s">
        <v>169</v>
      </c>
      <c r="M1849" s="929" t="s">
        <v>167</v>
      </c>
      <c r="N1849" s="52" t="str">
        <f>IF(AND('331-CT'!$E$7=TH!H1849,OR(L1849="331",M1849="331")),"331",IF(AND(OR(L1849="131",M1849="131"),H1849='131-CT'!$E$7),"131",""))</f>
        <v/>
      </c>
      <c r="O1849" s="89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8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52"/>
        <v>10</v>
      </c>
      <c r="C1850" s="48">
        <f t="shared" si="455"/>
        <v>41918</v>
      </c>
      <c r="D1850" s="908" t="s">
        <v>1378</v>
      </c>
      <c r="E1850" s="908">
        <v>41918</v>
      </c>
      <c r="F1850" s="909" t="s">
        <v>726</v>
      </c>
      <c r="G1850" s="930" t="s">
        <v>725</v>
      </c>
      <c r="H1850" s="913" t="s">
        <v>1371</v>
      </c>
      <c r="I1850" s="249">
        <v>120</v>
      </c>
      <c r="J1850" s="249">
        <v>6251.3833333333332</v>
      </c>
      <c r="K1850" s="910">
        <f t="shared" si="456"/>
        <v>750166</v>
      </c>
      <c r="L1850" s="890" t="s">
        <v>169</v>
      </c>
      <c r="M1850" s="929" t="s">
        <v>167</v>
      </c>
      <c r="N1850" s="52" t="str">
        <f>IF(AND('331-CT'!$E$7=TH!H1850,OR(L1850="331",M1850="331")),"331",IF(AND(OR(L1850="131",M1850="131"),H1850='131-CT'!$E$7),"131",""))</f>
        <v/>
      </c>
      <c r="O1850" s="89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8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52"/>
        <v>10</v>
      </c>
      <c r="C1851" s="48">
        <f t="shared" si="455"/>
        <v>41918</v>
      </c>
      <c r="D1851" s="908" t="s">
        <v>1378</v>
      </c>
      <c r="E1851" s="908">
        <v>41918</v>
      </c>
      <c r="F1851" s="909" t="s">
        <v>727</v>
      </c>
      <c r="G1851" s="930" t="s">
        <v>725</v>
      </c>
      <c r="H1851" s="913" t="s">
        <v>1371</v>
      </c>
      <c r="I1851" s="249">
        <v>230</v>
      </c>
      <c r="J1851" s="249">
        <v>5428.8347826086956</v>
      </c>
      <c r="K1851" s="910">
        <f t="shared" si="456"/>
        <v>1248632</v>
      </c>
      <c r="L1851" s="890" t="s">
        <v>169</v>
      </c>
      <c r="M1851" s="929" t="s">
        <v>167</v>
      </c>
      <c r="N1851" s="52" t="str">
        <f>IF(AND('331-CT'!$E$7=TH!H1851,OR(L1851="331",M1851="331")),"331",IF(AND(OR(L1851="131",M1851="131"),H1851='131-CT'!$E$7),"131",""))</f>
        <v/>
      </c>
      <c r="O1851" s="89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8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52"/>
        <v>10</v>
      </c>
      <c r="C1852" s="48">
        <f t="shared" si="455"/>
        <v>41918</v>
      </c>
      <c r="D1852" s="908" t="s">
        <v>1378</v>
      </c>
      <c r="E1852" s="908">
        <v>41918</v>
      </c>
      <c r="F1852" s="909" t="s">
        <v>728</v>
      </c>
      <c r="G1852" s="930" t="s">
        <v>725</v>
      </c>
      <c r="H1852" s="913" t="s">
        <v>1371</v>
      </c>
      <c r="I1852" s="249">
        <v>230</v>
      </c>
      <c r="J1852" s="249">
        <v>3865.9910128123965</v>
      </c>
      <c r="K1852" s="910">
        <f t="shared" si="456"/>
        <v>889178</v>
      </c>
      <c r="L1852" s="890" t="s">
        <v>169</v>
      </c>
      <c r="M1852" s="929" t="s">
        <v>167</v>
      </c>
      <c r="N1852" s="52" t="str">
        <f>IF(AND('331-CT'!$E$7=TH!H1852,OR(L1852="331",M1852="331")),"331",IF(AND(OR(L1852="131",M1852="131"),H1852='131-CT'!$E$7),"131",""))</f>
        <v/>
      </c>
      <c r="O1852" s="89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8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52"/>
        <v>10</v>
      </c>
      <c r="C1853" s="48">
        <f t="shared" si="455"/>
        <v>41922</v>
      </c>
      <c r="D1853" s="908" t="s">
        <v>1378</v>
      </c>
      <c r="E1853" s="908">
        <v>41922</v>
      </c>
      <c r="F1853" s="909" t="s">
        <v>515</v>
      </c>
      <c r="G1853" s="930" t="s">
        <v>730</v>
      </c>
      <c r="H1853" s="913" t="s">
        <v>1371</v>
      </c>
      <c r="I1853" s="249">
        <v>1996</v>
      </c>
      <c r="J1853" s="249">
        <v>9459.3397122005445</v>
      </c>
      <c r="K1853" s="910">
        <f t="shared" si="456"/>
        <v>18880842</v>
      </c>
      <c r="L1853" s="890" t="s">
        <v>169</v>
      </c>
      <c r="M1853" s="929" t="s">
        <v>167</v>
      </c>
      <c r="N1853" s="52" t="str">
        <f>IF(AND('331-CT'!$E$7=TH!H1853,OR(L1853="331",M1853="331")),"331",IF(AND(OR(L1853="131",M1853="131"),H1853='131-CT'!$E$7),"131",""))</f>
        <v/>
      </c>
      <c r="O1853" s="89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8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52"/>
        <v>10</v>
      </c>
      <c r="C1854" s="48">
        <f t="shared" si="455"/>
        <v>41922</v>
      </c>
      <c r="D1854" s="908" t="s">
        <v>1378</v>
      </c>
      <c r="E1854" s="908">
        <v>41922</v>
      </c>
      <c r="F1854" s="909" t="s">
        <v>731</v>
      </c>
      <c r="G1854" s="930" t="s">
        <v>732</v>
      </c>
      <c r="H1854" s="913" t="s">
        <v>1371</v>
      </c>
      <c r="I1854" s="249">
        <v>600</v>
      </c>
      <c r="J1854" s="249">
        <v>8225.5127932178657</v>
      </c>
      <c r="K1854" s="910">
        <f t="shared" si="456"/>
        <v>4935308</v>
      </c>
      <c r="L1854" s="890" t="s">
        <v>169</v>
      </c>
      <c r="M1854" s="929" t="s">
        <v>167</v>
      </c>
      <c r="N1854" s="52" t="str">
        <f>IF(AND('331-CT'!$E$7=TH!H1854,OR(L1854="331",M1854="331")),"331",IF(AND(OR(L1854="131",M1854="131"),H1854='131-CT'!$E$7),"131",""))</f>
        <v/>
      </c>
      <c r="O1854" s="89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8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52"/>
        <v>10</v>
      </c>
      <c r="C1855" s="48">
        <f t="shared" si="455"/>
        <v>41922</v>
      </c>
      <c r="D1855" s="908" t="s">
        <v>1378</v>
      </c>
      <c r="E1855" s="908">
        <v>41922</v>
      </c>
      <c r="F1855" s="909" t="s">
        <v>662</v>
      </c>
      <c r="G1855" s="930" t="s">
        <v>734</v>
      </c>
      <c r="H1855" s="913" t="s">
        <v>1371</v>
      </c>
      <c r="I1855" s="249">
        <v>1932</v>
      </c>
      <c r="J1855" s="249">
        <v>7896.4922814891506</v>
      </c>
      <c r="K1855" s="910">
        <f t="shared" si="456"/>
        <v>15256023</v>
      </c>
      <c r="L1855" s="890" t="s">
        <v>169</v>
      </c>
      <c r="M1855" s="929" t="s">
        <v>167</v>
      </c>
      <c r="N1855" s="52" t="str">
        <f>IF(AND('331-CT'!$E$7=TH!H1855,OR(L1855="331",M1855="331")),"331",IF(AND(OR(L1855="131",M1855="131"),H1855='131-CT'!$E$7),"131",""))</f>
        <v/>
      </c>
      <c r="O1855" s="89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8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52"/>
        <v>10</v>
      </c>
      <c r="C1856" s="48">
        <f t="shared" si="455"/>
        <v>41922</v>
      </c>
      <c r="D1856" s="908" t="s">
        <v>1378</v>
      </c>
      <c r="E1856" s="908">
        <v>41922</v>
      </c>
      <c r="F1856" s="909" t="s">
        <v>662</v>
      </c>
      <c r="G1856" s="930" t="s">
        <v>734</v>
      </c>
      <c r="H1856" s="913" t="s">
        <v>1371</v>
      </c>
      <c r="I1856" s="249">
        <v>593</v>
      </c>
      <c r="J1856" s="249">
        <v>7896.4922814891506</v>
      </c>
      <c r="K1856" s="910">
        <f t="shared" si="456"/>
        <v>4682620</v>
      </c>
      <c r="L1856" s="890" t="s">
        <v>169</v>
      </c>
      <c r="M1856" s="929" t="s">
        <v>167</v>
      </c>
      <c r="N1856" s="52" t="str">
        <f>IF(AND('331-CT'!$E$7=TH!H1856,OR(L1856="331",M1856="331")),"331",IF(AND(OR(L1856="131",M1856="131"),H1856='131-CT'!$E$7),"131",""))</f>
        <v/>
      </c>
      <c r="O1856" s="89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8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52"/>
        <v>10</v>
      </c>
      <c r="C1857" s="48">
        <f t="shared" si="455"/>
        <v>41922</v>
      </c>
      <c r="D1857" s="908" t="s">
        <v>1378</v>
      </c>
      <c r="E1857" s="908">
        <v>41922</v>
      </c>
      <c r="F1857" s="909" t="s">
        <v>735</v>
      </c>
      <c r="G1857" s="930" t="s">
        <v>734</v>
      </c>
      <c r="H1857" s="913" t="s">
        <v>1371</v>
      </c>
      <c r="I1857" s="249">
        <v>314</v>
      </c>
      <c r="J1857" s="249">
        <v>6662.6653625064719</v>
      </c>
      <c r="K1857" s="910">
        <f t="shared" si="456"/>
        <v>2092077</v>
      </c>
      <c r="L1857" s="890" t="s">
        <v>169</v>
      </c>
      <c r="M1857" s="929" t="s">
        <v>167</v>
      </c>
      <c r="N1857" s="52" t="str">
        <f>IF(AND('331-CT'!$E$7=TH!H1857,OR(L1857="331",M1857="331")),"331",IF(AND(OR(L1857="131",M1857="131"),H1857='131-CT'!$E$7),"131",""))</f>
        <v/>
      </c>
      <c r="O1857" s="89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8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52"/>
        <v>10</v>
      </c>
      <c r="C1858" s="48">
        <f t="shared" si="455"/>
        <v>41922</v>
      </c>
      <c r="D1858" s="908" t="s">
        <v>1378</v>
      </c>
      <c r="E1858" s="908">
        <v>41922</v>
      </c>
      <c r="F1858" s="909" t="s">
        <v>662</v>
      </c>
      <c r="G1858" s="930" t="s">
        <v>734</v>
      </c>
      <c r="H1858" s="913" t="s">
        <v>1371</v>
      </c>
      <c r="I1858" s="249">
        <v>173</v>
      </c>
      <c r="J1858" s="249">
        <v>7896.4922814891506</v>
      </c>
      <c r="K1858" s="910">
        <f t="shared" si="456"/>
        <v>1366093</v>
      </c>
      <c r="L1858" s="890" t="s">
        <v>169</v>
      </c>
      <c r="M1858" s="929" t="s">
        <v>167</v>
      </c>
      <c r="N1858" s="52" t="str">
        <f>IF(AND('331-CT'!$E$7=TH!H1858,OR(L1858="331",M1858="331")),"331",IF(AND(OR(L1858="131",M1858="131"),H1858='131-CT'!$E$7),"131",""))</f>
        <v/>
      </c>
      <c r="O1858" s="89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8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52"/>
        <v>10</v>
      </c>
      <c r="C1859" s="48">
        <f t="shared" si="455"/>
        <v>41922</v>
      </c>
      <c r="D1859" s="908" t="s">
        <v>1378</v>
      </c>
      <c r="E1859" s="908">
        <v>41922</v>
      </c>
      <c r="F1859" s="909" t="s">
        <v>662</v>
      </c>
      <c r="G1859" s="930" t="s">
        <v>734</v>
      </c>
      <c r="H1859" s="913" t="s">
        <v>1371</v>
      </c>
      <c r="I1859" s="249">
        <v>287</v>
      </c>
      <c r="J1859" s="249">
        <v>7896.4922814891506</v>
      </c>
      <c r="K1859" s="910">
        <f t="shared" si="456"/>
        <v>2266293</v>
      </c>
      <c r="L1859" s="890" t="s">
        <v>169</v>
      </c>
      <c r="M1859" s="929" t="s">
        <v>167</v>
      </c>
      <c r="N1859" s="52" t="str">
        <f>IF(AND('331-CT'!$E$7=TH!H1859,OR(L1859="331",M1859="331")),"331",IF(AND(OR(L1859="131",M1859="131"),H1859='131-CT'!$E$7),"131",""))</f>
        <v/>
      </c>
      <c r="O1859" s="89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8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52"/>
        <v>10</v>
      </c>
      <c r="C1860" s="48">
        <f t="shared" si="455"/>
        <v>41922</v>
      </c>
      <c r="D1860" s="908" t="s">
        <v>1378</v>
      </c>
      <c r="E1860" s="908">
        <v>41922</v>
      </c>
      <c r="F1860" s="909" t="s">
        <v>735</v>
      </c>
      <c r="G1860" s="930" t="s">
        <v>734</v>
      </c>
      <c r="H1860" s="913" t="s">
        <v>1371</v>
      </c>
      <c r="I1860" s="249">
        <v>454</v>
      </c>
      <c r="J1860" s="249">
        <v>6662.6653625064719</v>
      </c>
      <c r="K1860" s="910">
        <f t="shared" si="456"/>
        <v>3024850</v>
      </c>
      <c r="L1860" s="890" t="s">
        <v>169</v>
      </c>
      <c r="M1860" s="929" t="s">
        <v>167</v>
      </c>
      <c r="N1860" s="52" t="str">
        <f>IF(AND('331-CT'!$E$7=TH!H1860,OR(L1860="331",M1860="331")),"331",IF(AND(OR(L1860="131",M1860="131"),H1860='131-CT'!$E$7),"131",""))</f>
        <v/>
      </c>
      <c r="O1860" s="89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8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52"/>
        <v>10</v>
      </c>
      <c r="C1861" s="48">
        <f t="shared" si="455"/>
        <v>41922</v>
      </c>
      <c r="D1861" s="908" t="s">
        <v>1378</v>
      </c>
      <c r="E1861" s="908">
        <v>41922</v>
      </c>
      <c r="F1861" s="909" t="s">
        <v>735</v>
      </c>
      <c r="G1861" s="930" t="s">
        <v>734</v>
      </c>
      <c r="H1861" s="913" t="s">
        <v>1371</v>
      </c>
      <c r="I1861" s="249">
        <v>160</v>
      </c>
      <c r="J1861" s="249">
        <v>6662.6653625064719</v>
      </c>
      <c r="K1861" s="910">
        <f t="shared" si="456"/>
        <v>1066026</v>
      </c>
      <c r="L1861" s="890" t="s">
        <v>169</v>
      </c>
      <c r="M1861" s="929" t="s">
        <v>167</v>
      </c>
      <c r="N1861" s="52" t="str">
        <f>IF(AND('331-CT'!$E$7=TH!H1861,OR(L1861="331",M1861="331")),"331",IF(AND(OR(L1861="131",M1861="131"),H1861='131-CT'!$E$7),"131",""))</f>
        <v/>
      </c>
      <c r="O1861" s="89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8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52"/>
        <v>10</v>
      </c>
      <c r="C1862" s="48">
        <f t="shared" si="455"/>
        <v>41922</v>
      </c>
      <c r="D1862" s="908" t="s">
        <v>1378</v>
      </c>
      <c r="E1862" s="908">
        <v>41922</v>
      </c>
      <c r="F1862" s="909" t="s">
        <v>623</v>
      </c>
      <c r="G1862" s="930" t="s">
        <v>734</v>
      </c>
      <c r="H1862" s="913" t="s">
        <v>1371</v>
      </c>
      <c r="I1862" s="249">
        <v>4800</v>
      </c>
      <c r="J1862" s="249">
        <v>493.53076759307191</v>
      </c>
      <c r="K1862" s="910">
        <f t="shared" si="456"/>
        <v>2368948</v>
      </c>
      <c r="L1862" s="890" t="s">
        <v>169</v>
      </c>
      <c r="M1862" s="929" t="s">
        <v>167</v>
      </c>
      <c r="N1862" s="52" t="str">
        <f>IF(AND('331-CT'!$E$7=TH!H1862,OR(L1862="331",M1862="331")),"331",IF(AND(OR(L1862="131",M1862="131"),H1862='131-CT'!$E$7),"131",""))</f>
        <v/>
      </c>
      <c r="O1862" s="89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8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52"/>
        <v>10</v>
      </c>
      <c r="C1863" s="48">
        <f t="shared" si="455"/>
        <v>41926</v>
      </c>
      <c r="D1863" s="908" t="s">
        <v>1378</v>
      </c>
      <c r="E1863" s="908">
        <v>41926</v>
      </c>
      <c r="F1863" s="909" t="s">
        <v>706</v>
      </c>
      <c r="G1863" s="930" t="s">
        <v>736</v>
      </c>
      <c r="H1863" s="913" t="s">
        <v>1371</v>
      </c>
      <c r="I1863" s="249">
        <v>1635</v>
      </c>
      <c r="J1863" s="249">
        <v>7978.7474094213294</v>
      </c>
      <c r="K1863" s="910">
        <f t="shared" si="456"/>
        <v>13045252</v>
      </c>
      <c r="L1863" s="890" t="s">
        <v>169</v>
      </c>
      <c r="M1863" s="929" t="s">
        <v>167</v>
      </c>
      <c r="N1863" s="52" t="str">
        <f>IF(AND('331-CT'!$E$7=TH!H1863,OR(L1863="331",M1863="331")),"331",IF(AND(OR(L1863="131",M1863="131"),H1863='131-CT'!$E$7),"131",""))</f>
        <v/>
      </c>
      <c r="O1863" s="89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8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52"/>
        <v>10</v>
      </c>
      <c r="C1864" s="48">
        <f t="shared" si="455"/>
        <v>41926</v>
      </c>
      <c r="D1864" s="908" t="s">
        <v>1378</v>
      </c>
      <c r="E1864" s="908">
        <v>41926</v>
      </c>
      <c r="F1864" s="909" t="s">
        <v>494</v>
      </c>
      <c r="G1864" s="930" t="s">
        <v>737</v>
      </c>
      <c r="H1864" s="913" t="s">
        <v>1371</v>
      </c>
      <c r="I1864" s="249">
        <v>197</v>
      </c>
      <c r="J1864" s="249">
        <v>6744.9204904386497</v>
      </c>
      <c r="K1864" s="910">
        <f t="shared" si="456"/>
        <v>1328749</v>
      </c>
      <c r="L1864" s="890" t="s">
        <v>169</v>
      </c>
      <c r="M1864" s="929" t="s">
        <v>167</v>
      </c>
      <c r="N1864" s="52" t="str">
        <f>IF(AND('331-CT'!$E$7=TH!H1864,OR(L1864="331",M1864="331")),"331",IF(AND(OR(L1864="131",M1864="131"),H1864='131-CT'!$E$7),"131",""))</f>
        <v/>
      </c>
      <c r="O1864" s="89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8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52"/>
        <v>10</v>
      </c>
      <c r="C1865" s="48">
        <f t="shared" si="455"/>
        <v>41926</v>
      </c>
      <c r="D1865" s="908" t="s">
        <v>1378</v>
      </c>
      <c r="E1865" s="908">
        <v>41926</v>
      </c>
      <c r="F1865" s="909" t="s">
        <v>512</v>
      </c>
      <c r="G1865" s="930" t="s">
        <v>737</v>
      </c>
      <c r="H1865" s="913" t="s">
        <v>1371</v>
      </c>
      <c r="I1865" s="249">
        <v>300</v>
      </c>
      <c r="J1865" s="249">
        <v>5757.8589552525054</v>
      </c>
      <c r="K1865" s="910">
        <f t="shared" si="456"/>
        <v>1727358</v>
      </c>
      <c r="L1865" s="890" t="s">
        <v>169</v>
      </c>
      <c r="M1865" s="929" t="s">
        <v>167</v>
      </c>
      <c r="N1865" s="52" t="str">
        <f>IF(AND('331-CT'!$E$7=TH!H1865,OR(L1865="331",M1865="331")),"331",IF(AND(OR(L1865="131",M1865="131"),H1865='131-CT'!$E$7),"131",""))</f>
        <v/>
      </c>
      <c r="O1865" s="89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8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52"/>
        <v>10</v>
      </c>
      <c r="C1866" s="48">
        <f t="shared" si="455"/>
        <v>41926</v>
      </c>
      <c r="D1866" s="908" t="s">
        <v>1378</v>
      </c>
      <c r="E1866" s="908">
        <v>41926</v>
      </c>
      <c r="F1866" s="909" t="s">
        <v>738</v>
      </c>
      <c r="G1866" s="930" t="s">
        <v>737</v>
      </c>
      <c r="H1866" s="913" t="s">
        <v>1371</v>
      </c>
      <c r="I1866" s="249">
        <v>42</v>
      </c>
      <c r="J1866" s="249">
        <v>1151.5717910505014</v>
      </c>
      <c r="K1866" s="910">
        <f t="shared" si="456"/>
        <v>48366</v>
      </c>
      <c r="L1866" s="890" t="s">
        <v>169</v>
      </c>
      <c r="M1866" s="929" t="s">
        <v>167</v>
      </c>
      <c r="N1866" s="52" t="str">
        <f>IF(AND('331-CT'!$E$7=TH!H1866,OR(L1866="331",M1866="331")),"331",IF(AND(OR(L1866="131",M1866="131"),H1866='131-CT'!$E$7),"131",""))</f>
        <v/>
      </c>
      <c r="O1866" s="89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8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52"/>
        <v>10</v>
      </c>
      <c r="C1867" s="48">
        <f t="shared" si="455"/>
        <v>41926</v>
      </c>
      <c r="D1867" s="908" t="s">
        <v>1378</v>
      </c>
      <c r="E1867" s="908">
        <v>41926</v>
      </c>
      <c r="F1867" s="909" t="s">
        <v>486</v>
      </c>
      <c r="G1867" s="930" t="s">
        <v>737</v>
      </c>
      <c r="H1867" s="913" t="s">
        <v>1371</v>
      </c>
      <c r="I1867" s="249">
        <v>297</v>
      </c>
      <c r="J1867" s="249">
        <v>7320.7063859639002</v>
      </c>
      <c r="K1867" s="910">
        <f t="shared" si="456"/>
        <v>2174250</v>
      </c>
      <c r="L1867" s="890" t="s">
        <v>169</v>
      </c>
      <c r="M1867" s="929" t="s">
        <v>167</v>
      </c>
      <c r="N1867" s="52" t="str">
        <f>IF(AND('331-CT'!$E$7=TH!H1867,OR(L1867="331",M1867="331")),"331",IF(AND(OR(L1867="131",M1867="131"),H1867='131-CT'!$E$7),"131",""))</f>
        <v/>
      </c>
      <c r="O1867" s="89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8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52"/>
        <v>10</v>
      </c>
      <c r="C1868" s="48">
        <f t="shared" si="455"/>
        <v>41926</v>
      </c>
      <c r="D1868" s="908" t="s">
        <v>1378</v>
      </c>
      <c r="E1868" s="908">
        <v>41926</v>
      </c>
      <c r="F1868" s="909" t="s">
        <v>739</v>
      </c>
      <c r="G1868" s="930" t="s">
        <v>740</v>
      </c>
      <c r="H1868" s="913" t="s">
        <v>1371</v>
      </c>
      <c r="I1868" s="249">
        <v>135</v>
      </c>
      <c r="J1868" s="249">
        <v>8472.2781770144011</v>
      </c>
      <c r="K1868" s="910">
        <f t="shared" si="456"/>
        <v>1143758</v>
      </c>
      <c r="L1868" s="890" t="s">
        <v>169</v>
      </c>
      <c r="M1868" s="929" t="s">
        <v>167</v>
      </c>
      <c r="N1868" s="52" t="str">
        <f>IF(AND('331-CT'!$E$7=TH!H1868,OR(L1868="331",M1868="331")),"331",IF(AND(OR(L1868="131",M1868="131"),H1868='131-CT'!$E$7),"131",""))</f>
        <v/>
      </c>
      <c r="O1868" s="89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8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52"/>
        <v>10</v>
      </c>
      <c r="C1869" s="48">
        <f t="shared" si="455"/>
        <v>41926</v>
      </c>
      <c r="D1869" s="908" t="s">
        <v>1378</v>
      </c>
      <c r="E1869" s="908">
        <v>41926</v>
      </c>
      <c r="F1869" s="909" t="s">
        <v>739</v>
      </c>
      <c r="G1869" s="930" t="s">
        <v>740</v>
      </c>
      <c r="H1869" s="913" t="s">
        <v>1371</v>
      </c>
      <c r="I1869" s="249">
        <v>280</v>
      </c>
      <c r="J1869" s="249">
        <v>8472.2781770144011</v>
      </c>
      <c r="K1869" s="910">
        <f t="shared" si="456"/>
        <v>2372238</v>
      </c>
      <c r="L1869" s="890" t="s">
        <v>169</v>
      </c>
      <c r="M1869" s="929" t="s">
        <v>167</v>
      </c>
      <c r="N1869" s="52" t="str">
        <f>IF(AND('331-CT'!$E$7=TH!H1869,OR(L1869="331",M1869="331")),"331",IF(AND(OR(L1869="131",M1869="131"),H1869='131-CT'!$E$7),"131",""))</f>
        <v/>
      </c>
      <c r="O1869" s="89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8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52"/>
        <v>10</v>
      </c>
      <c r="C1870" s="48">
        <f t="shared" si="455"/>
        <v>41928</v>
      </c>
      <c r="D1870" s="908" t="s">
        <v>1378</v>
      </c>
      <c r="E1870" s="908">
        <v>41928</v>
      </c>
      <c r="F1870" s="909" t="s">
        <v>741</v>
      </c>
      <c r="G1870" s="930" t="s">
        <v>742</v>
      </c>
      <c r="H1870" s="913" t="s">
        <v>1371</v>
      </c>
      <c r="I1870" s="249">
        <v>2960</v>
      </c>
      <c r="J1870" s="249">
        <v>5593.3486993881488</v>
      </c>
      <c r="K1870" s="910">
        <f t="shared" si="456"/>
        <v>16556312</v>
      </c>
      <c r="L1870" s="890" t="s">
        <v>169</v>
      </c>
      <c r="M1870" s="929" t="s">
        <v>167</v>
      </c>
      <c r="N1870" s="52" t="str">
        <f>IF(AND('331-CT'!$E$7=TH!H1870,OR(L1870="331",M1870="331")),"331",IF(AND(OR(L1870="131",M1870="131"),H1870='131-CT'!$E$7),"131",""))</f>
        <v/>
      </c>
      <c r="O1870" s="89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8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52"/>
        <v>10</v>
      </c>
      <c r="C1871" s="48">
        <f t="shared" si="455"/>
        <v>41929</v>
      </c>
      <c r="D1871" s="908" t="s">
        <v>1378</v>
      </c>
      <c r="E1871" s="908">
        <v>41929</v>
      </c>
      <c r="F1871" s="909" t="s">
        <v>612</v>
      </c>
      <c r="G1871" s="930" t="s">
        <v>743</v>
      </c>
      <c r="H1871" s="913" t="s">
        <v>1371</v>
      </c>
      <c r="I1871" s="249">
        <v>500</v>
      </c>
      <c r="J1871" s="249">
        <v>4359.5217804054691</v>
      </c>
      <c r="K1871" s="910">
        <f t="shared" si="456"/>
        <v>2179761</v>
      </c>
      <c r="L1871" s="890" t="s">
        <v>169</v>
      </c>
      <c r="M1871" s="929" t="s">
        <v>167</v>
      </c>
      <c r="N1871" s="52" t="str">
        <f>IF(AND('331-CT'!$E$7=TH!H1871,OR(L1871="331",M1871="331")),"331",IF(AND(OR(L1871="131",M1871="131"),H1871='131-CT'!$E$7),"131",""))</f>
        <v/>
      </c>
      <c r="O1871" s="89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8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52"/>
        <v>10</v>
      </c>
      <c r="C1872" s="48">
        <f t="shared" si="455"/>
        <v>41934</v>
      </c>
      <c r="D1872" s="908" t="s">
        <v>1378</v>
      </c>
      <c r="E1872" s="908">
        <v>41934</v>
      </c>
      <c r="F1872" s="909" t="s">
        <v>744</v>
      </c>
      <c r="G1872" s="930" t="s">
        <v>745</v>
      </c>
      <c r="H1872" s="913" t="s">
        <v>1371</v>
      </c>
      <c r="I1872" s="249">
        <v>164</v>
      </c>
      <c r="J1872" s="249">
        <v>20975.057622705557</v>
      </c>
      <c r="K1872" s="910">
        <f t="shared" si="456"/>
        <v>3439909</v>
      </c>
      <c r="L1872" s="890" t="s">
        <v>169</v>
      </c>
      <c r="M1872" s="929" t="s">
        <v>167</v>
      </c>
      <c r="N1872" s="52" t="str">
        <f>IF(AND('331-CT'!$E$7=TH!H1872,OR(L1872="331",M1872="331")),"331",IF(AND(OR(L1872="131",M1872="131"),H1872='131-CT'!$E$7),"131",""))</f>
        <v/>
      </c>
      <c r="O1872" s="89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8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52"/>
        <v>10</v>
      </c>
      <c r="C1873" s="48">
        <f t="shared" si="455"/>
        <v>41934</v>
      </c>
      <c r="D1873" s="908" t="s">
        <v>1378</v>
      </c>
      <c r="E1873" s="908">
        <v>41934</v>
      </c>
      <c r="F1873" s="909" t="s">
        <v>746</v>
      </c>
      <c r="G1873" s="930" t="s">
        <v>745</v>
      </c>
      <c r="H1873" s="913" t="s">
        <v>1371</v>
      </c>
      <c r="I1873" s="249">
        <v>328</v>
      </c>
      <c r="J1873" s="249">
        <v>1233.8269189826799</v>
      </c>
      <c r="K1873" s="910">
        <f t="shared" si="456"/>
        <v>404695</v>
      </c>
      <c r="L1873" s="890" t="s">
        <v>169</v>
      </c>
      <c r="M1873" s="929" t="s">
        <v>167</v>
      </c>
      <c r="N1873" s="52" t="str">
        <f>IF(AND('331-CT'!$E$7=TH!H1873,OR(L1873="331",M1873="331")),"331",IF(AND(OR(L1873="131",M1873="131"),H1873='131-CT'!$E$7),"131",""))</f>
        <v/>
      </c>
      <c r="O1873" s="89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8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52"/>
        <v>10</v>
      </c>
      <c r="C1874" s="48">
        <f t="shared" si="455"/>
        <v>41934</v>
      </c>
      <c r="D1874" s="908" t="s">
        <v>1378</v>
      </c>
      <c r="E1874" s="908">
        <v>41934</v>
      </c>
      <c r="F1874" s="909" t="s">
        <v>747</v>
      </c>
      <c r="G1874" s="930" t="s">
        <v>748</v>
      </c>
      <c r="H1874" s="913" t="s">
        <v>1371</v>
      </c>
      <c r="I1874" s="249">
        <v>738</v>
      </c>
      <c r="J1874" s="249">
        <v>14641.4127719278</v>
      </c>
      <c r="K1874" s="910">
        <f t="shared" si="456"/>
        <v>10805363</v>
      </c>
      <c r="L1874" s="890" t="s">
        <v>169</v>
      </c>
      <c r="M1874" s="929" t="s">
        <v>167</v>
      </c>
      <c r="N1874" s="52" t="str">
        <f>IF(AND('331-CT'!$E$7=TH!H1874,OR(L1874="331",M1874="331")),"331",IF(AND(OR(L1874="131",M1874="131"),H1874='131-CT'!$E$7),"131",""))</f>
        <v/>
      </c>
      <c r="O1874" s="89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8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52"/>
        <v>10</v>
      </c>
      <c r="C1875" s="48">
        <f t="shared" si="455"/>
        <v>41934</v>
      </c>
      <c r="D1875" s="908" t="s">
        <v>1378</v>
      </c>
      <c r="E1875" s="908">
        <v>41934</v>
      </c>
      <c r="F1875" s="909" t="s">
        <v>712</v>
      </c>
      <c r="G1875" s="930" t="s">
        <v>748</v>
      </c>
      <c r="H1875" s="913" t="s">
        <v>1371</v>
      </c>
      <c r="I1875" s="249">
        <v>30</v>
      </c>
      <c r="J1875" s="249">
        <v>9952.8704797936171</v>
      </c>
      <c r="K1875" s="910">
        <f t="shared" si="456"/>
        <v>298586</v>
      </c>
      <c r="L1875" s="890" t="s">
        <v>169</v>
      </c>
      <c r="M1875" s="929" t="s">
        <v>167</v>
      </c>
      <c r="N1875" s="52" t="str">
        <f>IF(AND('331-CT'!$E$7=TH!H1875,OR(L1875="331",M1875="331")),"331",IF(AND(OR(L1875="131",M1875="131"),H1875='131-CT'!$E$7),"131",""))</f>
        <v/>
      </c>
      <c r="O1875" s="89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8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52"/>
        <v>10</v>
      </c>
      <c r="C1876" s="48">
        <f t="shared" si="455"/>
        <v>41935</v>
      </c>
      <c r="D1876" s="908" t="s">
        <v>1378</v>
      </c>
      <c r="E1876" s="908">
        <v>41935</v>
      </c>
      <c r="F1876" s="909" t="s">
        <v>652</v>
      </c>
      <c r="G1876" s="930" t="s">
        <v>749</v>
      </c>
      <c r="H1876" s="913" t="s">
        <v>1371</v>
      </c>
      <c r="I1876" s="249">
        <v>4080</v>
      </c>
      <c r="J1876" s="249">
        <v>6086.8794669812205</v>
      </c>
      <c r="K1876" s="910">
        <f t="shared" si="456"/>
        <v>24834468</v>
      </c>
      <c r="L1876" s="890" t="s">
        <v>169</v>
      </c>
      <c r="M1876" s="929" t="s">
        <v>167</v>
      </c>
      <c r="N1876" s="52" t="str">
        <f>IF(AND('331-CT'!$E$7=TH!H1876,OR(L1876="331",M1876="331")),"331",IF(AND(OR(L1876="131",M1876="131"),H1876='131-CT'!$E$7),"131",""))</f>
        <v/>
      </c>
      <c r="O1876" s="89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8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52"/>
        <v>10</v>
      </c>
      <c r="C1877" s="48">
        <f t="shared" si="455"/>
        <v>41937</v>
      </c>
      <c r="D1877" s="908" t="s">
        <v>1378</v>
      </c>
      <c r="E1877" s="908">
        <v>41937</v>
      </c>
      <c r="F1877" s="909" t="s">
        <v>436</v>
      </c>
      <c r="G1877" s="930" t="s">
        <v>750</v>
      </c>
      <c r="H1877" s="913" t="s">
        <v>1371</v>
      </c>
      <c r="I1877" s="249">
        <v>388</v>
      </c>
      <c r="J1877" s="249">
        <v>7814.2371535569719</v>
      </c>
      <c r="K1877" s="910">
        <f t="shared" si="456"/>
        <v>3031924</v>
      </c>
      <c r="L1877" s="890" t="s">
        <v>169</v>
      </c>
      <c r="M1877" s="929" t="s">
        <v>167</v>
      </c>
      <c r="N1877" s="52" t="str">
        <f>IF(AND('331-CT'!$E$7=TH!H1877,OR(L1877="331",M1877="331")),"331",IF(AND(OR(L1877="131",M1877="131"),H1877='131-CT'!$E$7),"131",""))</f>
        <v/>
      </c>
      <c r="O1877" s="89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8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52"/>
        <v>10</v>
      </c>
      <c r="C1878" s="48">
        <f t="shared" si="455"/>
        <v>41937</v>
      </c>
      <c r="D1878" s="908" t="s">
        <v>1378</v>
      </c>
      <c r="E1878" s="908">
        <v>41937</v>
      </c>
      <c r="F1878" s="909" t="s">
        <v>566</v>
      </c>
      <c r="G1878" s="930" t="s">
        <v>750</v>
      </c>
      <c r="H1878" s="913" t="s">
        <v>1371</v>
      </c>
      <c r="I1878" s="249">
        <v>405</v>
      </c>
      <c r="J1878" s="249">
        <v>7978.7474094213294</v>
      </c>
      <c r="K1878" s="910">
        <f t="shared" si="456"/>
        <v>3231393</v>
      </c>
      <c r="L1878" s="890" t="s">
        <v>169</v>
      </c>
      <c r="M1878" s="929" t="s">
        <v>167</v>
      </c>
      <c r="N1878" s="52" t="str">
        <f>IF(AND('331-CT'!$E$7=TH!H1878,OR(L1878="331",M1878="331")),"331",IF(AND(OR(L1878="131",M1878="131"),H1878='131-CT'!$E$7),"131",""))</f>
        <v/>
      </c>
      <c r="O1878" s="89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8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52"/>
        <v>10</v>
      </c>
      <c r="C1879" s="48">
        <f t="shared" si="455"/>
        <v>41940</v>
      </c>
      <c r="D1879" s="908" t="s">
        <v>1378</v>
      </c>
      <c r="E1879" s="908">
        <v>41940</v>
      </c>
      <c r="F1879" s="909" t="s">
        <v>751</v>
      </c>
      <c r="G1879" s="930" t="s">
        <v>752</v>
      </c>
      <c r="H1879" s="913" t="s">
        <v>1371</v>
      </c>
      <c r="I1879" s="249">
        <v>57</v>
      </c>
      <c r="J1879" s="249">
        <v>20892.802494773379</v>
      </c>
      <c r="K1879" s="910">
        <f t="shared" si="456"/>
        <v>1190890</v>
      </c>
      <c r="L1879" s="890" t="s">
        <v>169</v>
      </c>
      <c r="M1879" s="929" t="s">
        <v>167</v>
      </c>
      <c r="N1879" s="52" t="str">
        <f>IF(AND('331-CT'!$E$7=TH!H1879,OR(L1879="331",M1879="331")),"331",IF(AND(OR(L1879="131",M1879="131"),H1879='131-CT'!$E$7),"131",""))</f>
        <v/>
      </c>
      <c r="O1879" s="89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8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52"/>
        <v>10</v>
      </c>
      <c r="C1880" s="48">
        <f t="shared" si="455"/>
        <v>41940</v>
      </c>
      <c r="D1880" s="908" t="s">
        <v>1378</v>
      </c>
      <c r="E1880" s="908">
        <v>41940</v>
      </c>
      <c r="F1880" s="909" t="s">
        <v>753</v>
      </c>
      <c r="G1880" s="930" t="s">
        <v>752</v>
      </c>
      <c r="H1880" s="913" t="s">
        <v>1371</v>
      </c>
      <c r="I1880" s="249">
        <v>236</v>
      </c>
      <c r="J1880" s="249">
        <v>16862.301226096624</v>
      </c>
      <c r="K1880" s="910">
        <f t="shared" si="456"/>
        <v>3979503</v>
      </c>
      <c r="L1880" s="890" t="s">
        <v>169</v>
      </c>
      <c r="M1880" s="929" t="s">
        <v>167</v>
      </c>
      <c r="N1880" s="52" t="str">
        <f>IF(AND('331-CT'!$E$7=TH!H1880,OR(L1880="331",M1880="331")),"331",IF(AND(OR(L1880="131",M1880="131"),H1880='131-CT'!$E$7),"131",""))</f>
        <v/>
      </c>
      <c r="O1880" s="89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8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52"/>
        <v>10</v>
      </c>
      <c r="C1881" s="48">
        <f t="shared" si="455"/>
        <v>41940</v>
      </c>
      <c r="D1881" s="908" t="s">
        <v>1378</v>
      </c>
      <c r="E1881" s="908">
        <v>41940</v>
      </c>
      <c r="F1881" s="909" t="s">
        <v>746</v>
      </c>
      <c r="G1881" s="930" t="s">
        <v>752</v>
      </c>
      <c r="H1881" s="913" t="s">
        <v>1371</v>
      </c>
      <c r="I1881" s="249">
        <v>586</v>
      </c>
      <c r="J1881" s="249">
        <v>1233.8269189826799</v>
      </c>
      <c r="K1881" s="910">
        <f t="shared" si="456"/>
        <v>723023</v>
      </c>
      <c r="L1881" s="890" t="s">
        <v>169</v>
      </c>
      <c r="M1881" s="929" t="s">
        <v>167</v>
      </c>
      <c r="N1881" s="52" t="str">
        <f>IF(AND('331-CT'!$E$7=TH!H1881,OR(L1881="331",M1881="331")),"331",IF(AND(OR(L1881="131",M1881="131"),H1881='131-CT'!$E$7),"131",""))</f>
        <v/>
      </c>
      <c r="O1881" s="89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8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52"/>
        <v>10</v>
      </c>
      <c r="C1882" s="48">
        <f t="shared" si="455"/>
        <v>41940</v>
      </c>
      <c r="D1882" s="908" t="s">
        <v>1378</v>
      </c>
      <c r="E1882" s="908">
        <v>41940</v>
      </c>
      <c r="F1882" s="909" t="s">
        <v>754</v>
      </c>
      <c r="G1882" s="930" t="s">
        <v>755</v>
      </c>
      <c r="H1882" s="913" t="s">
        <v>1371</v>
      </c>
      <c r="I1882" s="249">
        <v>1028</v>
      </c>
      <c r="J1882" s="249">
        <v>5264.3281876594338</v>
      </c>
      <c r="K1882" s="910">
        <f t="shared" si="456"/>
        <v>5411729</v>
      </c>
      <c r="L1882" s="890" t="s">
        <v>169</v>
      </c>
      <c r="M1882" s="929" t="s">
        <v>167</v>
      </c>
      <c r="N1882" s="52" t="str">
        <f>IF(AND('331-CT'!$E$7=TH!H1882,OR(L1882="331",M1882="331")),"331",IF(AND(OR(L1882="131",M1882="131"),H1882='131-CT'!$E$7),"131",""))</f>
        <v/>
      </c>
      <c r="O1882" s="89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8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52"/>
        <v>10</v>
      </c>
      <c r="C1883" s="48">
        <f t="shared" si="455"/>
        <v>41941</v>
      </c>
      <c r="D1883" s="908" t="s">
        <v>1378</v>
      </c>
      <c r="E1883" s="908">
        <v>41941</v>
      </c>
      <c r="F1883" s="909" t="s">
        <v>1203</v>
      </c>
      <c r="G1883" s="930" t="s">
        <v>756</v>
      </c>
      <c r="H1883" s="913" t="s">
        <v>1371</v>
      </c>
      <c r="I1883" s="249">
        <v>500</v>
      </c>
      <c r="J1883" s="249">
        <v>658.04102345742922</v>
      </c>
      <c r="K1883" s="910">
        <f t="shared" si="456"/>
        <v>329021</v>
      </c>
      <c r="L1883" s="890" t="s">
        <v>169</v>
      </c>
      <c r="M1883" s="929" t="s">
        <v>167</v>
      </c>
      <c r="N1883" s="52" t="str">
        <f>IF(AND('331-CT'!$E$7=TH!H1883,OR(L1883="331",M1883="331")),"331",IF(AND(OR(L1883="131",M1883="131"),H1883='131-CT'!$E$7),"131",""))</f>
        <v/>
      </c>
      <c r="O1883" s="89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8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52"/>
        <v>10</v>
      </c>
      <c r="C1884" s="48">
        <f t="shared" si="455"/>
        <v>41941</v>
      </c>
      <c r="D1884" s="908" t="s">
        <v>1378</v>
      </c>
      <c r="E1884" s="908">
        <v>41941</v>
      </c>
      <c r="F1884" s="909" t="s">
        <v>1204</v>
      </c>
      <c r="G1884" s="930" t="s">
        <v>756</v>
      </c>
      <c r="H1884" s="913" t="s">
        <v>1371</v>
      </c>
      <c r="I1884" s="249">
        <v>500</v>
      </c>
      <c r="J1884" s="249">
        <v>493.53076759307191</v>
      </c>
      <c r="K1884" s="910">
        <f t="shared" si="456"/>
        <v>246765</v>
      </c>
      <c r="L1884" s="890" t="s">
        <v>169</v>
      </c>
      <c r="M1884" s="929" t="s">
        <v>167</v>
      </c>
      <c r="N1884" s="52" t="str">
        <f>IF(AND('331-CT'!$E$7=TH!H1884,OR(L1884="331",M1884="331")),"331",IF(AND(OR(L1884="131",M1884="131"),H1884='131-CT'!$E$7),"131",""))</f>
        <v/>
      </c>
      <c r="O1884" s="89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8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52"/>
        <v>10</v>
      </c>
      <c r="C1885" s="48">
        <f t="shared" si="455"/>
        <v>41941</v>
      </c>
      <c r="D1885" s="908" t="s">
        <v>1378</v>
      </c>
      <c r="E1885" s="908">
        <v>41941</v>
      </c>
      <c r="F1885" s="909" t="s">
        <v>1205</v>
      </c>
      <c r="G1885" s="930" t="s">
        <v>756</v>
      </c>
      <c r="H1885" s="913" t="s">
        <v>1371</v>
      </c>
      <c r="I1885" s="249">
        <v>500</v>
      </c>
      <c r="J1885" s="249">
        <v>1398.3371748470372</v>
      </c>
      <c r="K1885" s="910">
        <f t="shared" si="456"/>
        <v>699169</v>
      </c>
      <c r="L1885" s="890" t="s">
        <v>169</v>
      </c>
      <c r="M1885" s="929" t="s">
        <v>167</v>
      </c>
      <c r="N1885" s="52" t="str">
        <f>IF(AND('331-CT'!$E$7=TH!H1885,OR(L1885="331",M1885="331")),"331",IF(AND(OR(L1885="131",M1885="131"),H1885='131-CT'!$E$7),"131",""))</f>
        <v/>
      </c>
      <c r="O1885" s="89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8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52"/>
        <v>10</v>
      </c>
      <c r="C1886" s="48">
        <f t="shared" si="455"/>
        <v>41942</v>
      </c>
      <c r="D1886" s="908" t="s">
        <v>1378</v>
      </c>
      <c r="E1886" s="908">
        <v>41942</v>
      </c>
      <c r="F1886" s="909" t="s">
        <v>1206</v>
      </c>
      <c r="G1886" s="930" t="s">
        <v>757</v>
      </c>
      <c r="H1886" s="913" t="s">
        <v>1371</v>
      </c>
      <c r="I1886" s="249">
        <v>595</v>
      </c>
      <c r="J1886" s="249">
        <v>9377.0845842683666</v>
      </c>
      <c r="K1886" s="910">
        <f t="shared" si="456"/>
        <v>5579365</v>
      </c>
      <c r="L1886" s="890" t="s">
        <v>169</v>
      </c>
      <c r="M1886" s="929" t="s">
        <v>167</v>
      </c>
      <c r="N1886" s="52" t="str">
        <f>IF(AND('331-CT'!$E$7=TH!H1886,OR(L1886="331",M1886="331")),"331",IF(AND(OR(L1886="131",M1886="131"),H1886='131-CT'!$E$7),"131",""))</f>
        <v/>
      </c>
      <c r="O1886" s="89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8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52"/>
        <v>10</v>
      </c>
      <c r="C1887" s="48">
        <f t="shared" si="455"/>
        <v>41942</v>
      </c>
      <c r="D1887" s="908" t="s">
        <v>1378</v>
      </c>
      <c r="E1887" s="908">
        <v>41942</v>
      </c>
      <c r="F1887" s="909" t="s">
        <v>445</v>
      </c>
      <c r="G1887" s="930" t="s">
        <v>757</v>
      </c>
      <c r="H1887" s="913" t="s">
        <v>1371</v>
      </c>
      <c r="I1887" s="249">
        <v>1190</v>
      </c>
      <c r="J1887" s="249">
        <v>822.55127932178664</v>
      </c>
      <c r="K1887" s="910">
        <f t="shared" si="456"/>
        <v>978836</v>
      </c>
      <c r="L1887" s="890" t="s">
        <v>169</v>
      </c>
      <c r="M1887" s="929" t="s">
        <v>167</v>
      </c>
      <c r="N1887" s="52" t="str">
        <f>IF(AND('331-CT'!$E$7=TH!H1887,OR(L1887="331",M1887="331")),"331",IF(AND(OR(L1887="131",M1887="131"),H1887='131-CT'!$E$7),"131",""))</f>
        <v/>
      </c>
      <c r="O1887" s="89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8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52"/>
        <v>10</v>
      </c>
      <c r="C1888" s="48">
        <f t="shared" si="455"/>
        <v>41942</v>
      </c>
      <c r="D1888" s="908" t="s">
        <v>1378</v>
      </c>
      <c r="E1888" s="908">
        <v>41942</v>
      </c>
      <c r="F1888" s="909" t="s">
        <v>459</v>
      </c>
      <c r="G1888" s="930" t="s">
        <v>758</v>
      </c>
      <c r="H1888" s="913" t="s">
        <v>1371</v>
      </c>
      <c r="I1888" s="249">
        <v>1005</v>
      </c>
      <c r="J1888" s="249">
        <v>7567.4717697604365</v>
      </c>
      <c r="K1888" s="910">
        <f t="shared" si="456"/>
        <v>7605309</v>
      </c>
      <c r="L1888" s="890" t="s">
        <v>169</v>
      </c>
      <c r="M1888" s="929" t="s">
        <v>167</v>
      </c>
      <c r="N1888" s="52" t="str">
        <f>IF(AND('331-CT'!$E$7=TH!H1888,OR(L1888="331",M1888="331")),"331",IF(AND(OR(L1888="131",M1888="131"),H1888='131-CT'!$E$7),"131",""))</f>
        <v/>
      </c>
      <c r="O1888" s="89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8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52"/>
        <v>11</v>
      </c>
      <c r="C1889" s="48">
        <f t="shared" si="455"/>
        <v>41947</v>
      </c>
      <c r="D1889" s="908" t="s">
        <v>1378</v>
      </c>
      <c r="E1889" s="908">
        <v>41947</v>
      </c>
      <c r="F1889" s="909" t="s">
        <v>512</v>
      </c>
      <c r="G1889" s="930" t="s">
        <v>759</v>
      </c>
      <c r="H1889" s="913" t="s">
        <v>1371</v>
      </c>
      <c r="I1889" s="249">
        <v>300</v>
      </c>
      <c r="J1889" s="249">
        <v>5757.8589552525054</v>
      </c>
      <c r="K1889" s="910">
        <f t="shared" si="456"/>
        <v>1727358</v>
      </c>
      <c r="L1889" s="890" t="s">
        <v>169</v>
      </c>
      <c r="M1889" s="929" t="s">
        <v>167</v>
      </c>
      <c r="N1889" s="52" t="str">
        <f>IF(AND('331-CT'!$E$7=TH!H1889,OR(L1889="331",M1889="331")),"331",IF(AND(OR(L1889="131",M1889="131"),H1889='131-CT'!$E$7),"131",""))</f>
        <v/>
      </c>
      <c r="O1889" s="89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8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52"/>
        <v>11</v>
      </c>
      <c r="C1890" s="48">
        <f t="shared" si="455"/>
        <v>41947</v>
      </c>
      <c r="D1890" s="908" t="s">
        <v>1378</v>
      </c>
      <c r="E1890" s="908">
        <v>41947</v>
      </c>
      <c r="F1890" s="909" t="s">
        <v>486</v>
      </c>
      <c r="G1890" s="930" t="s">
        <v>759</v>
      </c>
      <c r="H1890" s="913" t="s">
        <v>1371</v>
      </c>
      <c r="I1890" s="249">
        <v>300</v>
      </c>
      <c r="J1890" s="249">
        <v>7320.7063859639002</v>
      </c>
      <c r="K1890" s="910">
        <f t="shared" si="456"/>
        <v>2196212</v>
      </c>
      <c r="L1890" s="890" t="s">
        <v>169</v>
      </c>
      <c r="M1890" s="929" t="s">
        <v>167</v>
      </c>
      <c r="N1890" s="52" t="str">
        <f>IF(AND('331-CT'!$E$7=TH!H1890,OR(L1890="331",M1890="331")),"331",IF(AND(OR(L1890="131",M1890="131"),H1890='131-CT'!$E$7),"131",""))</f>
        <v/>
      </c>
      <c r="O1890" s="89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8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52"/>
        <v>11</v>
      </c>
      <c r="C1891" s="48">
        <f t="shared" si="455"/>
        <v>41947</v>
      </c>
      <c r="D1891" s="908" t="s">
        <v>1378</v>
      </c>
      <c r="E1891" s="908">
        <v>41947</v>
      </c>
      <c r="F1891" s="909" t="s">
        <v>760</v>
      </c>
      <c r="G1891" s="930" t="s">
        <v>761</v>
      </c>
      <c r="H1891" s="913" t="s">
        <v>1371</v>
      </c>
      <c r="I1891" s="249">
        <v>224</v>
      </c>
      <c r="J1891" s="249">
        <v>19165.444808197626</v>
      </c>
      <c r="K1891" s="910">
        <f t="shared" si="456"/>
        <v>4293060</v>
      </c>
      <c r="L1891" s="890" t="s">
        <v>169</v>
      </c>
      <c r="M1891" s="929" t="s">
        <v>167</v>
      </c>
      <c r="N1891" s="52" t="str">
        <f>IF(AND('331-CT'!$E$7=TH!H1891,OR(L1891="331",M1891="331")),"331",IF(AND(OR(L1891="131",M1891="131"),H1891='131-CT'!$E$7),"131",""))</f>
        <v/>
      </c>
      <c r="O1891" s="89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8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52"/>
        <v>11</v>
      </c>
      <c r="C1892" s="48">
        <f t="shared" si="455"/>
        <v>41947</v>
      </c>
      <c r="D1892" s="908" t="s">
        <v>1378</v>
      </c>
      <c r="E1892" s="908">
        <v>41947</v>
      </c>
      <c r="F1892" s="909" t="s">
        <v>746</v>
      </c>
      <c r="G1892" s="930" t="s">
        <v>761</v>
      </c>
      <c r="H1892" s="913" t="s">
        <v>1371</v>
      </c>
      <c r="I1892" s="249">
        <v>448</v>
      </c>
      <c r="J1892" s="249">
        <v>1233.8269189826799</v>
      </c>
      <c r="K1892" s="910">
        <f t="shared" si="456"/>
        <v>552754</v>
      </c>
      <c r="L1892" s="890" t="s">
        <v>169</v>
      </c>
      <c r="M1892" s="929" t="s">
        <v>167</v>
      </c>
      <c r="N1892" s="52" t="str">
        <f>IF(AND('331-CT'!$E$7=TH!H1892,OR(L1892="331",M1892="331")),"331",IF(AND(OR(L1892="131",M1892="131"),H1892='131-CT'!$E$7),"131",""))</f>
        <v/>
      </c>
      <c r="O1892" s="89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8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52"/>
        <v>11</v>
      </c>
      <c r="C1893" s="48">
        <f t="shared" si="455"/>
        <v>41947</v>
      </c>
      <c r="D1893" s="908" t="s">
        <v>1378</v>
      </c>
      <c r="E1893" s="908">
        <v>41947</v>
      </c>
      <c r="F1893" s="909" t="s">
        <v>466</v>
      </c>
      <c r="G1893" s="930" t="s">
        <v>762</v>
      </c>
      <c r="H1893" s="913" t="s">
        <v>1371</v>
      </c>
      <c r="I1893" s="249">
        <v>1529</v>
      </c>
      <c r="J1893" s="249">
        <v>4277.2666524732904</v>
      </c>
      <c r="K1893" s="910">
        <f t="shared" si="456"/>
        <v>6539941</v>
      </c>
      <c r="L1893" s="890" t="s">
        <v>169</v>
      </c>
      <c r="M1893" s="929" t="s">
        <v>167</v>
      </c>
      <c r="N1893" s="52" t="str">
        <f>IF(AND('331-CT'!$E$7=TH!H1893,OR(L1893="331",M1893="331")),"331",IF(AND(OR(L1893="131",M1893="131"),H1893='131-CT'!$E$7),"131",""))</f>
        <v/>
      </c>
      <c r="O1893" s="89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8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52"/>
        <v>11</v>
      </c>
      <c r="C1894" s="48">
        <f t="shared" si="455"/>
        <v>41948</v>
      </c>
      <c r="D1894" s="908" t="s">
        <v>1378</v>
      </c>
      <c r="E1894" s="908">
        <v>41948</v>
      </c>
      <c r="F1894" s="909" t="s">
        <v>583</v>
      </c>
      <c r="G1894" s="930" t="s">
        <v>763</v>
      </c>
      <c r="H1894" s="913" t="s">
        <v>1371</v>
      </c>
      <c r="I1894" s="249">
        <v>11</v>
      </c>
      <c r="J1894" s="249">
        <v>14230.137132266907</v>
      </c>
      <c r="K1894" s="910">
        <f t="shared" si="456"/>
        <v>156532</v>
      </c>
      <c r="L1894" s="890" t="s">
        <v>169</v>
      </c>
      <c r="M1894" s="929" t="s">
        <v>167</v>
      </c>
      <c r="N1894" s="52" t="str">
        <f>IF(AND('331-CT'!$E$7=TH!H1894,OR(L1894="331",M1894="331")),"331",IF(AND(OR(L1894="131",M1894="131"),H1894='131-CT'!$E$7),"131",""))</f>
        <v/>
      </c>
      <c r="O1894" s="89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8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ref="B1895:B1958" si="457">IF(C1895&lt;&gt;"",MONTH(C1895),"")</f>
        <v>11</v>
      </c>
      <c r="C1895" s="48">
        <f t="shared" si="455"/>
        <v>41948</v>
      </c>
      <c r="D1895" s="908" t="s">
        <v>1378</v>
      </c>
      <c r="E1895" s="908">
        <v>41948</v>
      </c>
      <c r="F1895" s="909" t="s">
        <v>707</v>
      </c>
      <c r="G1895" s="930" t="s">
        <v>763</v>
      </c>
      <c r="H1895" s="913" t="s">
        <v>1371</v>
      </c>
      <c r="I1895" s="249">
        <v>126</v>
      </c>
      <c r="J1895" s="249">
        <v>10610.911503251047</v>
      </c>
      <c r="K1895" s="910">
        <f t="shared" si="456"/>
        <v>1336975</v>
      </c>
      <c r="L1895" s="890" t="s">
        <v>169</v>
      </c>
      <c r="M1895" s="929" t="s">
        <v>167</v>
      </c>
      <c r="N1895" s="52" t="str">
        <f>IF(AND('331-CT'!$E$7=TH!H1895,OR(L1895="331",M1895="331")),"331",IF(AND(OR(L1895="131",M1895="131"),H1895='131-CT'!$E$7),"131",""))</f>
        <v/>
      </c>
      <c r="O1895" s="89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8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57"/>
        <v>11</v>
      </c>
      <c r="C1896" s="48">
        <f t="shared" si="455"/>
        <v>41948</v>
      </c>
      <c r="D1896" s="908" t="s">
        <v>1378</v>
      </c>
      <c r="E1896" s="908">
        <v>41948</v>
      </c>
      <c r="F1896" s="909" t="s">
        <v>606</v>
      </c>
      <c r="G1896" s="930" t="s">
        <v>763</v>
      </c>
      <c r="H1896" s="913" t="s">
        <v>1371</v>
      </c>
      <c r="I1896" s="249">
        <v>150</v>
      </c>
      <c r="J1896" s="249">
        <v>9788.3602239292595</v>
      </c>
      <c r="K1896" s="910">
        <f t="shared" si="456"/>
        <v>1468254</v>
      </c>
      <c r="L1896" s="890" t="s">
        <v>169</v>
      </c>
      <c r="M1896" s="929" t="s">
        <v>167</v>
      </c>
      <c r="N1896" s="52" t="str">
        <f>IF(AND('331-CT'!$E$7=TH!H1896,OR(L1896="331",M1896="331")),"331",IF(AND(OR(L1896="131",M1896="131"),H1896='131-CT'!$E$7),"131",""))</f>
        <v/>
      </c>
      <c r="O1896" s="89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8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57"/>
        <v>11</v>
      </c>
      <c r="C1897" s="48">
        <f t="shared" si="455"/>
        <v>41948</v>
      </c>
      <c r="D1897" s="908" t="s">
        <v>1378</v>
      </c>
      <c r="E1897" s="908">
        <v>41948</v>
      </c>
      <c r="F1897" s="909" t="s">
        <v>707</v>
      </c>
      <c r="G1897" s="930" t="s">
        <v>763</v>
      </c>
      <c r="H1897" s="913" t="s">
        <v>1371</v>
      </c>
      <c r="I1897" s="249">
        <v>221</v>
      </c>
      <c r="J1897" s="249">
        <v>10610.911503251047</v>
      </c>
      <c r="K1897" s="910">
        <f t="shared" si="456"/>
        <v>2345011</v>
      </c>
      <c r="L1897" s="890" t="s">
        <v>169</v>
      </c>
      <c r="M1897" s="929" t="s">
        <v>167</v>
      </c>
      <c r="N1897" s="52" t="str">
        <f>IF(AND('331-CT'!$E$7=TH!H1897,OR(L1897="331",M1897="331")),"331",IF(AND(OR(L1897="131",M1897="131"),H1897='131-CT'!$E$7),"131",""))</f>
        <v/>
      </c>
      <c r="O1897" s="89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8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57"/>
        <v>11</v>
      </c>
      <c r="C1898" s="48">
        <f t="shared" si="455"/>
        <v>41948</v>
      </c>
      <c r="D1898" s="908" t="s">
        <v>1378</v>
      </c>
      <c r="E1898" s="908">
        <v>41948</v>
      </c>
      <c r="F1898" s="909" t="s">
        <v>583</v>
      </c>
      <c r="G1898" s="930" t="s">
        <v>763</v>
      </c>
      <c r="H1898" s="913" t="s">
        <v>1371</v>
      </c>
      <c r="I1898" s="249">
        <v>25</v>
      </c>
      <c r="J1898" s="249">
        <v>14230.137132266907</v>
      </c>
      <c r="K1898" s="910">
        <f t="shared" si="456"/>
        <v>355753</v>
      </c>
      <c r="L1898" s="890" t="s">
        <v>169</v>
      </c>
      <c r="M1898" s="929" t="s">
        <v>167</v>
      </c>
      <c r="N1898" s="52" t="str">
        <f>IF(AND('331-CT'!$E$7=TH!H1898,OR(L1898="331",M1898="331")),"331",IF(AND(OR(L1898="131",M1898="131"),H1898='131-CT'!$E$7),"131",""))</f>
        <v/>
      </c>
      <c r="O1898" s="89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8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57"/>
        <v>11</v>
      </c>
      <c r="C1899" s="48">
        <f t="shared" si="455"/>
        <v>41948</v>
      </c>
      <c r="D1899" s="908" t="s">
        <v>1378</v>
      </c>
      <c r="E1899" s="908">
        <v>41948</v>
      </c>
      <c r="F1899" s="909" t="s">
        <v>608</v>
      </c>
      <c r="G1899" s="930" t="s">
        <v>763</v>
      </c>
      <c r="H1899" s="913" t="s">
        <v>1371</v>
      </c>
      <c r="I1899" s="249">
        <v>55</v>
      </c>
      <c r="J1899" s="249">
        <v>12667.289701555514</v>
      </c>
      <c r="K1899" s="910">
        <f t="shared" si="456"/>
        <v>696701</v>
      </c>
      <c r="L1899" s="890" t="s">
        <v>169</v>
      </c>
      <c r="M1899" s="929" t="s">
        <v>167</v>
      </c>
      <c r="N1899" s="52" t="str">
        <f>IF(AND('331-CT'!$E$7=TH!H1899,OR(L1899="331",M1899="331")),"331",IF(AND(OR(L1899="131",M1899="131"),H1899='131-CT'!$E$7),"131",""))</f>
        <v/>
      </c>
      <c r="O1899" s="89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8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57"/>
        <v>11</v>
      </c>
      <c r="C1900" s="48">
        <f t="shared" si="455"/>
        <v>41948</v>
      </c>
      <c r="D1900" s="908" t="s">
        <v>1378</v>
      </c>
      <c r="E1900" s="908">
        <v>41948</v>
      </c>
      <c r="F1900" s="909" t="s">
        <v>707</v>
      </c>
      <c r="G1900" s="930" t="s">
        <v>763</v>
      </c>
      <c r="H1900" s="913" t="s">
        <v>1371</v>
      </c>
      <c r="I1900" s="249">
        <v>70</v>
      </c>
      <c r="J1900" s="249">
        <v>10610.911503251047</v>
      </c>
      <c r="K1900" s="910">
        <f t="shared" si="456"/>
        <v>742764</v>
      </c>
      <c r="L1900" s="890" t="s">
        <v>169</v>
      </c>
      <c r="M1900" s="929" t="s">
        <v>167</v>
      </c>
      <c r="N1900" s="52" t="str">
        <f>IF(AND('331-CT'!$E$7=TH!H1900,OR(L1900="331",M1900="331")),"331",IF(AND(OR(L1900="131",M1900="131"),H1900='131-CT'!$E$7),"131",""))</f>
        <v/>
      </c>
      <c r="O1900" s="89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8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57"/>
        <v>11</v>
      </c>
      <c r="C1901" s="48">
        <f t="shared" si="455"/>
        <v>41948</v>
      </c>
      <c r="D1901" s="908" t="s">
        <v>1378</v>
      </c>
      <c r="E1901" s="908">
        <v>41948</v>
      </c>
      <c r="F1901" s="909" t="s">
        <v>708</v>
      </c>
      <c r="G1901" s="930" t="s">
        <v>763</v>
      </c>
      <c r="H1901" s="913" t="s">
        <v>1371</v>
      </c>
      <c r="I1901" s="249">
        <v>101</v>
      </c>
      <c r="J1901" s="249">
        <v>9294.8294563361869</v>
      </c>
      <c r="K1901" s="910">
        <f t="shared" si="456"/>
        <v>938778</v>
      </c>
      <c r="L1901" s="890" t="s">
        <v>169</v>
      </c>
      <c r="M1901" s="929" t="s">
        <v>167</v>
      </c>
      <c r="N1901" s="52" t="str">
        <f>IF(AND('331-CT'!$E$7=TH!H1901,OR(L1901="331",M1901="331")),"331",IF(AND(OR(L1901="131",M1901="131"),H1901='131-CT'!$E$7),"131",""))</f>
        <v/>
      </c>
      <c r="O1901" s="89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8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57"/>
        <v>11</v>
      </c>
      <c r="C1902" s="48">
        <f t="shared" si="455"/>
        <v>41948</v>
      </c>
      <c r="D1902" s="908" t="s">
        <v>1378</v>
      </c>
      <c r="E1902" s="908">
        <v>41948</v>
      </c>
      <c r="F1902" s="909" t="s">
        <v>789</v>
      </c>
      <c r="G1902" s="930" t="s">
        <v>763</v>
      </c>
      <c r="H1902" s="913" t="s">
        <v>1371</v>
      </c>
      <c r="I1902" s="249">
        <v>3030</v>
      </c>
      <c r="J1902" s="249">
        <v>8061.0025373535082</v>
      </c>
      <c r="K1902" s="910">
        <f t="shared" si="456"/>
        <v>24424838</v>
      </c>
      <c r="L1902" s="890" t="s">
        <v>169</v>
      </c>
      <c r="M1902" s="929" t="s">
        <v>167</v>
      </c>
      <c r="N1902" s="52" t="str">
        <f>IF(AND('331-CT'!$E$7=TH!H1902,OR(L1902="331",M1902="331")),"331",IF(AND(OR(L1902="131",M1902="131"),H1902='131-CT'!$E$7),"131",""))</f>
        <v/>
      </c>
      <c r="O1902" s="89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8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57"/>
        <v>11</v>
      </c>
      <c r="C1903" s="48">
        <f t="shared" si="455"/>
        <v>41950</v>
      </c>
      <c r="D1903" s="908" t="s">
        <v>1378</v>
      </c>
      <c r="E1903" s="908">
        <v>41950</v>
      </c>
      <c r="F1903" s="909" t="s">
        <v>764</v>
      </c>
      <c r="G1903" s="930" t="s">
        <v>765</v>
      </c>
      <c r="H1903" s="913" t="s">
        <v>1371</v>
      </c>
      <c r="I1903" s="249">
        <v>100</v>
      </c>
      <c r="J1903" s="249">
        <v>1974.1230703722877</v>
      </c>
      <c r="K1903" s="910">
        <f t="shared" si="456"/>
        <v>197412</v>
      </c>
      <c r="L1903" s="890" t="s">
        <v>169</v>
      </c>
      <c r="M1903" s="929" t="s">
        <v>167</v>
      </c>
      <c r="N1903" s="52" t="str">
        <f>IF(AND('331-CT'!$E$7=TH!H1903,OR(L1903="331",M1903="331")),"331",IF(AND(OR(L1903="131",M1903="131"),H1903='131-CT'!$E$7),"131",""))</f>
        <v/>
      </c>
      <c r="O1903" s="89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8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57"/>
        <v>11</v>
      </c>
      <c r="C1904" s="48">
        <f t="shared" si="455"/>
        <v>41950</v>
      </c>
      <c r="D1904" s="908" t="s">
        <v>1378</v>
      </c>
      <c r="E1904" s="908">
        <v>41950</v>
      </c>
      <c r="F1904" s="909" t="s">
        <v>766</v>
      </c>
      <c r="G1904" s="930" t="s">
        <v>765</v>
      </c>
      <c r="H1904" s="913" t="s">
        <v>1371</v>
      </c>
      <c r="I1904" s="249">
        <v>100</v>
      </c>
      <c r="J1904" s="249">
        <v>13078.565341216407</v>
      </c>
      <c r="K1904" s="910">
        <f t="shared" si="456"/>
        <v>1307857</v>
      </c>
      <c r="L1904" s="890" t="s">
        <v>169</v>
      </c>
      <c r="M1904" s="929" t="s">
        <v>167</v>
      </c>
      <c r="N1904" s="52" t="str">
        <f>IF(AND('331-CT'!$E$7=TH!H1904,OR(L1904="331",M1904="331")),"331",IF(AND(OR(L1904="131",M1904="131"),H1904='131-CT'!$E$7),"131",""))</f>
        <v/>
      </c>
      <c r="O1904" s="89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8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57"/>
        <v>11</v>
      </c>
      <c r="C1905" s="48">
        <f t="shared" si="455"/>
        <v>41950</v>
      </c>
      <c r="D1905" s="908" t="s">
        <v>1378</v>
      </c>
      <c r="E1905" s="908">
        <v>41950</v>
      </c>
      <c r="F1905" s="909" t="s">
        <v>767</v>
      </c>
      <c r="G1905" s="930" t="s">
        <v>765</v>
      </c>
      <c r="H1905" s="913" t="s">
        <v>1371</v>
      </c>
      <c r="I1905" s="249">
        <v>209</v>
      </c>
      <c r="J1905" s="249">
        <v>6004.6243390490417</v>
      </c>
      <c r="K1905" s="910">
        <f t="shared" si="456"/>
        <v>1254966</v>
      </c>
      <c r="L1905" s="890" t="s">
        <v>169</v>
      </c>
      <c r="M1905" s="929" t="s">
        <v>167</v>
      </c>
      <c r="N1905" s="52" t="str">
        <f>IF(AND('331-CT'!$E$7=TH!H1905,OR(L1905="331",M1905="331")),"331",IF(AND(OR(L1905="131",M1905="131"),H1905='131-CT'!$E$7),"131",""))</f>
        <v/>
      </c>
      <c r="O1905" s="89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8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57"/>
        <v>11</v>
      </c>
      <c r="C1906" s="48">
        <f t="shared" si="455"/>
        <v>41950</v>
      </c>
      <c r="D1906" s="908" t="s">
        <v>1378</v>
      </c>
      <c r="E1906" s="908">
        <v>41950</v>
      </c>
      <c r="F1906" s="909" t="s">
        <v>593</v>
      </c>
      <c r="G1906" s="930" t="s">
        <v>768</v>
      </c>
      <c r="H1906" s="913" t="s">
        <v>1371</v>
      </c>
      <c r="I1906" s="249">
        <v>206</v>
      </c>
      <c r="J1906" s="249">
        <v>24594.283251721419</v>
      </c>
      <c r="K1906" s="910">
        <f t="shared" si="456"/>
        <v>5066422</v>
      </c>
      <c r="L1906" s="890" t="s">
        <v>169</v>
      </c>
      <c r="M1906" s="929" t="s">
        <v>167</v>
      </c>
      <c r="N1906" s="52" t="str">
        <f>IF(AND('331-CT'!$E$7=TH!H1906,OR(L1906="331",M1906="331")),"331",IF(AND(OR(L1906="131",M1906="131"),H1906='131-CT'!$E$7),"131",""))</f>
        <v/>
      </c>
      <c r="O1906" s="89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8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57"/>
        <v>11</v>
      </c>
      <c r="C1907" s="48">
        <f t="shared" si="455"/>
        <v>41955</v>
      </c>
      <c r="D1907" s="908" t="s">
        <v>1378</v>
      </c>
      <c r="E1907" s="908">
        <v>41955</v>
      </c>
      <c r="F1907" s="909" t="s">
        <v>436</v>
      </c>
      <c r="G1907" s="930" t="s">
        <v>769</v>
      </c>
      <c r="H1907" s="913" t="s">
        <v>1371</v>
      </c>
      <c r="I1907" s="249">
        <v>504</v>
      </c>
      <c r="J1907" s="249">
        <v>7814.2371535569719</v>
      </c>
      <c r="K1907" s="910">
        <f t="shared" si="456"/>
        <v>3938376</v>
      </c>
      <c r="L1907" s="890" t="s">
        <v>169</v>
      </c>
      <c r="M1907" s="929" t="s">
        <v>167</v>
      </c>
      <c r="N1907" s="52" t="str">
        <f>IF(AND('331-CT'!$E$7=TH!H1907,OR(L1907="331",M1907="331")),"331",IF(AND(OR(L1907="131",M1907="131"),H1907='131-CT'!$E$7),"131",""))</f>
        <v/>
      </c>
      <c r="O1907" s="89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8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57"/>
        <v>11</v>
      </c>
      <c r="C1908" s="48">
        <f t="shared" si="455"/>
        <v>41955</v>
      </c>
      <c r="D1908" s="908" t="s">
        <v>1378</v>
      </c>
      <c r="E1908" s="908">
        <v>41955</v>
      </c>
      <c r="F1908" s="909" t="s">
        <v>436</v>
      </c>
      <c r="G1908" s="930" t="s">
        <v>769</v>
      </c>
      <c r="H1908" s="913" t="s">
        <v>1371</v>
      </c>
      <c r="I1908" s="249">
        <v>318</v>
      </c>
      <c r="J1908" s="249">
        <v>7814.2371535569719</v>
      </c>
      <c r="K1908" s="910">
        <f t="shared" si="456"/>
        <v>2484927</v>
      </c>
      <c r="L1908" s="890" t="s">
        <v>169</v>
      </c>
      <c r="M1908" s="929" t="s">
        <v>167</v>
      </c>
      <c r="N1908" s="52" t="str">
        <f>IF(AND('331-CT'!$E$7=TH!H1908,OR(L1908="331",M1908="331")),"331",IF(AND(OR(L1908="131",M1908="131"),H1908='131-CT'!$E$7),"131",""))</f>
        <v/>
      </c>
      <c r="O1908" s="89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8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57"/>
        <v>11</v>
      </c>
      <c r="C1909" s="48">
        <f t="shared" si="455"/>
        <v>41955</v>
      </c>
      <c r="D1909" s="908" t="s">
        <v>1378</v>
      </c>
      <c r="E1909" s="908">
        <v>41955</v>
      </c>
      <c r="F1909" s="909" t="s">
        <v>771</v>
      </c>
      <c r="G1909" s="930" t="s">
        <v>770</v>
      </c>
      <c r="H1909" s="913" t="s">
        <v>1371</v>
      </c>
      <c r="I1909" s="249">
        <v>347</v>
      </c>
      <c r="J1909" s="249">
        <v>19000.93455233327</v>
      </c>
      <c r="K1909" s="910">
        <f t="shared" si="456"/>
        <v>6593324</v>
      </c>
      <c r="L1909" s="890" t="s">
        <v>169</v>
      </c>
      <c r="M1909" s="929" t="s">
        <v>167</v>
      </c>
      <c r="N1909" s="52" t="str">
        <f>IF(AND('331-CT'!$E$7=TH!H1909,OR(L1909="331",M1909="331")),"331",IF(AND(OR(L1909="131",M1909="131"),H1909='131-CT'!$E$7),"131",""))</f>
        <v/>
      </c>
      <c r="O1909" s="89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8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57"/>
        <v>11</v>
      </c>
      <c r="C1910" s="48">
        <f t="shared" ref="C1910:C1973" si="458">E1910</f>
        <v>41955</v>
      </c>
      <c r="D1910" s="908" t="s">
        <v>1378</v>
      </c>
      <c r="E1910" s="908">
        <v>41955</v>
      </c>
      <c r="F1910" s="909" t="s">
        <v>772</v>
      </c>
      <c r="G1910" s="930" t="s">
        <v>770</v>
      </c>
      <c r="H1910" s="913" t="s">
        <v>1371</v>
      </c>
      <c r="I1910" s="249">
        <v>593</v>
      </c>
      <c r="J1910" s="249">
        <v>25170.069147246668</v>
      </c>
      <c r="K1910" s="910">
        <f t="shared" ref="K1910:K1973" si="459">ROUND(I1910*J1910,0)</f>
        <v>14925851</v>
      </c>
      <c r="L1910" s="890" t="s">
        <v>169</v>
      </c>
      <c r="M1910" s="929" t="s">
        <v>167</v>
      </c>
      <c r="N1910" s="52" t="str">
        <f>IF(AND('331-CT'!$E$7=TH!H1910,OR(L1910="331",M1910="331")),"331",IF(AND(OR(L1910="131",M1910="131"),H1910='131-CT'!$E$7),"131",""))</f>
        <v/>
      </c>
      <c r="O1910" s="89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8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57"/>
        <v>11</v>
      </c>
      <c r="C1911" s="48">
        <f t="shared" si="458"/>
        <v>41955</v>
      </c>
      <c r="D1911" s="908" t="s">
        <v>1378</v>
      </c>
      <c r="E1911" s="908">
        <v>41955</v>
      </c>
      <c r="F1911" s="909" t="s">
        <v>746</v>
      </c>
      <c r="G1911" s="930" t="s">
        <v>770</v>
      </c>
      <c r="H1911" s="913" t="s">
        <v>1371</v>
      </c>
      <c r="I1911" s="249">
        <v>1880</v>
      </c>
      <c r="J1911" s="249">
        <v>1233.8269189826799</v>
      </c>
      <c r="K1911" s="910">
        <f t="shared" si="459"/>
        <v>2319595</v>
      </c>
      <c r="L1911" s="890" t="s">
        <v>169</v>
      </c>
      <c r="M1911" s="929" t="s">
        <v>167</v>
      </c>
      <c r="N1911" s="52" t="str">
        <f>IF(AND('331-CT'!$E$7=TH!H1911,OR(L1911="331",M1911="331")),"331",IF(AND(OR(L1911="131",M1911="131"),H1911='131-CT'!$E$7),"131",""))</f>
        <v/>
      </c>
      <c r="O1911" s="89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8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57"/>
        <v>11</v>
      </c>
      <c r="C1912" s="48">
        <f t="shared" si="458"/>
        <v>41956</v>
      </c>
      <c r="D1912" s="908" t="s">
        <v>1378</v>
      </c>
      <c r="E1912" s="908">
        <v>41956</v>
      </c>
      <c r="F1912" s="909" t="s">
        <v>670</v>
      </c>
      <c r="G1912" s="930" t="s">
        <v>773</v>
      </c>
      <c r="H1912" s="913" t="s">
        <v>1371</v>
      </c>
      <c r="I1912" s="249">
        <v>1010</v>
      </c>
      <c r="J1912" s="249">
        <v>7402.9615138960789</v>
      </c>
      <c r="K1912" s="910">
        <f t="shared" si="459"/>
        <v>7476991</v>
      </c>
      <c r="L1912" s="890" t="s">
        <v>169</v>
      </c>
      <c r="M1912" s="929" t="s">
        <v>167</v>
      </c>
      <c r="N1912" s="52" t="str">
        <f>IF(AND('331-CT'!$E$7=TH!H1912,OR(L1912="331",M1912="331")),"331",IF(AND(OR(L1912="131",M1912="131"),H1912='131-CT'!$E$7),"131",""))</f>
        <v/>
      </c>
      <c r="O1912" s="89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8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57"/>
        <v>11</v>
      </c>
      <c r="C1913" s="48">
        <f t="shared" si="458"/>
        <v>41958</v>
      </c>
      <c r="D1913" s="908" t="s">
        <v>1378</v>
      </c>
      <c r="E1913" s="908">
        <v>41958</v>
      </c>
      <c r="F1913" s="909" t="s">
        <v>515</v>
      </c>
      <c r="G1913" s="930" t="s">
        <v>774</v>
      </c>
      <c r="H1913" s="913" t="s">
        <v>1371</v>
      </c>
      <c r="I1913" s="249">
        <v>1012</v>
      </c>
      <c r="J1913" s="249">
        <v>7073.9410021673648</v>
      </c>
      <c r="K1913" s="910">
        <f t="shared" si="459"/>
        <v>7158828</v>
      </c>
      <c r="L1913" s="890" t="s">
        <v>169</v>
      </c>
      <c r="M1913" s="929" t="s">
        <v>167</v>
      </c>
      <c r="N1913" s="52" t="str">
        <f>IF(AND('331-CT'!$E$7=TH!H1913,OR(L1913="331",M1913="331")),"331",IF(AND(OR(L1913="131",M1913="131"),H1913='131-CT'!$E$7),"131",""))</f>
        <v/>
      </c>
      <c r="O1913" s="89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8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57"/>
        <v>11</v>
      </c>
      <c r="C1914" s="48">
        <f t="shared" si="458"/>
        <v>41960</v>
      </c>
      <c r="D1914" s="908" t="s">
        <v>1378</v>
      </c>
      <c r="E1914" s="908">
        <v>41960</v>
      </c>
      <c r="F1914" s="909" t="s">
        <v>775</v>
      </c>
      <c r="G1914" s="930" t="s">
        <v>776</v>
      </c>
      <c r="H1914" s="913" t="s">
        <v>1371</v>
      </c>
      <c r="I1914" s="249">
        <v>1990</v>
      </c>
      <c r="J1914" s="249">
        <v>7402.9615138960789</v>
      </c>
      <c r="K1914" s="910">
        <f t="shared" si="459"/>
        <v>14731893</v>
      </c>
      <c r="L1914" s="890" t="s">
        <v>169</v>
      </c>
      <c r="M1914" s="929" t="s">
        <v>167</v>
      </c>
      <c r="N1914" s="52" t="str">
        <f>IF(AND('331-CT'!$E$7=TH!H1914,OR(L1914="331",M1914="331")),"331",IF(AND(OR(L1914="131",M1914="131"),H1914='131-CT'!$E$7),"131",""))</f>
        <v/>
      </c>
      <c r="O1914" s="89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8"/>
    </row>
    <row r="1915" spans="1:28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57"/>
        <v>11</v>
      </c>
      <c r="C1915" s="48">
        <f t="shared" si="458"/>
        <v>41962</v>
      </c>
      <c r="D1915" s="908" t="s">
        <v>1378</v>
      </c>
      <c r="E1915" s="908">
        <v>41962</v>
      </c>
      <c r="F1915" s="909" t="s">
        <v>503</v>
      </c>
      <c r="G1915" s="930" t="s">
        <v>778</v>
      </c>
      <c r="H1915" s="913" t="s">
        <v>1371</v>
      </c>
      <c r="I1915" s="249">
        <v>609</v>
      </c>
      <c r="J1915" s="249">
        <v>7402.9615138960789</v>
      </c>
      <c r="K1915" s="910">
        <f t="shared" si="459"/>
        <v>4508404</v>
      </c>
      <c r="L1915" s="890" t="s">
        <v>169</v>
      </c>
      <c r="M1915" s="929" t="s">
        <v>167</v>
      </c>
      <c r="N1915" s="52" t="str">
        <f>IF(AND('331-CT'!$E$7=TH!H1915,OR(L1915="331",M1915="331")),"331",IF(AND(OR(L1915="131",M1915="131"),H1915='131-CT'!$E$7),"131",""))</f>
        <v/>
      </c>
      <c r="O1915" s="89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8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57"/>
        <v>11</v>
      </c>
      <c r="C1916" s="48">
        <f t="shared" si="458"/>
        <v>41962</v>
      </c>
      <c r="D1916" s="908" t="s">
        <v>1378</v>
      </c>
      <c r="E1916" s="908">
        <v>41962</v>
      </c>
      <c r="F1916" s="909" t="s">
        <v>504</v>
      </c>
      <c r="G1916" s="930" t="s">
        <v>778</v>
      </c>
      <c r="H1916" s="913" t="s">
        <v>1371</v>
      </c>
      <c r="I1916" s="249">
        <v>213</v>
      </c>
      <c r="J1916" s="249">
        <v>7814.2371535569719</v>
      </c>
      <c r="K1916" s="910">
        <f t="shared" si="459"/>
        <v>1664433</v>
      </c>
      <c r="L1916" s="890" t="s">
        <v>169</v>
      </c>
      <c r="M1916" s="929" t="s">
        <v>167</v>
      </c>
      <c r="N1916" s="52" t="str">
        <f>IF(AND('331-CT'!$E$7=TH!H1916,OR(L1916="331",M1916="331")),"331",IF(AND(OR(L1916="131",M1916="131"),H1916='131-CT'!$E$7),"131",""))</f>
        <v/>
      </c>
      <c r="O1916" s="89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8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57"/>
        <v>11</v>
      </c>
      <c r="C1917" s="48">
        <f t="shared" si="458"/>
        <v>41962</v>
      </c>
      <c r="D1917" s="908" t="s">
        <v>1378</v>
      </c>
      <c r="E1917" s="908">
        <v>41962</v>
      </c>
      <c r="F1917" s="909" t="s">
        <v>779</v>
      </c>
      <c r="G1917" s="930" t="s">
        <v>778</v>
      </c>
      <c r="H1917" s="913" t="s">
        <v>1371</v>
      </c>
      <c r="I1917" s="249">
        <v>796</v>
      </c>
      <c r="J1917" s="249">
        <v>6991.685874235186</v>
      </c>
      <c r="K1917" s="910">
        <f t="shared" si="459"/>
        <v>5565382</v>
      </c>
      <c r="L1917" s="890" t="s">
        <v>169</v>
      </c>
      <c r="M1917" s="929" t="s">
        <v>167</v>
      </c>
      <c r="N1917" s="52" t="str">
        <f>IF(AND('331-CT'!$E$7=TH!H1917,OR(L1917="331",M1917="331")),"331",IF(AND(OR(L1917="131",M1917="131"),H1917='131-CT'!$E$7),"131",""))</f>
        <v/>
      </c>
      <c r="O1917" s="89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8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57"/>
        <v>11</v>
      </c>
      <c r="C1918" s="48">
        <f t="shared" si="458"/>
        <v>41962</v>
      </c>
      <c r="D1918" s="908" t="s">
        <v>1378</v>
      </c>
      <c r="E1918" s="908">
        <v>41962</v>
      </c>
      <c r="F1918" s="909" t="s">
        <v>406</v>
      </c>
      <c r="G1918" s="930" t="s">
        <v>778</v>
      </c>
      <c r="H1918" s="913" t="s">
        <v>1371</v>
      </c>
      <c r="I1918" s="249">
        <v>402</v>
      </c>
      <c r="J1918" s="249">
        <v>8143.2576652856869</v>
      </c>
      <c r="K1918" s="910">
        <f t="shared" si="459"/>
        <v>3273590</v>
      </c>
      <c r="L1918" s="890" t="s">
        <v>169</v>
      </c>
      <c r="M1918" s="929" t="s">
        <v>167</v>
      </c>
      <c r="N1918" s="52" t="str">
        <f>IF(AND('331-CT'!$E$7=TH!H1918,OR(L1918="331",M1918="331")),"331",IF(AND(OR(L1918="131",M1918="131"),H1918='131-CT'!$E$7),"131",""))</f>
        <v/>
      </c>
      <c r="O1918" s="89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8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57"/>
        <v>11</v>
      </c>
      <c r="C1919" s="48">
        <f t="shared" si="458"/>
        <v>41962</v>
      </c>
      <c r="D1919" s="908" t="s">
        <v>1378</v>
      </c>
      <c r="E1919" s="908">
        <v>41962</v>
      </c>
      <c r="F1919" s="909" t="s">
        <v>780</v>
      </c>
      <c r="G1919" s="930" t="s">
        <v>781</v>
      </c>
      <c r="H1919" s="913" t="s">
        <v>1371</v>
      </c>
      <c r="I1919" s="249">
        <v>975</v>
      </c>
      <c r="J1919" s="249">
        <v>4524.0320362698267</v>
      </c>
      <c r="K1919" s="910">
        <f t="shared" si="459"/>
        <v>4410931</v>
      </c>
      <c r="L1919" s="890" t="s">
        <v>169</v>
      </c>
      <c r="M1919" s="929" t="s">
        <v>167</v>
      </c>
      <c r="N1919" s="52" t="str">
        <f>IF(AND('331-CT'!$E$7=TH!H1919,OR(L1919="331",M1919="331")),"331",IF(AND(OR(L1919="131",M1919="131"),H1919='131-CT'!$E$7),"131",""))</f>
        <v/>
      </c>
      <c r="O1919" s="89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8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57"/>
        <v>11</v>
      </c>
      <c r="C1920" s="48">
        <f t="shared" si="458"/>
        <v>41962</v>
      </c>
      <c r="D1920" s="908" t="s">
        <v>1378</v>
      </c>
      <c r="E1920" s="908">
        <v>41962</v>
      </c>
      <c r="F1920" s="909" t="s">
        <v>783</v>
      </c>
      <c r="G1920" s="930" t="s">
        <v>781</v>
      </c>
      <c r="H1920" s="913" t="s">
        <v>1371</v>
      </c>
      <c r="I1920" s="249">
        <v>1000</v>
      </c>
      <c r="J1920" s="249">
        <v>658.04102345742922</v>
      </c>
      <c r="K1920" s="910">
        <f t="shared" si="459"/>
        <v>658041</v>
      </c>
      <c r="L1920" s="890" t="s">
        <v>169</v>
      </c>
      <c r="M1920" s="929" t="s">
        <v>167</v>
      </c>
      <c r="N1920" s="52" t="str">
        <f>IF(AND('331-CT'!$E$7=TH!H1920,OR(L1920="331",M1920="331")),"331",IF(AND(OR(L1920="131",M1920="131"),H1920='131-CT'!$E$7),"131",""))</f>
        <v/>
      </c>
      <c r="O1920" s="89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8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57"/>
        <v>11</v>
      </c>
      <c r="C1921" s="48">
        <f t="shared" si="458"/>
        <v>41962</v>
      </c>
      <c r="D1921" s="908" t="s">
        <v>1378</v>
      </c>
      <c r="E1921" s="908">
        <v>41962</v>
      </c>
      <c r="F1921" s="909" t="s">
        <v>784</v>
      </c>
      <c r="G1921" s="930" t="s">
        <v>781</v>
      </c>
      <c r="H1921" s="913" t="s">
        <v>1371</v>
      </c>
      <c r="I1921" s="249">
        <v>1000</v>
      </c>
      <c r="J1921" s="249">
        <v>493.53076759307191</v>
      </c>
      <c r="K1921" s="910">
        <f t="shared" si="459"/>
        <v>493531</v>
      </c>
      <c r="L1921" s="890" t="s">
        <v>169</v>
      </c>
      <c r="M1921" s="929" t="s">
        <v>167</v>
      </c>
      <c r="N1921" s="52" t="str">
        <f>IF(AND('331-CT'!$E$7=TH!H1921,OR(L1921="331",M1921="331")),"331",IF(AND(OR(L1921="131",M1921="131"),H1921='131-CT'!$E$7),"131",""))</f>
        <v/>
      </c>
      <c r="O1921" s="89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8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57"/>
        <v>11</v>
      </c>
      <c r="C1922" s="48">
        <f t="shared" si="458"/>
        <v>41962</v>
      </c>
      <c r="D1922" s="908" t="s">
        <v>1378</v>
      </c>
      <c r="E1922" s="908">
        <v>41962</v>
      </c>
      <c r="F1922" s="909" t="s">
        <v>785</v>
      </c>
      <c r="G1922" s="930" t="s">
        <v>781</v>
      </c>
      <c r="H1922" s="913" t="s">
        <v>1371</v>
      </c>
      <c r="I1922" s="249">
        <v>978</v>
      </c>
      <c r="J1922" s="249">
        <v>3372.4602452193249</v>
      </c>
      <c r="K1922" s="910">
        <f t="shared" si="459"/>
        <v>3298266</v>
      </c>
      <c r="L1922" s="890" t="s">
        <v>169</v>
      </c>
      <c r="M1922" s="929" t="s">
        <v>167</v>
      </c>
      <c r="N1922" s="52" t="str">
        <f>IF(AND('331-CT'!$E$7=TH!H1922,OR(L1922="331",M1922="331")),"331",IF(AND(OR(L1922="131",M1922="131"),H1922='131-CT'!$E$7),"131",""))</f>
        <v/>
      </c>
      <c r="O1922" s="89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8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57"/>
        <v>11</v>
      </c>
      <c r="C1923" s="48">
        <f t="shared" si="458"/>
        <v>41962</v>
      </c>
      <c r="D1923" s="908" t="s">
        <v>1378</v>
      </c>
      <c r="E1923" s="908">
        <v>41962</v>
      </c>
      <c r="F1923" s="909" t="s">
        <v>786</v>
      </c>
      <c r="G1923" s="930" t="s">
        <v>781</v>
      </c>
      <c r="H1923" s="913" t="s">
        <v>1371</v>
      </c>
      <c r="I1923" s="249">
        <v>1000</v>
      </c>
      <c r="J1923" s="249">
        <v>575.78589552525068</v>
      </c>
      <c r="K1923" s="910">
        <f t="shared" si="459"/>
        <v>575786</v>
      </c>
      <c r="L1923" s="890" t="s">
        <v>169</v>
      </c>
      <c r="M1923" s="929" t="s">
        <v>167</v>
      </c>
      <c r="N1923" s="52" t="str">
        <f>IF(AND('331-CT'!$E$7=TH!H1923,OR(L1923="331",M1923="331")),"331",IF(AND(OR(L1923="131",M1923="131"),H1923='131-CT'!$E$7),"131",""))</f>
        <v/>
      </c>
      <c r="O1923" s="89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8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57"/>
        <v>11</v>
      </c>
      <c r="C1924" s="48">
        <f t="shared" si="458"/>
        <v>41962</v>
      </c>
      <c r="D1924" s="908" t="s">
        <v>1378</v>
      </c>
      <c r="E1924" s="908">
        <v>41962</v>
      </c>
      <c r="F1924" s="909" t="s">
        <v>787</v>
      </c>
      <c r="G1924" s="930" t="s">
        <v>781</v>
      </c>
      <c r="H1924" s="913" t="s">
        <v>1371</v>
      </c>
      <c r="I1924" s="249">
        <v>1000</v>
      </c>
      <c r="J1924" s="249">
        <v>329.02051172871461</v>
      </c>
      <c r="K1924" s="910">
        <f t="shared" si="459"/>
        <v>329021</v>
      </c>
      <c r="L1924" s="890" t="s">
        <v>169</v>
      </c>
      <c r="M1924" s="929" t="s">
        <v>167</v>
      </c>
      <c r="N1924" s="52" t="str">
        <f>IF(AND('331-CT'!$E$7=TH!H1924,OR(L1924="331",M1924="331")),"331",IF(AND(OR(L1924="131",M1924="131"),H1924='131-CT'!$E$7),"131",""))</f>
        <v/>
      </c>
      <c r="O1924" s="89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8"/>
    </row>
    <row r="1925" spans="1:28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57"/>
        <v>11</v>
      </c>
      <c r="C1925" s="48">
        <f t="shared" si="458"/>
        <v>41963</v>
      </c>
      <c r="D1925" s="908" t="s">
        <v>1378</v>
      </c>
      <c r="E1925" s="908">
        <v>41963</v>
      </c>
      <c r="F1925" s="909" t="s">
        <v>459</v>
      </c>
      <c r="G1925" s="930" t="s">
        <v>788</v>
      </c>
      <c r="H1925" s="913" t="s">
        <v>1371</v>
      </c>
      <c r="I1925" s="249">
        <v>993</v>
      </c>
      <c r="J1925" s="249">
        <v>7567.4717697604365</v>
      </c>
      <c r="K1925" s="910">
        <f t="shared" si="459"/>
        <v>7514499</v>
      </c>
      <c r="L1925" s="890" t="s">
        <v>169</v>
      </c>
      <c r="M1925" s="929" t="s">
        <v>167</v>
      </c>
      <c r="N1925" s="52" t="str">
        <f>IF(AND('331-CT'!$E$7=TH!H1925,OR(L1925="331",M1925="331")),"331",IF(AND(OR(L1925="131",M1925="131"),H1925='131-CT'!$E$7),"131",""))</f>
        <v/>
      </c>
      <c r="O1925" s="89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8"/>
    </row>
    <row r="1926" spans="1:28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57"/>
        <v>11</v>
      </c>
      <c r="C1926" s="48">
        <f t="shared" si="458"/>
        <v>41963</v>
      </c>
      <c r="D1926" s="908" t="s">
        <v>1378</v>
      </c>
      <c r="E1926" s="908">
        <v>41963</v>
      </c>
      <c r="F1926" s="909" t="s">
        <v>789</v>
      </c>
      <c r="G1926" s="930" t="s">
        <v>790</v>
      </c>
      <c r="H1926" s="913" t="s">
        <v>1371</v>
      </c>
      <c r="I1926" s="249">
        <v>3030</v>
      </c>
      <c r="J1926" s="249">
        <v>8061.0025373535082</v>
      </c>
      <c r="K1926" s="910">
        <f t="shared" si="459"/>
        <v>24424838</v>
      </c>
      <c r="L1926" s="890" t="s">
        <v>169</v>
      </c>
      <c r="M1926" s="929" t="s">
        <v>167</v>
      </c>
      <c r="N1926" s="52" t="str">
        <f>IF(AND('331-CT'!$E$7=TH!H1926,OR(L1926="331",M1926="331")),"331",IF(AND(OR(L1926="131",M1926="131"),H1926='131-CT'!$E$7),"131",""))</f>
        <v/>
      </c>
      <c r="O1926" s="89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8"/>
    </row>
    <row r="1927" spans="1:28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57"/>
        <v>11</v>
      </c>
      <c r="C1927" s="48">
        <f t="shared" si="458"/>
        <v>41963</v>
      </c>
      <c r="D1927" s="908" t="s">
        <v>1378</v>
      </c>
      <c r="E1927" s="908">
        <v>41963</v>
      </c>
      <c r="F1927" s="909" t="s">
        <v>789</v>
      </c>
      <c r="G1927" s="930" t="s">
        <v>790</v>
      </c>
      <c r="H1927" s="913" t="s">
        <v>1371</v>
      </c>
      <c r="I1927" s="249">
        <v>219</v>
      </c>
      <c r="J1927" s="249">
        <v>8061.0025373535082</v>
      </c>
      <c r="K1927" s="910">
        <f t="shared" si="459"/>
        <v>1765360</v>
      </c>
      <c r="L1927" s="890" t="s">
        <v>169</v>
      </c>
      <c r="M1927" s="929" t="s">
        <v>167</v>
      </c>
      <c r="N1927" s="52" t="str">
        <f>IF(AND('331-CT'!$E$7=TH!H1927,OR(L1927="331",M1927="331")),"331",IF(AND(OR(L1927="131",M1927="131"),H1927='131-CT'!$E$7),"131",""))</f>
        <v/>
      </c>
      <c r="O1927" s="89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8"/>
    </row>
    <row r="1928" spans="1:28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57"/>
        <v>11</v>
      </c>
      <c r="C1928" s="48">
        <f t="shared" si="458"/>
        <v>41963</v>
      </c>
      <c r="D1928" s="908" t="s">
        <v>1378</v>
      </c>
      <c r="E1928" s="908">
        <v>41963</v>
      </c>
      <c r="F1928" s="909" t="s">
        <v>789</v>
      </c>
      <c r="G1928" s="930" t="s">
        <v>790</v>
      </c>
      <c r="H1928" s="913" t="s">
        <v>1371</v>
      </c>
      <c r="I1928" s="249">
        <v>3167</v>
      </c>
      <c r="J1928" s="249">
        <v>8061.0025373535082</v>
      </c>
      <c r="K1928" s="910">
        <f t="shared" si="459"/>
        <v>25529195</v>
      </c>
      <c r="L1928" s="890" t="s">
        <v>169</v>
      </c>
      <c r="M1928" s="929" t="s">
        <v>167</v>
      </c>
      <c r="N1928" s="52" t="str">
        <f>IF(AND('331-CT'!$E$7=TH!H1928,OR(L1928="331",M1928="331")),"331",IF(AND(OR(L1928="131",M1928="131"),H1928='131-CT'!$E$7),"131",""))</f>
        <v/>
      </c>
      <c r="O1928" s="89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8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57"/>
        <v>11</v>
      </c>
      <c r="C1929" s="48">
        <f t="shared" si="458"/>
        <v>41964</v>
      </c>
      <c r="D1929" s="908" t="s">
        <v>1378</v>
      </c>
      <c r="E1929" s="908">
        <v>41964</v>
      </c>
      <c r="F1929" s="909" t="s">
        <v>1206</v>
      </c>
      <c r="G1929" s="930" t="s">
        <v>791</v>
      </c>
      <c r="H1929" s="913" t="s">
        <v>1371</v>
      </c>
      <c r="I1929" s="249">
        <v>780</v>
      </c>
      <c r="J1929" s="249">
        <v>9377.0845842683666</v>
      </c>
      <c r="K1929" s="910">
        <f t="shared" si="459"/>
        <v>7314126</v>
      </c>
      <c r="L1929" s="890" t="s">
        <v>169</v>
      </c>
      <c r="M1929" s="929" t="s">
        <v>167</v>
      </c>
      <c r="N1929" s="52" t="str">
        <f>IF(AND('331-CT'!$E$7=TH!H1929,OR(L1929="331",M1929="331")),"331",IF(AND(OR(L1929="131",M1929="131"),H1929='131-CT'!$E$7),"131",""))</f>
        <v/>
      </c>
      <c r="O1929" s="89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8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57"/>
        <v>11</v>
      </c>
      <c r="C1930" s="48">
        <f t="shared" si="458"/>
        <v>41964</v>
      </c>
      <c r="D1930" s="908" t="s">
        <v>1378</v>
      </c>
      <c r="E1930" s="908">
        <v>41964</v>
      </c>
      <c r="F1930" s="909" t="s">
        <v>445</v>
      </c>
      <c r="G1930" s="930" t="s">
        <v>791</v>
      </c>
      <c r="H1930" s="913" t="s">
        <v>1371</v>
      </c>
      <c r="I1930" s="249">
        <v>1600</v>
      </c>
      <c r="J1930" s="249">
        <v>822.55127932178664</v>
      </c>
      <c r="K1930" s="910">
        <f t="shared" si="459"/>
        <v>1316082</v>
      </c>
      <c r="L1930" s="890" t="s">
        <v>169</v>
      </c>
      <c r="M1930" s="929" t="s">
        <v>167</v>
      </c>
      <c r="N1930" s="52" t="str">
        <f>IF(AND('331-CT'!$E$7=TH!H1930,OR(L1930="331",M1930="331")),"331",IF(AND(OR(L1930="131",M1930="131"),H1930='131-CT'!$E$7),"131",""))</f>
        <v/>
      </c>
      <c r="O1930" s="89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8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57"/>
        <v>11</v>
      </c>
      <c r="C1931" s="48">
        <f t="shared" si="458"/>
        <v>41967</v>
      </c>
      <c r="D1931" s="908" t="s">
        <v>1378</v>
      </c>
      <c r="E1931" s="908">
        <v>41967</v>
      </c>
      <c r="F1931" s="909" t="s">
        <v>566</v>
      </c>
      <c r="G1931" s="930" t="s">
        <v>792</v>
      </c>
      <c r="H1931" s="913" t="s">
        <v>1371</v>
      </c>
      <c r="I1931" s="249">
        <v>511</v>
      </c>
      <c r="J1931" s="249">
        <v>7978.7474094213294</v>
      </c>
      <c r="K1931" s="910">
        <f t="shared" si="459"/>
        <v>4077140</v>
      </c>
      <c r="L1931" s="890" t="s">
        <v>169</v>
      </c>
      <c r="M1931" s="929" t="s">
        <v>167</v>
      </c>
      <c r="N1931" s="52" t="str">
        <f>IF(AND('331-CT'!$E$7=TH!H1931,OR(L1931="331",M1931="331")),"331",IF(AND(OR(L1931="131",M1931="131"),H1931='131-CT'!$E$7),"131",""))</f>
        <v/>
      </c>
      <c r="O1931" s="89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8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57"/>
        <v>11</v>
      </c>
      <c r="C1932" s="48">
        <f t="shared" si="458"/>
        <v>41968</v>
      </c>
      <c r="D1932" s="908" t="s">
        <v>1378</v>
      </c>
      <c r="E1932" s="908">
        <v>41968</v>
      </c>
      <c r="F1932" s="909" t="s">
        <v>793</v>
      </c>
      <c r="G1932" s="930" t="s">
        <v>794</v>
      </c>
      <c r="H1932" s="913" t="s">
        <v>1371</v>
      </c>
      <c r="I1932" s="249">
        <v>3160</v>
      </c>
      <c r="J1932" s="249">
        <v>8143.2576652856869</v>
      </c>
      <c r="K1932" s="910">
        <f t="shared" si="459"/>
        <v>25732694</v>
      </c>
      <c r="L1932" s="890" t="s">
        <v>169</v>
      </c>
      <c r="M1932" s="929" t="s">
        <v>167</v>
      </c>
      <c r="N1932" s="52" t="str">
        <f>IF(AND('331-CT'!$E$7=TH!H1932,OR(L1932="331",M1932="331")),"331",IF(AND(OR(L1932="131",M1932="131"),H1932='131-CT'!$E$7),"131",""))</f>
        <v/>
      </c>
      <c r="O1932" s="89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8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57"/>
        <v>11</v>
      </c>
      <c r="C1933" s="48">
        <f t="shared" si="458"/>
        <v>41968</v>
      </c>
      <c r="D1933" s="908" t="s">
        <v>1378</v>
      </c>
      <c r="E1933" s="908">
        <v>41968</v>
      </c>
      <c r="F1933" s="909" t="s">
        <v>722</v>
      </c>
      <c r="G1933" s="930" t="s">
        <v>795</v>
      </c>
      <c r="H1933" s="913" t="s">
        <v>1371</v>
      </c>
      <c r="I1933" s="249">
        <v>33</v>
      </c>
      <c r="J1933" s="249">
        <v>19576.720447858519</v>
      </c>
      <c r="K1933" s="910">
        <f t="shared" si="459"/>
        <v>646032</v>
      </c>
      <c r="L1933" s="890" t="s">
        <v>169</v>
      </c>
      <c r="M1933" s="929" t="s">
        <v>167</v>
      </c>
      <c r="N1933" s="52" t="str">
        <f>IF(AND('331-CT'!$E$7=TH!H1933,OR(L1933="331",M1933="331")),"331",IF(AND(OR(L1933="131",M1933="131"),H1933='131-CT'!$E$7),"131",""))</f>
        <v/>
      </c>
      <c r="O1933" s="89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8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57"/>
        <v>11</v>
      </c>
      <c r="C1934" s="48">
        <f t="shared" si="458"/>
        <v>41968</v>
      </c>
      <c r="D1934" s="908" t="s">
        <v>1378</v>
      </c>
      <c r="E1934" s="908">
        <v>41968</v>
      </c>
      <c r="F1934" s="909" t="s">
        <v>771</v>
      </c>
      <c r="G1934" s="930" t="s">
        <v>795</v>
      </c>
      <c r="H1934" s="913" t="s">
        <v>1371</v>
      </c>
      <c r="I1934" s="249">
        <v>56</v>
      </c>
      <c r="J1934" s="249">
        <v>19000.93455233327</v>
      </c>
      <c r="K1934" s="910">
        <f t="shared" si="459"/>
        <v>1064052</v>
      </c>
      <c r="L1934" s="890" t="s">
        <v>169</v>
      </c>
      <c r="M1934" s="929" t="s">
        <v>167</v>
      </c>
      <c r="N1934" s="52" t="str">
        <f>IF(AND('331-CT'!$E$7=TH!H1934,OR(L1934="331",M1934="331")),"331",IF(AND(OR(L1934="131",M1934="131"),H1934='131-CT'!$E$7),"131",""))</f>
        <v/>
      </c>
      <c r="O1934" s="89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8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57"/>
        <v>11</v>
      </c>
      <c r="C1935" s="48">
        <f t="shared" si="458"/>
        <v>41968</v>
      </c>
      <c r="D1935" s="908" t="s">
        <v>1378</v>
      </c>
      <c r="E1935" s="908">
        <v>41968</v>
      </c>
      <c r="F1935" s="909" t="s">
        <v>746</v>
      </c>
      <c r="G1935" s="930" t="s">
        <v>795</v>
      </c>
      <c r="H1935" s="913" t="s">
        <v>1371</v>
      </c>
      <c r="I1935" s="249">
        <v>178</v>
      </c>
      <c r="J1935" s="249">
        <v>1233.8269189826799</v>
      </c>
      <c r="K1935" s="910">
        <f t="shared" si="459"/>
        <v>219621</v>
      </c>
      <c r="L1935" s="890" t="s">
        <v>169</v>
      </c>
      <c r="M1935" s="929" t="s">
        <v>167</v>
      </c>
      <c r="N1935" s="52" t="str">
        <f>IF(AND('331-CT'!$E$7=TH!H1935,OR(L1935="331",M1935="331")),"331",IF(AND(OR(L1935="131",M1935="131"),H1935='131-CT'!$E$7),"131",""))</f>
        <v/>
      </c>
      <c r="O1935" s="89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8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57"/>
        <v>11</v>
      </c>
      <c r="C1936" s="48">
        <f t="shared" si="458"/>
        <v>41970</v>
      </c>
      <c r="D1936" s="908" t="s">
        <v>1378</v>
      </c>
      <c r="E1936" s="908">
        <v>41970</v>
      </c>
      <c r="F1936" s="909" t="s">
        <v>796</v>
      </c>
      <c r="G1936" s="930" t="s">
        <v>797</v>
      </c>
      <c r="H1936" s="913" t="s">
        <v>1371</v>
      </c>
      <c r="I1936" s="249">
        <v>100</v>
      </c>
      <c r="J1936" s="249">
        <v>14476.902516063443</v>
      </c>
      <c r="K1936" s="910">
        <f t="shared" si="459"/>
        <v>1447690</v>
      </c>
      <c r="L1936" s="890" t="s">
        <v>169</v>
      </c>
      <c r="M1936" s="929" t="s">
        <v>167</v>
      </c>
      <c r="N1936" s="52" t="str">
        <f>IF(AND('331-CT'!$E$7=TH!H1936,OR(L1936="331",M1936="331")),"331",IF(AND(OR(L1936="131",M1936="131"),H1936='131-CT'!$E$7),"131",""))</f>
        <v/>
      </c>
      <c r="O1936" s="89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8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57"/>
        <v>11</v>
      </c>
      <c r="C1937" s="48">
        <f t="shared" si="458"/>
        <v>41970</v>
      </c>
      <c r="D1937" s="908" t="s">
        <v>1378</v>
      </c>
      <c r="E1937" s="908">
        <v>41970</v>
      </c>
      <c r="F1937" s="909" t="s">
        <v>508</v>
      </c>
      <c r="G1937" s="930" t="s">
        <v>799</v>
      </c>
      <c r="H1937" s="913" t="s">
        <v>1371</v>
      </c>
      <c r="I1937" s="249">
        <v>333</v>
      </c>
      <c r="J1937" s="249">
        <v>7731.9820256247931</v>
      </c>
      <c r="K1937" s="910">
        <f t="shared" si="459"/>
        <v>2574750</v>
      </c>
      <c r="L1937" s="890" t="s">
        <v>169</v>
      </c>
      <c r="M1937" s="929" t="s">
        <v>167</v>
      </c>
      <c r="N1937" s="52" t="str">
        <f>IF(AND('331-CT'!$E$7=TH!H1937,OR(L1937="331",M1937="331")),"331",IF(AND(OR(L1937="131",M1937="131"),H1937='131-CT'!$E$7),"131",""))</f>
        <v/>
      </c>
      <c r="O1937" s="89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8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57"/>
        <v>11</v>
      </c>
      <c r="C1938" s="48">
        <f t="shared" si="458"/>
        <v>41970</v>
      </c>
      <c r="D1938" s="908" t="s">
        <v>1378</v>
      </c>
      <c r="E1938" s="908">
        <v>41970</v>
      </c>
      <c r="F1938" s="909" t="s">
        <v>487</v>
      </c>
      <c r="G1938" s="930" t="s">
        <v>799</v>
      </c>
      <c r="H1938" s="913" t="s">
        <v>1371</v>
      </c>
      <c r="I1938" s="249">
        <v>219</v>
      </c>
      <c r="J1938" s="249">
        <v>7649.7268976926152</v>
      </c>
      <c r="K1938" s="910">
        <f t="shared" si="459"/>
        <v>1675290</v>
      </c>
      <c r="L1938" s="890" t="s">
        <v>169</v>
      </c>
      <c r="M1938" s="929" t="s">
        <v>167</v>
      </c>
      <c r="N1938" s="52" t="str">
        <f>IF(AND('331-CT'!$E$7=TH!H1938,OR(L1938="331",M1938="331")),"331",IF(AND(OR(L1938="131",M1938="131"),H1938='131-CT'!$E$7),"131",""))</f>
        <v/>
      </c>
      <c r="O1938" s="89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8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57"/>
        <v>11</v>
      </c>
      <c r="C1939" s="48">
        <f t="shared" si="458"/>
        <v>41970</v>
      </c>
      <c r="D1939" s="908" t="s">
        <v>1378</v>
      </c>
      <c r="E1939" s="908">
        <v>41970</v>
      </c>
      <c r="F1939" s="909" t="s">
        <v>486</v>
      </c>
      <c r="G1939" s="930" t="s">
        <v>799</v>
      </c>
      <c r="H1939" s="913" t="s">
        <v>1371</v>
      </c>
      <c r="I1939" s="249">
        <v>112</v>
      </c>
      <c r="J1939" s="249">
        <v>7320.7063859639002</v>
      </c>
      <c r="K1939" s="910">
        <f t="shared" si="459"/>
        <v>819919</v>
      </c>
      <c r="L1939" s="890" t="s">
        <v>169</v>
      </c>
      <c r="M1939" s="929" t="s">
        <v>167</v>
      </c>
      <c r="N1939" s="52" t="str">
        <f>IF(AND('331-CT'!$E$7=TH!H1939,OR(L1939="331",M1939="331")),"331",IF(AND(OR(L1939="131",M1939="131"),H1939='131-CT'!$E$7),"131",""))</f>
        <v/>
      </c>
      <c r="O1939" s="89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8"/>
    </row>
    <row r="1940" spans="1:28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57"/>
        <v>11</v>
      </c>
      <c r="C1940" s="48">
        <f t="shared" si="458"/>
        <v>41970</v>
      </c>
      <c r="D1940" s="908" t="s">
        <v>1378</v>
      </c>
      <c r="E1940" s="908">
        <v>41970</v>
      </c>
      <c r="F1940" s="909" t="s">
        <v>630</v>
      </c>
      <c r="G1940" s="930" t="s">
        <v>800</v>
      </c>
      <c r="H1940" s="913" t="s">
        <v>1371</v>
      </c>
      <c r="I1940" s="249">
        <v>110</v>
      </c>
      <c r="J1940" s="249">
        <v>3619.2256290158607</v>
      </c>
      <c r="K1940" s="910">
        <f t="shared" si="459"/>
        <v>398115</v>
      </c>
      <c r="L1940" s="890" t="s">
        <v>169</v>
      </c>
      <c r="M1940" s="929" t="s">
        <v>167</v>
      </c>
      <c r="N1940" s="52" t="str">
        <f>IF(AND('331-CT'!$E$7=TH!H1940,OR(L1940="331",M1940="331")),"331",IF(AND(OR(L1940="131",M1940="131"),H1940='131-CT'!$E$7),"131",""))</f>
        <v/>
      </c>
      <c r="O1940" s="89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8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57"/>
        <v>11</v>
      </c>
      <c r="C1941" s="48">
        <f t="shared" si="458"/>
        <v>41970</v>
      </c>
      <c r="D1941" s="908" t="s">
        <v>1378</v>
      </c>
      <c r="E1941" s="908">
        <v>41970</v>
      </c>
      <c r="F1941" s="909" t="s">
        <v>632</v>
      </c>
      <c r="G1941" s="930" t="s">
        <v>800</v>
      </c>
      <c r="H1941" s="913" t="s">
        <v>1371</v>
      </c>
      <c r="I1941" s="249">
        <v>260</v>
      </c>
      <c r="J1941" s="249">
        <v>6333.6448507777568</v>
      </c>
      <c r="K1941" s="910">
        <f t="shared" si="459"/>
        <v>1646748</v>
      </c>
      <c r="L1941" s="890" t="s">
        <v>169</v>
      </c>
      <c r="M1941" s="929" t="s">
        <v>167</v>
      </c>
      <c r="N1941" s="52" t="str">
        <f>IF(AND('331-CT'!$E$7=TH!H1941,OR(L1941="331",M1941="331")),"331",IF(AND(OR(L1941="131",M1941="131"),H1941='131-CT'!$E$7),"131",""))</f>
        <v/>
      </c>
      <c r="O1941" s="89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8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57"/>
        <v>11</v>
      </c>
      <c r="C1942" s="48">
        <f t="shared" si="458"/>
        <v>41970</v>
      </c>
      <c r="D1942" s="908" t="s">
        <v>1378</v>
      </c>
      <c r="E1942" s="908">
        <v>41970</v>
      </c>
      <c r="F1942" s="909" t="s">
        <v>631</v>
      </c>
      <c r="G1942" s="930" t="s">
        <v>800</v>
      </c>
      <c r="H1942" s="913" t="s">
        <v>1371</v>
      </c>
      <c r="I1942" s="249">
        <v>450</v>
      </c>
      <c r="J1942" s="249">
        <v>3865.9910128123965</v>
      </c>
      <c r="K1942" s="910">
        <f t="shared" si="459"/>
        <v>1739696</v>
      </c>
      <c r="L1942" s="890" t="s">
        <v>169</v>
      </c>
      <c r="M1942" s="929" t="s">
        <v>167</v>
      </c>
      <c r="N1942" s="52" t="str">
        <f>IF(AND('331-CT'!$E$7=TH!H1942,OR(L1942="331",M1942="331")),"331",IF(AND(OR(L1942="131",M1942="131"),H1942='131-CT'!$E$7),"131",""))</f>
        <v/>
      </c>
      <c r="O1942" s="89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8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57"/>
        <v>11</v>
      </c>
      <c r="C1943" s="48">
        <f t="shared" si="458"/>
        <v>41972</v>
      </c>
      <c r="D1943" s="908" t="s">
        <v>1378</v>
      </c>
      <c r="E1943" s="908">
        <v>41972</v>
      </c>
      <c r="F1943" s="909" t="s">
        <v>670</v>
      </c>
      <c r="G1943" s="930" t="s">
        <v>801</v>
      </c>
      <c r="H1943" s="913" t="s">
        <v>1371</v>
      </c>
      <c r="I1943" s="249">
        <v>1000</v>
      </c>
      <c r="J1943" s="249">
        <v>7402.9615138960789</v>
      </c>
      <c r="K1943" s="910">
        <f t="shared" si="459"/>
        <v>7402962</v>
      </c>
      <c r="L1943" s="890" t="s">
        <v>169</v>
      </c>
      <c r="M1943" s="929" t="s">
        <v>167</v>
      </c>
      <c r="N1943" s="52" t="str">
        <f>IF(AND('331-CT'!$E$7=TH!H1943,OR(L1943="331",M1943="331")),"331",IF(AND(OR(L1943="131",M1943="131"),H1943='131-CT'!$E$7),"131",""))</f>
        <v/>
      </c>
      <c r="O1943" s="89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8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57"/>
        <v>11</v>
      </c>
      <c r="C1944" s="48">
        <f t="shared" si="458"/>
        <v>41973</v>
      </c>
      <c r="D1944" s="908" t="s">
        <v>1378</v>
      </c>
      <c r="E1944" s="908">
        <v>41973</v>
      </c>
      <c r="F1944" s="909" t="s">
        <v>670</v>
      </c>
      <c r="G1944" s="930" t="s">
        <v>802</v>
      </c>
      <c r="H1944" s="913" t="s">
        <v>1371</v>
      </c>
      <c r="I1944" s="249">
        <v>987</v>
      </c>
      <c r="J1944" s="249">
        <v>7402.9615138960789</v>
      </c>
      <c r="K1944" s="910">
        <f t="shared" si="459"/>
        <v>7306723</v>
      </c>
      <c r="L1944" s="890" t="s">
        <v>169</v>
      </c>
      <c r="M1944" s="929" t="s">
        <v>167</v>
      </c>
      <c r="N1944" s="52" t="str">
        <f>IF(AND('331-CT'!$E$7=TH!H1944,OR(L1944="331",M1944="331")),"331",IF(AND(OR(L1944="131",M1944="131"),H1944='131-CT'!$E$7),"131",""))</f>
        <v/>
      </c>
      <c r="O1944" s="89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8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57"/>
        <v>11</v>
      </c>
      <c r="C1945" s="48">
        <f t="shared" si="458"/>
        <v>41973</v>
      </c>
      <c r="D1945" s="908" t="s">
        <v>1378</v>
      </c>
      <c r="E1945" s="908">
        <v>41973</v>
      </c>
      <c r="F1945" s="909" t="s">
        <v>670</v>
      </c>
      <c r="G1945" s="930" t="s">
        <v>802</v>
      </c>
      <c r="H1945" s="913" t="s">
        <v>1371</v>
      </c>
      <c r="I1945" s="249">
        <v>226</v>
      </c>
      <c r="J1945" s="249">
        <v>7402.9615138960789</v>
      </c>
      <c r="K1945" s="910">
        <f t="shared" si="459"/>
        <v>1673069</v>
      </c>
      <c r="L1945" s="890" t="s">
        <v>169</v>
      </c>
      <c r="M1945" s="929" t="s">
        <v>167</v>
      </c>
      <c r="N1945" s="52" t="str">
        <f>IF(AND('331-CT'!$E$7=TH!H1945,OR(L1945="331",M1945="331")),"331",IF(AND(OR(L1945="131",M1945="131"),H1945='131-CT'!$E$7),"131",""))</f>
        <v/>
      </c>
      <c r="O1945" s="89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8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57"/>
        <v>11</v>
      </c>
      <c r="C1946" s="48">
        <f t="shared" si="458"/>
        <v>41973</v>
      </c>
      <c r="D1946" s="908" t="s">
        <v>1378</v>
      </c>
      <c r="E1946" s="908">
        <v>41973</v>
      </c>
      <c r="F1946" s="909" t="s">
        <v>775</v>
      </c>
      <c r="G1946" s="930" t="s">
        <v>803</v>
      </c>
      <c r="H1946" s="913" t="s">
        <v>1371</v>
      </c>
      <c r="I1946" s="249">
        <v>1980</v>
      </c>
      <c r="J1946" s="249">
        <v>7402.9615138960789</v>
      </c>
      <c r="K1946" s="910">
        <f t="shared" si="459"/>
        <v>14657864</v>
      </c>
      <c r="L1946" s="890" t="s">
        <v>169</v>
      </c>
      <c r="M1946" s="929" t="s">
        <v>167</v>
      </c>
      <c r="N1946" s="52" t="str">
        <f>IF(AND('331-CT'!$E$7=TH!H1946,OR(L1946="331",M1946="331")),"331",IF(AND(OR(L1946="131",M1946="131"),H1946='131-CT'!$E$7),"131",""))</f>
        <v/>
      </c>
      <c r="O1946" s="89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8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57"/>
        <v>12</v>
      </c>
      <c r="C1947" s="48">
        <f t="shared" si="458"/>
        <v>41975</v>
      </c>
      <c r="D1947" s="908" t="s">
        <v>1378</v>
      </c>
      <c r="E1947" s="908">
        <v>41975</v>
      </c>
      <c r="F1947" s="909" t="s">
        <v>741</v>
      </c>
      <c r="G1947" s="930" t="s">
        <v>804</v>
      </c>
      <c r="H1947" s="913" t="s">
        <v>1371</v>
      </c>
      <c r="I1947" s="249">
        <v>1059</v>
      </c>
      <c r="J1947" s="249">
        <v>5593.3486993881488</v>
      </c>
      <c r="K1947" s="910">
        <f t="shared" si="459"/>
        <v>5923356</v>
      </c>
      <c r="L1947" s="890" t="s">
        <v>169</v>
      </c>
      <c r="M1947" s="929" t="s">
        <v>167</v>
      </c>
      <c r="N1947" s="52" t="str">
        <f>IF(AND('331-CT'!$E$7=TH!H1947,OR(L1947="331",M1947="331")),"331",IF(AND(OR(L1947="131",M1947="131"),H1947='131-CT'!$E$7),"131",""))</f>
        <v/>
      </c>
      <c r="O1947" s="89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8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57"/>
        <v>12</v>
      </c>
      <c r="C1948" s="48">
        <f t="shared" si="458"/>
        <v>41979</v>
      </c>
      <c r="D1948" s="908" t="s">
        <v>1378</v>
      </c>
      <c r="E1948" s="908">
        <v>41979</v>
      </c>
      <c r="F1948" s="909" t="s">
        <v>805</v>
      </c>
      <c r="G1948" s="930" t="s">
        <v>806</v>
      </c>
      <c r="H1948" s="913" t="s">
        <v>1371</v>
      </c>
      <c r="I1948" s="249">
        <v>106</v>
      </c>
      <c r="J1948" s="249">
        <v>7238.4512580317214</v>
      </c>
      <c r="K1948" s="910">
        <f t="shared" si="459"/>
        <v>767276</v>
      </c>
      <c r="L1948" s="890" t="s">
        <v>169</v>
      </c>
      <c r="M1948" s="929" t="s">
        <v>167</v>
      </c>
      <c r="N1948" s="52" t="str">
        <f>IF(AND('331-CT'!$E$7=TH!H1948,OR(L1948="331",M1948="331")),"331",IF(AND(OR(L1948="131",M1948="131"),H1948='131-CT'!$E$7),"131",""))</f>
        <v/>
      </c>
      <c r="O1948" s="89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8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57"/>
        <v>12</v>
      </c>
      <c r="C1949" s="48">
        <f t="shared" si="458"/>
        <v>41979</v>
      </c>
      <c r="D1949" s="908" t="s">
        <v>1378</v>
      </c>
      <c r="E1949" s="908">
        <v>41979</v>
      </c>
      <c r="F1949" s="909" t="s">
        <v>754</v>
      </c>
      <c r="G1949" s="930" t="s">
        <v>806</v>
      </c>
      <c r="H1949" s="913" t="s">
        <v>1371</v>
      </c>
      <c r="I1949" s="249">
        <v>493</v>
      </c>
      <c r="J1949" s="249">
        <v>5264.3281876594338</v>
      </c>
      <c r="K1949" s="910">
        <f t="shared" si="459"/>
        <v>2595314</v>
      </c>
      <c r="L1949" s="890" t="s">
        <v>169</v>
      </c>
      <c r="M1949" s="929" t="s">
        <v>167</v>
      </c>
      <c r="N1949" s="52" t="str">
        <f>IF(AND('331-CT'!$E$7=TH!H1949,OR(L1949="331",M1949="331")),"331",IF(AND(OR(L1949="131",M1949="131"),H1949='131-CT'!$E$7),"131",""))</f>
        <v/>
      </c>
      <c r="O1949" s="89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8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57"/>
        <v>12</v>
      </c>
      <c r="C1950" s="48">
        <f t="shared" si="458"/>
        <v>41979</v>
      </c>
      <c r="D1950" s="908" t="s">
        <v>1378</v>
      </c>
      <c r="E1950" s="908">
        <v>41979</v>
      </c>
      <c r="F1950" s="909" t="s">
        <v>807</v>
      </c>
      <c r="G1950" s="930" t="s">
        <v>806</v>
      </c>
      <c r="H1950" s="913" t="s">
        <v>1371</v>
      </c>
      <c r="I1950" s="249">
        <v>512</v>
      </c>
      <c r="J1950" s="249">
        <v>3372.4602452193249</v>
      </c>
      <c r="K1950" s="910">
        <f t="shared" si="459"/>
        <v>1726700</v>
      </c>
      <c r="L1950" s="890" t="s">
        <v>169</v>
      </c>
      <c r="M1950" s="929" t="s">
        <v>167</v>
      </c>
      <c r="N1950" s="52" t="str">
        <f>IF(AND('331-CT'!$E$7=TH!H1950,OR(L1950="331",M1950="331")),"331",IF(AND(OR(L1950="131",M1950="131"),H1950='131-CT'!$E$7),"131",""))</f>
        <v/>
      </c>
      <c r="O1950" s="89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8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57"/>
        <v>12</v>
      </c>
      <c r="C1951" s="48">
        <f t="shared" si="458"/>
        <v>41979</v>
      </c>
      <c r="D1951" s="908" t="s">
        <v>1378</v>
      </c>
      <c r="E1951" s="908">
        <v>41979</v>
      </c>
      <c r="F1951" s="909" t="s">
        <v>690</v>
      </c>
      <c r="G1951" s="930" t="s">
        <v>806</v>
      </c>
      <c r="H1951" s="913" t="s">
        <v>1371</v>
      </c>
      <c r="I1951" s="249">
        <v>208</v>
      </c>
      <c r="J1951" s="249">
        <v>6004.6243390490417</v>
      </c>
      <c r="K1951" s="910">
        <f t="shared" si="459"/>
        <v>1248962</v>
      </c>
      <c r="L1951" s="890" t="s">
        <v>169</v>
      </c>
      <c r="M1951" s="929" t="s">
        <v>167</v>
      </c>
      <c r="N1951" s="52" t="str">
        <f>IF(AND('331-CT'!$E$7=TH!H1951,OR(L1951="331",M1951="331")),"331",IF(AND(OR(L1951="131",M1951="131"),H1951='131-CT'!$E$7),"131",""))</f>
        <v/>
      </c>
      <c r="O1951" s="89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8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57"/>
        <v>12</v>
      </c>
      <c r="C1952" s="48">
        <f t="shared" si="458"/>
        <v>41979</v>
      </c>
      <c r="D1952" s="908" t="s">
        <v>1378</v>
      </c>
      <c r="E1952" s="908">
        <v>41979</v>
      </c>
      <c r="F1952" s="909" t="s">
        <v>639</v>
      </c>
      <c r="G1952" s="930" t="s">
        <v>806</v>
      </c>
      <c r="H1952" s="913" t="s">
        <v>1371</v>
      </c>
      <c r="I1952" s="249">
        <v>1016</v>
      </c>
      <c r="J1952" s="249">
        <v>4195.0115245411116</v>
      </c>
      <c r="K1952" s="910">
        <f t="shared" si="459"/>
        <v>4262132</v>
      </c>
      <c r="L1952" s="890" t="s">
        <v>169</v>
      </c>
      <c r="M1952" s="929" t="s">
        <v>167</v>
      </c>
      <c r="N1952" s="52" t="str">
        <f>IF(AND('331-CT'!$E$7=TH!H1952,OR(L1952="331",M1952="331")),"331",IF(AND(OR(L1952="131",M1952="131"),H1952='131-CT'!$E$7),"131",""))</f>
        <v/>
      </c>
      <c r="O1952" s="89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8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57"/>
        <v>12</v>
      </c>
      <c r="C1953" s="48">
        <f t="shared" si="458"/>
        <v>41981</v>
      </c>
      <c r="D1953" s="908" t="s">
        <v>1378</v>
      </c>
      <c r="E1953" s="908">
        <v>41981</v>
      </c>
      <c r="F1953" s="909" t="s">
        <v>515</v>
      </c>
      <c r="G1953" s="930" t="s">
        <v>808</v>
      </c>
      <c r="H1953" s="913" t="s">
        <v>1371</v>
      </c>
      <c r="I1953" s="249">
        <v>1015</v>
      </c>
      <c r="J1953" s="249">
        <v>9459.3397122005445</v>
      </c>
      <c r="K1953" s="910">
        <f t="shared" si="459"/>
        <v>9601230</v>
      </c>
      <c r="L1953" s="890" t="s">
        <v>169</v>
      </c>
      <c r="M1953" s="929" t="s">
        <v>167</v>
      </c>
      <c r="N1953" s="52" t="str">
        <f>IF(AND('331-CT'!$E$7=TH!H1953,OR(L1953="331",M1953="331")),"331",IF(AND(OR(L1953="131",M1953="131"),H1953='131-CT'!$E$7),"131",""))</f>
        <v/>
      </c>
      <c r="O1953" s="89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8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57"/>
        <v>12</v>
      </c>
      <c r="C1954" s="48">
        <f t="shared" si="458"/>
        <v>41982</v>
      </c>
      <c r="D1954" s="908" t="s">
        <v>1378</v>
      </c>
      <c r="E1954" s="908">
        <v>41982</v>
      </c>
      <c r="F1954" s="909" t="s">
        <v>436</v>
      </c>
      <c r="G1954" s="930" t="s">
        <v>809</v>
      </c>
      <c r="H1954" s="913" t="s">
        <v>1371</v>
      </c>
      <c r="I1954" s="249">
        <v>440</v>
      </c>
      <c r="J1954" s="249">
        <v>7814.2371535569719</v>
      </c>
      <c r="K1954" s="910">
        <f t="shared" si="459"/>
        <v>3438264</v>
      </c>
      <c r="L1954" s="890" t="s">
        <v>169</v>
      </c>
      <c r="M1954" s="929" t="s">
        <v>167</v>
      </c>
      <c r="N1954" s="52" t="str">
        <f>IF(AND('331-CT'!$E$7=TH!H1954,OR(L1954="331",M1954="331")),"331",IF(AND(OR(L1954="131",M1954="131"),H1954='131-CT'!$E$7),"131",""))</f>
        <v/>
      </c>
      <c r="O1954" s="89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8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57"/>
        <v>12</v>
      </c>
      <c r="C1955" s="48">
        <f t="shared" si="458"/>
        <v>41982</v>
      </c>
      <c r="D1955" s="908" t="s">
        <v>1378</v>
      </c>
      <c r="E1955" s="908">
        <v>41982</v>
      </c>
      <c r="F1955" s="909" t="s">
        <v>810</v>
      </c>
      <c r="G1955" s="930" t="s">
        <v>809</v>
      </c>
      <c r="H1955" s="913" t="s">
        <v>1371</v>
      </c>
      <c r="I1955" s="249">
        <v>403</v>
      </c>
      <c r="J1955" s="249">
        <v>4770.7974200663621</v>
      </c>
      <c r="K1955" s="910">
        <f t="shared" si="459"/>
        <v>1922631</v>
      </c>
      <c r="L1955" s="890" t="s">
        <v>169</v>
      </c>
      <c r="M1955" s="929" t="s">
        <v>167</v>
      </c>
      <c r="N1955" s="52" t="str">
        <f>IF(AND('331-CT'!$E$7=TH!H1955,OR(L1955="331",M1955="331")),"331",IF(AND(OR(L1955="131",M1955="131"),H1955='131-CT'!$E$7),"131",""))</f>
        <v/>
      </c>
      <c r="O1955" s="89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8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57"/>
        <v>12</v>
      </c>
      <c r="C1956" s="48">
        <f t="shared" si="458"/>
        <v>41982</v>
      </c>
      <c r="D1956" s="908" t="s">
        <v>1378</v>
      </c>
      <c r="E1956" s="908">
        <v>41982</v>
      </c>
      <c r="F1956" s="909" t="s">
        <v>436</v>
      </c>
      <c r="G1956" s="930" t="s">
        <v>811</v>
      </c>
      <c r="H1956" s="913" t="s">
        <v>1371</v>
      </c>
      <c r="I1956" s="249">
        <v>440</v>
      </c>
      <c r="J1956" s="249">
        <v>7814.2371535569719</v>
      </c>
      <c r="K1956" s="910">
        <f t="shared" si="459"/>
        <v>3438264</v>
      </c>
      <c r="L1956" s="890" t="s">
        <v>169</v>
      </c>
      <c r="M1956" s="929" t="s">
        <v>167</v>
      </c>
      <c r="N1956" s="52" t="str">
        <f>IF(AND('331-CT'!$E$7=TH!H1956,OR(L1956="331",M1956="331")),"331",IF(AND(OR(L1956="131",M1956="131"),H1956='131-CT'!$E$7),"131",""))</f>
        <v/>
      </c>
      <c r="O1956" s="89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8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57"/>
        <v>12</v>
      </c>
      <c r="C1957" s="48">
        <f t="shared" si="458"/>
        <v>41985</v>
      </c>
      <c r="D1957" s="908" t="s">
        <v>1378</v>
      </c>
      <c r="E1957" s="908">
        <v>41985</v>
      </c>
      <c r="F1957" s="909" t="s">
        <v>483</v>
      </c>
      <c r="G1957" s="930" t="s">
        <v>812</v>
      </c>
      <c r="H1957" s="913" t="s">
        <v>1371</v>
      </c>
      <c r="I1957" s="249">
        <v>411</v>
      </c>
      <c r="J1957" s="249">
        <v>11022.18714291194</v>
      </c>
      <c r="K1957" s="910">
        <f t="shared" si="459"/>
        <v>4530119</v>
      </c>
      <c r="L1957" s="890" t="s">
        <v>169</v>
      </c>
      <c r="M1957" s="929" t="s">
        <v>167</v>
      </c>
      <c r="N1957" s="52" t="str">
        <f>IF(AND('331-CT'!$E$7=TH!H1957,OR(L1957="331",M1957="331")),"331",IF(AND(OR(L1957="131",M1957="131"),H1957='131-CT'!$E$7),"131",""))</f>
        <v/>
      </c>
      <c r="O1957" s="89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8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57"/>
        <v>12</v>
      </c>
      <c r="C1958" s="48">
        <f t="shared" si="458"/>
        <v>41985</v>
      </c>
      <c r="D1958" s="908" t="s">
        <v>1378</v>
      </c>
      <c r="E1958" s="908">
        <v>41985</v>
      </c>
      <c r="F1958" s="909" t="s">
        <v>813</v>
      </c>
      <c r="G1958" s="930" t="s">
        <v>814</v>
      </c>
      <c r="H1958" s="913" t="s">
        <v>1371</v>
      </c>
      <c r="I1958" s="249">
        <v>89</v>
      </c>
      <c r="J1958" s="249">
        <v>20810.547366841198</v>
      </c>
      <c r="K1958" s="910">
        <f t="shared" si="459"/>
        <v>1852139</v>
      </c>
      <c r="L1958" s="890" t="s">
        <v>169</v>
      </c>
      <c r="M1958" s="929" t="s">
        <v>167</v>
      </c>
      <c r="N1958" s="52" t="str">
        <f>IF(AND('331-CT'!$E$7=TH!H1958,OR(L1958="331",M1958="331")),"331",IF(AND(OR(L1958="131",M1958="131"),H1958='131-CT'!$E$7),"131",""))</f>
        <v/>
      </c>
      <c r="O1958" s="89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8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ref="B1959:B2022" si="460">IF(C1959&lt;&gt;"",MONTH(C1959),"")</f>
        <v>12</v>
      </c>
      <c r="C1959" s="48">
        <f t="shared" si="458"/>
        <v>41985</v>
      </c>
      <c r="D1959" s="908" t="s">
        <v>1378</v>
      </c>
      <c r="E1959" s="908">
        <v>41985</v>
      </c>
      <c r="F1959" s="909" t="s">
        <v>815</v>
      </c>
      <c r="G1959" s="930" t="s">
        <v>816</v>
      </c>
      <c r="H1959" s="913" t="s">
        <v>1371</v>
      </c>
      <c r="I1959" s="249">
        <v>350</v>
      </c>
      <c r="J1959" s="249">
        <v>59634.967750829528</v>
      </c>
      <c r="K1959" s="910">
        <f t="shared" si="459"/>
        <v>20872239</v>
      </c>
      <c r="L1959" s="890" t="s">
        <v>169</v>
      </c>
      <c r="M1959" s="929" t="s">
        <v>167</v>
      </c>
      <c r="N1959" s="52" t="str">
        <f>IF(AND('331-CT'!$E$7=TH!H1959,OR(L1959="331",M1959="331")),"331",IF(AND(OR(L1959="131",M1959="131"),H1959='131-CT'!$E$7),"131",""))</f>
        <v/>
      </c>
      <c r="O1959" s="89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8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60"/>
        <v>12</v>
      </c>
      <c r="C1960" s="48">
        <f t="shared" si="458"/>
        <v>41986</v>
      </c>
      <c r="D1960" s="908" t="s">
        <v>1378</v>
      </c>
      <c r="E1960" s="908">
        <v>41986</v>
      </c>
      <c r="F1960" s="909" t="s">
        <v>817</v>
      </c>
      <c r="G1960" s="930" t="s">
        <v>818</v>
      </c>
      <c r="H1960" s="913" t="s">
        <v>1371</v>
      </c>
      <c r="I1960" s="249">
        <v>223</v>
      </c>
      <c r="J1960" s="249">
        <v>7567.4717697604365</v>
      </c>
      <c r="K1960" s="910">
        <f t="shared" si="459"/>
        <v>1687546</v>
      </c>
      <c r="L1960" s="890" t="s">
        <v>169</v>
      </c>
      <c r="M1960" s="929" t="s">
        <v>167</v>
      </c>
      <c r="N1960" s="52" t="str">
        <f>IF(AND('331-CT'!$E$7=TH!H1960,OR(L1960="331",M1960="331")),"331",IF(AND(OR(L1960="131",M1960="131"),H1960='131-CT'!$E$7),"131",""))</f>
        <v/>
      </c>
      <c r="O1960" s="89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8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60"/>
        <v>12</v>
      </c>
      <c r="C1961" s="48">
        <f t="shared" si="458"/>
        <v>41986</v>
      </c>
      <c r="D1961" s="908" t="s">
        <v>1378</v>
      </c>
      <c r="E1961" s="908">
        <v>41986</v>
      </c>
      <c r="F1961" s="909" t="s">
        <v>819</v>
      </c>
      <c r="G1961" s="930" t="s">
        <v>820</v>
      </c>
      <c r="H1961" s="913" t="s">
        <v>1371</v>
      </c>
      <c r="I1961" s="249">
        <v>200</v>
      </c>
      <c r="J1961" s="249">
        <v>61280.0703094731</v>
      </c>
      <c r="K1961" s="910">
        <f t="shared" si="459"/>
        <v>12256014</v>
      </c>
      <c r="L1961" s="890" t="s">
        <v>169</v>
      </c>
      <c r="M1961" s="929" t="s">
        <v>167</v>
      </c>
      <c r="N1961" s="52" t="str">
        <f>IF(AND('331-CT'!$E$7=TH!H1961,OR(L1961="331",M1961="331")),"331",IF(AND(OR(L1961="131",M1961="131"),H1961='131-CT'!$E$7),"131",""))</f>
        <v/>
      </c>
      <c r="O1961" s="89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8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60"/>
        <v>12</v>
      </c>
      <c r="C1962" s="48">
        <f t="shared" si="458"/>
        <v>41986</v>
      </c>
      <c r="D1962" s="908" t="s">
        <v>1378</v>
      </c>
      <c r="E1962" s="908">
        <v>41986</v>
      </c>
      <c r="F1962" s="909" t="s">
        <v>703</v>
      </c>
      <c r="G1962" s="930" t="s">
        <v>821</v>
      </c>
      <c r="H1962" s="913" t="s">
        <v>1371</v>
      </c>
      <c r="I1962" s="249">
        <v>3160</v>
      </c>
      <c r="J1962" s="249">
        <v>7567.4717697604365</v>
      </c>
      <c r="K1962" s="910">
        <f t="shared" si="459"/>
        <v>23913211</v>
      </c>
      <c r="L1962" s="890" t="s">
        <v>169</v>
      </c>
      <c r="M1962" s="929" t="s">
        <v>167</v>
      </c>
      <c r="N1962" s="52" t="str">
        <f>IF(AND('331-CT'!$E$7=TH!H1962,OR(L1962="331",M1962="331")),"331",IF(AND(OR(L1962="131",M1962="131"),H1962='131-CT'!$E$7),"131",""))</f>
        <v/>
      </c>
      <c r="O1962" s="89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8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60"/>
        <v>12</v>
      </c>
      <c r="C1963" s="48">
        <f t="shared" si="458"/>
        <v>41986</v>
      </c>
      <c r="D1963" s="908" t="s">
        <v>1378</v>
      </c>
      <c r="E1963" s="908">
        <v>41986</v>
      </c>
      <c r="F1963" s="909" t="s">
        <v>708</v>
      </c>
      <c r="G1963" s="930" t="s">
        <v>821</v>
      </c>
      <c r="H1963" s="913" t="s">
        <v>1371</v>
      </c>
      <c r="I1963" s="249">
        <v>301</v>
      </c>
      <c r="J1963" s="249">
        <v>9294.8294563361869</v>
      </c>
      <c r="K1963" s="910">
        <f t="shared" si="459"/>
        <v>2797744</v>
      </c>
      <c r="L1963" s="890" t="s">
        <v>169</v>
      </c>
      <c r="M1963" s="929" t="s">
        <v>167</v>
      </c>
      <c r="N1963" s="52" t="str">
        <f>IF(AND('331-CT'!$E$7=TH!H1963,OR(L1963="331",M1963="331")),"331",IF(AND(OR(L1963="131",M1963="131"),H1963='131-CT'!$E$7),"131",""))</f>
        <v/>
      </c>
      <c r="O1963" s="89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8"/>
    </row>
    <row r="1964" spans="1:28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60"/>
        <v>12</v>
      </c>
      <c r="C1964" s="48">
        <f t="shared" si="458"/>
        <v>41986</v>
      </c>
      <c r="D1964" s="908" t="s">
        <v>1378</v>
      </c>
      <c r="E1964" s="908">
        <v>41986</v>
      </c>
      <c r="F1964" s="909" t="s">
        <v>712</v>
      </c>
      <c r="G1964" s="930" t="s">
        <v>822</v>
      </c>
      <c r="H1964" s="913" t="s">
        <v>1371</v>
      </c>
      <c r="I1964" s="249">
        <v>20</v>
      </c>
      <c r="J1964" s="249">
        <v>9952.8704797936171</v>
      </c>
      <c r="K1964" s="910">
        <f t="shared" si="459"/>
        <v>199057</v>
      </c>
      <c r="L1964" s="890" t="s">
        <v>169</v>
      </c>
      <c r="M1964" s="929" t="s">
        <v>167</v>
      </c>
      <c r="N1964" s="52" t="str">
        <f>IF(AND('331-CT'!$E$7=TH!H1964,OR(L1964="331",M1964="331")),"331",IF(AND(OR(L1964="131",M1964="131"),H1964='131-CT'!$E$7),"131",""))</f>
        <v/>
      </c>
      <c r="O1964" s="89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8"/>
    </row>
    <row r="1965" spans="1:28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60"/>
        <v>12</v>
      </c>
      <c r="C1965" s="48">
        <f t="shared" si="458"/>
        <v>41986</v>
      </c>
      <c r="D1965" s="908" t="s">
        <v>1378</v>
      </c>
      <c r="E1965" s="908">
        <v>41986</v>
      </c>
      <c r="F1965" s="909" t="s">
        <v>823</v>
      </c>
      <c r="G1965" s="930" t="s">
        <v>822</v>
      </c>
      <c r="H1965" s="913" t="s">
        <v>1371</v>
      </c>
      <c r="I1965" s="249">
        <v>47</v>
      </c>
      <c r="J1965" s="249">
        <v>10035.125607725797</v>
      </c>
      <c r="K1965" s="910">
        <f t="shared" si="459"/>
        <v>471651</v>
      </c>
      <c r="L1965" s="890" t="s">
        <v>169</v>
      </c>
      <c r="M1965" s="929" t="s">
        <v>167</v>
      </c>
      <c r="N1965" s="52" t="str">
        <f>IF(AND('331-CT'!$E$7=TH!H1965,OR(L1965="331",M1965="331")),"331",IF(AND(OR(L1965="131",M1965="131"),H1965='131-CT'!$E$7),"131",""))</f>
        <v/>
      </c>
      <c r="O1965" s="89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8"/>
    </row>
    <row r="1966" spans="1:28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60"/>
        <v>12</v>
      </c>
      <c r="C1966" s="48">
        <f t="shared" si="458"/>
        <v>41986</v>
      </c>
      <c r="D1966" s="908" t="s">
        <v>1378</v>
      </c>
      <c r="E1966" s="908">
        <v>41986</v>
      </c>
      <c r="F1966" s="909" t="s">
        <v>824</v>
      </c>
      <c r="G1966" s="930" t="s">
        <v>822</v>
      </c>
      <c r="H1966" s="913" t="s">
        <v>1371</v>
      </c>
      <c r="I1966" s="249">
        <v>902</v>
      </c>
      <c r="J1966" s="249">
        <v>15052.688411588695</v>
      </c>
      <c r="K1966" s="910">
        <f t="shared" si="459"/>
        <v>13577525</v>
      </c>
      <c r="L1966" s="890" t="s">
        <v>169</v>
      </c>
      <c r="M1966" s="929" t="s">
        <v>167</v>
      </c>
      <c r="N1966" s="52" t="str">
        <f>IF(AND('331-CT'!$E$7=TH!H1966,OR(L1966="331",M1966="331")),"331",IF(AND(OR(L1966="131",M1966="131"),H1966='131-CT'!$E$7),"131",""))</f>
        <v/>
      </c>
      <c r="O1966" s="89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8"/>
    </row>
    <row r="1967" spans="1:28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60"/>
        <v>12</v>
      </c>
      <c r="C1967" s="48">
        <f t="shared" si="458"/>
        <v>41988</v>
      </c>
      <c r="D1967" s="908" t="s">
        <v>1378</v>
      </c>
      <c r="E1967" s="908">
        <v>41988</v>
      </c>
      <c r="F1967" s="909" t="s">
        <v>825</v>
      </c>
      <c r="G1967" s="930" t="s">
        <v>826</v>
      </c>
      <c r="H1967" s="913" t="s">
        <v>1371</v>
      </c>
      <c r="I1967" s="249">
        <v>352</v>
      </c>
      <c r="J1967" s="249">
        <v>10775.421759115405</v>
      </c>
      <c r="K1967" s="910">
        <f t="shared" si="459"/>
        <v>3792948</v>
      </c>
      <c r="L1967" s="890" t="s">
        <v>169</v>
      </c>
      <c r="M1967" s="929" t="s">
        <v>167</v>
      </c>
      <c r="N1967" s="52" t="str">
        <f>IF(AND('331-CT'!$E$7=TH!H1967,OR(L1967="331",M1967="331")),"331",IF(AND(OR(L1967="131",M1967="131"),H1967='131-CT'!$E$7),"131",""))</f>
        <v/>
      </c>
      <c r="O1967" s="89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8"/>
    </row>
    <row r="1968" spans="1:28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60"/>
        <v>12</v>
      </c>
      <c r="C1968" s="48">
        <f t="shared" si="458"/>
        <v>41988</v>
      </c>
      <c r="D1968" s="908" t="s">
        <v>1378</v>
      </c>
      <c r="E1968" s="908">
        <v>41988</v>
      </c>
      <c r="F1968" s="909" t="s">
        <v>827</v>
      </c>
      <c r="G1968" s="930" t="s">
        <v>826</v>
      </c>
      <c r="H1968" s="913" t="s">
        <v>1371</v>
      </c>
      <c r="I1968" s="249">
        <v>52</v>
      </c>
      <c r="J1968" s="249">
        <v>13983.371748470372</v>
      </c>
      <c r="K1968" s="910">
        <f t="shared" si="459"/>
        <v>727135</v>
      </c>
      <c r="L1968" s="890" t="s">
        <v>169</v>
      </c>
      <c r="M1968" s="929" t="s">
        <v>167</v>
      </c>
      <c r="N1968" s="52" t="str">
        <f>IF(AND('331-CT'!$E$7=TH!H1968,OR(L1968="331",M1968="331")),"331",IF(AND(OR(L1968="131",M1968="131"),H1968='131-CT'!$E$7),"131",""))</f>
        <v/>
      </c>
      <c r="O1968" s="89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8"/>
    </row>
    <row r="1969" spans="1:28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60"/>
        <v>12</v>
      </c>
      <c r="C1969" s="48">
        <f t="shared" si="458"/>
        <v>41988</v>
      </c>
      <c r="D1969" s="908" t="s">
        <v>1378</v>
      </c>
      <c r="E1969" s="908">
        <v>41988</v>
      </c>
      <c r="F1969" s="909" t="s">
        <v>828</v>
      </c>
      <c r="G1969" s="930" t="s">
        <v>826</v>
      </c>
      <c r="H1969" s="913" t="s">
        <v>1371</v>
      </c>
      <c r="I1969" s="249">
        <v>52</v>
      </c>
      <c r="J1969" s="249">
        <v>16204.260202639196</v>
      </c>
      <c r="K1969" s="910">
        <f t="shared" si="459"/>
        <v>842622</v>
      </c>
      <c r="L1969" s="890" t="s">
        <v>169</v>
      </c>
      <c r="M1969" s="929" t="s">
        <v>167</v>
      </c>
      <c r="N1969" s="52" t="str">
        <f>IF(AND('331-CT'!$E$7=TH!H1969,OR(L1969="331",M1969="331")),"331",IF(AND(OR(L1969="131",M1969="131"),H1969='131-CT'!$E$7),"131",""))</f>
        <v/>
      </c>
      <c r="O1969" s="89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8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60"/>
        <v>12</v>
      </c>
      <c r="C1970" s="48">
        <f t="shared" si="458"/>
        <v>41991</v>
      </c>
      <c r="D1970" s="908" t="s">
        <v>1378</v>
      </c>
      <c r="E1970" s="908">
        <v>41991</v>
      </c>
      <c r="F1970" s="909" t="s">
        <v>436</v>
      </c>
      <c r="G1970" s="930" t="s">
        <v>829</v>
      </c>
      <c r="H1970" s="913" t="s">
        <v>1371</v>
      </c>
      <c r="I1970" s="249">
        <v>522</v>
      </c>
      <c r="J1970" s="249">
        <v>7814.2371535569719</v>
      </c>
      <c r="K1970" s="910">
        <f t="shared" si="459"/>
        <v>4079032</v>
      </c>
      <c r="L1970" s="890" t="s">
        <v>169</v>
      </c>
      <c r="M1970" s="929" t="s">
        <v>167</v>
      </c>
      <c r="N1970" s="52" t="str">
        <f>IF(AND('331-CT'!$E$7=TH!H1970,OR(L1970="331",M1970="331")),"331",IF(AND(OR(L1970="131",M1970="131"),H1970='131-CT'!$E$7),"131",""))</f>
        <v/>
      </c>
      <c r="O1970" s="89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8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60"/>
        <v>12</v>
      </c>
      <c r="C1971" s="48">
        <f t="shared" si="458"/>
        <v>41992</v>
      </c>
      <c r="D1971" s="908" t="s">
        <v>1378</v>
      </c>
      <c r="E1971" s="908">
        <v>41992</v>
      </c>
      <c r="F1971" s="909" t="s">
        <v>830</v>
      </c>
      <c r="G1971" s="930" t="s">
        <v>831</v>
      </c>
      <c r="H1971" s="913" t="s">
        <v>1371</v>
      </c>
      <c r="I1971" s="249">
        <v>2500</v>
      </c>
      <c r="J1971" s="249">
        <v>2796.6743496940744</v>
      </c>
      <c r="K1971" s="910">
        <f t="shared" si="459"/>
        <v>6991686</v>
      </c>
      <c r="L1971" s="890" t="s">
        <v>169</v>
      </c>
      <c r="M1971" s="929" t="s">
        <v>167</v>
      </c>
      <c r="N1971" s="52" t="str">
        <f>IF(AND('331-CT'!$E$7=TH!H1971,OR(L1971="331",M1971="331")),"331",IF(AND(OR(L1971="131",M1971="131"),H1971='131-CT'!$E$7),"131",""))</f>
        <v/>
      </c>
      <c r="O1971" s="89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8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60"/>
        <v>12</v>
      </c>
      <c r="C1972" s="48">
        <f t="shared" si="458"/>
        <v>41992</v>
      </c>
      <c r="D1972" s="908" t="s">
        <v>1378</v>
      </c>
      <c r="E1972" s="908">
        <v>41992</v>
      </c>
      <c r="F1972" s="909" t="s">
        <v>833</v>
      </c>
      <c r="G1972" s="930" t="s">
        <v>831</v>
      </c>
      <c r="H1972" s="913" t="s">
        <v>1371</v>
      </c>
      <c r="I1972" s="249">
        <v>2200</v>
      </c>
      <c r="J1972" s="249">
        <v>5017.5628038628984</v>
      </c>
      <c r="K1972" s="910">
        <f t="shared" si="459"/>
        <v>11038638</v>
      </c>
      <c r="L1972" s="890" t="s">
        <v>169</v>
      </c>
      <c r="M1972" s="929" t="s">
        <v>167</v>
      </c>
      <c r="N1972" s="52" t="str">
        <f>IF(AND('331-CT'!$E$7=TH!H1972,OR(L1972="331",M1972="331")),"331",IF(AND(OR(L1972="131",M1972="131"),H1972='131-CT'!$E$7),"131",""))</f>
        <v/>
      </c>
      <c r="O1972" s="89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8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60"/>
        <v>12</v>
      </c>
      <c r="C1973" s="48">
        <f t="shared" si="458"/>
        <v>41993</v>
      </c>
      <c r="D1973" s="908" t="s">
        <v>1378</v>
      </c>
      <c r="E1973" s="908">
        <v>41993</v>
      </c>
      <c r="F1973" s="909" t="s">
        <v>834</v>
      </c>
      <c r="G1973" s="930" t="s">
        <v>835</v>
      </c>
      <c r="H1973" s="913" t="s">
        <v>1371</v>
      </c>
      <c r="I1973" s="249">
        <v>500</v>
      </c>
      <c r="J1973" s="249">
        <v>18178.383273011485</v>
      </c>
      <c r="K1973" s="910">
        <f t="shared" si="459"/>
        <v>9089192</v>
      </c>
      <c r="L1973" s="890" t="s">
        <v>169</v>
      </c>
      <c r="M1973" s="929" t="s">
        <v>167</v>
      </c>
      <c r="N1973" s="52" t="str">
        <f>IF(AND('331-CT'!$E$7=TH!H1973,OR(L1973="331",M1973="331")),"331",IF(AND(OR(L1973="131",M1973="131"),H1973='131-CT'!$E$7),"131",""))</f>
        <v/>
      </c>
      <c r="O1973" s="89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8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60"/>
        <v>12</v>
      </c>
      <c r="C1974" s="48">
        <f t="shared" ref="C1974:C2015" si="461">E1974</f>
        <v>41993</v>
      </c>
      <c r="D1974" s="908" t="s">
        <v>1378</v>
      </c>
      <c r="E1974" s="908">
        <v>41993</v>
      </c>
      <c r="F1974" s="909" t="s">
        <v>836</v>
      </c>
      <c r="G1974" s="930" t="s">
        <v>837</v>
      </c>
      <c r="H1974" s="913" t="s">
        <v>1371</v>
      </c>
      <c r="I1974" s="249">
        <v>213</v>
      </c>
      <c r="J1974" s="249">
        <v>10528.656375318868</v>
      </c>
      <c r="K1974" s="910">
        <f t="shared" ref="K1974:K2015" si="462">ROUND(I1974*J1974,0)</f>
        <v>2242604</v>
      </c>
      <c r="L1974" s="890" t="s">
        <v>169</v>
      </c>
      <c r="M1974" s="929" t="s">
        <v>167</v>
      </c>
      <c r="N1974" s="52" t="str">
        <f>IF(AND('331-CT'!$E$7=TH!H1974,OR(L1974="331",M1974="331")),"331",IF(AND(OR(L1974="131",M1974="131"),H1974='131-CT'!$E$7),"131",""))</f>
        <v/>
      </c>
      <c r="O1974" s="89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8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60"/>
        <v>12</v>
      </c>
      <c r="C1975" s="48">
        <f t="shared" si="461"/>
        <v>41995</v>
      </c>
      <c r="D1975" s="908" t="s">
        <v>1378</v>
      </c>
      <c r="E1975" s="908">
        <v>41995</v>
      </c>
      <c r="F1975" s="909" t="s">
        <v>1206</v>
      </c>
      <c r="G1975" s="930" t="s">
        <v>839</v>
      </c>
      <c r="H1975" s="913" t="s">
        <v>1371</v>
      </c>
      <c r="I1975" s="249">
        <v>819</v>
      </c>
      <c r="J1975" s="249">
        <v>9377.0845842683666</v>
      </c>
      <c r="K1975" s="910">
        <f t="shared" si="462"/>
        <v>7679832</v>
      </c>
      <c r="L1975" s="890" t="s">
        <v>169</v>
      </c>
      <c r="M1975" s="929" t="s">
        <v>167</v>
      </c>
      <c r="N1975" s="52" t="str">
        <f>IF(AND('331-CT'!$E$7=TH!H1975,OR(L1975="331",M1975="331")),"331",IF(AND(OR(L1975="131",M1975="131"),H1975='131-CT'!$E$7),"131",""))</f>
        <v/>
      </c>
      <c r="O1975" s="89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8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60"/>
        <v>12</v>
      </c>
      <c r="C1976" s="48">
        <f t="shared" si="461"/>
        <v>41995</v>
      </c>
      <c r="D1976" s="908" t="s">
        <v>1378</v>
      </c>
      <c r="E1976" s="908">
        <v>41995</v>
      </c>
      <c r="F1976" s="909" t="s">
        <v>445</v>
      </c>
      <c r="G1976" s="930" t="s">
        <v>839</v>
      </c>
      <c r="H1976" s="913" t="s">
        <v>1371</v>
      </c>
      <c r="I1976" s="249">
        <v>1638</v>
      </c>
      <c r="J1976" s="249">
        <v>822.55127932178664</v>
      </c>
      <c r="K1976" s="910">
        <f t="shared" si="462"/>
        <v>1347339</v>
      </c>
      <c r="L1976" s="890" t="s">
        <v>169</v>
      </c>
      <c r="M1976" s="929" t="s">
        <v>167</v>
      </c>
      <c r="N1976" s="52" t="str">
        <f>IF(AND('331-CT'!$E$7=TH!H1976,OR(L1976="331",M1976="331")),"331",IF(AND(OR(L1976="131",M1976="131"),H1976='131-CT'!$E$7),"131",""))</f>
        <v/>
      </c>
      <c r="O1976" s="89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8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60"/>
        <v>12</v>
      </c>
      <c r="C1977" s="48">
        <f t="shared" si="461"/>
        <v>41997</v>
      </c>
      <c r="D1977" s="908" t="s">
        <v>1378</v>
      </c>
      <c r="E1977" s="908">
        <v>41997</v>
      </c>
      <c r="F1977" s="909" t="s">
        <v>741</v>
      </c>
      <c r="G1977" s="930" t="s">
        <v>840</v>
      </c>
      <c r="H1977" s="913" t="s">
        <v>1371</v>
      </c>
      <c r="I1977" s="249">
        <v>517</v>
      </c>
      <c r="J1977" s="249">
        <v>5593.3486993881488</v>
      </c>
      <c r="K1977" s="910">
        <f t="shared" si="462"/>
        <v>2891761</v>
      </c>
      <c r="L1977" s="890" t="s">
        <v>169</v>
      </c>
      <c r="M1977" s="929" t="s">
        <v>167</v>
      </c>
      <c r="N1977" s="52" t="str">
        <f>IF(AND('331-CT'!$E$7=TH!H1977,OR(L1977="331",M1977="331")),"331",IF(AND(OR(L1977="131",M1977="131"),H1977='131-CT'!$E$7),"131",""))</f>
        <v/>
      </c>
      <c r="O1977" s="89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8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60"/>
        <v>12</v>
      </c>
      <c r="C1978" s="48">
        <f t="shared" si="461"/>
        <v>41997</v>
      </c>
      <c r="D1978" s="908" t="s">
        <v>1378</v>
      </c>
      <c r="E1978" s="908">
        <v>41997</v>
      </c>
      <c r="F1978" s="909" t="s">
        <v>841</v>
      </c>
      <c r="G1978" s="930" t="s">
        <v>842</v>
      </c>
      <c r="H1978" s="913" t="s">
        <v>1371</v>
      </c>
      <c r="I1978" s="249">
        <v>701</v>
      </c>
      <c r="J1978" s="249">
        <v>7978.7474094213294</v>
      </c>
      <c r="K1978" s="910">
        <f t="shared" si="462"/>
        <v>5593102</v>
      </c>
      <c r="L1978" s="890" t="s">
        <v>169</v>
      </c>
      <c r="M1978" s="929" t="s">
        <v>167</v>
      </c>
      <c r="N1978" s="52" t="str">
        <f>IF(AND('331-CT'!$E$7=TH!H1978,OR(L1978="331",M1978="331")),"331",IF(AND(OR(L1978="131",M1978="131"),H1978='131-CT'!$E$7),"131",""))</f>
        <v/>
      </c>
      <c r="O1978" s="89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8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60"/>
        <v>12</v>
      </c>
      <c r="C1979" s="48">
        <f t="shared" si="461"/>
        <v>41997</v>
      </c>
      <c r="D1979" s="908" t="s">
        <v>1378</v>
      </c>
      <c r="E1979" s="908">
        <v>41997</v>
      </c>
      <c r="F1979" s="909" t="s">
        <v>843</v>
      </c>
      <c r="G1979" s="930" t="s">
        <v>842</v>
      </c>
      <c r="H1979" s="913" t="s">
        <v>1371</v>
      </c>
      <c r="I1979" s="249">
        <v>59</v>
      </c>
      <c r="J1979" s="249">
        <v>16533.280714367909</v>
      </c>
      <c r="K1979" s="910">
        <f t="shared" si="462"/>
        <v>975464</v>
      </c>
      <c r="L1979" s="890" t="s">
        <v>169</v>
      </c>
      <c r="M1979" s="929" t="s">
        <v>167</v>
      </c>
      <c r="N1979" s="52" t="str">
        <f>IF(AND('331-CT'!$E$7=TH!H1979,OR(L1979="331",M1979="331")),"331",IF(AND(OR(L1979="131",M1979="131"),H1979='131-CT'!$E$7),"131",""))</f>
        <v/>
      </c>
      <c r="O1979" s="89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8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60"/>
        <v>12</v>
      </c>
      <c r="C1980" s="48">
        <f t="shared" si="461"/>
        <v>41997</v>
      </c>
      <c r="D1980" s="908" t="s">
        <v>1378</v>
      </c>
      <c r="E1980" s="908">
        <v>41997</v>
      </c>
      <c r="F1980" s="909" t="s">
        <v>1201</v>
      </c>
      <c r="G1980" s="930" t="s">
        <v>842</v>
      </c>
      <c r="H1980" s="913" t="s">
        <v>1371</v>
      </c>
      <c r="I1980" s="249">
        <v>1402</v>
      </c>
      <c r="J1980" s="249">
        <v>904.80640725396518</v>
      </c>
      <c r="K1980" s="910">
        <f t="shared" si="462"/>
        <v>1268539</v>
      </c>
      <c r="L1980" s="890" t="s">
        <v>169</v>
      </c>
      <c r="M1980" s="929" t="s">
        <v>167</v>
      </c>
      <c r="N1980" s="52" t="str">
        <f>IF(AND('331-CT'!$E$7=TH!H1980,OR(L1980="331",M1980="331")),"331",IF(AND(OR(L1980="131",M1980="131"),H1980='131-CT'!$E$7),"131",""))</f>
        <v/>
      </c>
      <c r="O1980" s="89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8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60"/>
        <v>12</v>
      </c>
      <c r="C1981" s="48">
        <f t="shared" si="461"/>
        <v>41997</v>
      </c>
      <c r="D1981" s="908" t="s">
        <v>1378</v>
      </c>
      <c r="E1981" s="908">
        <v>41997</v>
      </c>
      <c r="F1981" s="909" t="s">
        <v>1202</v>
      </c>
      <c r="G1981" s="930" t="s">
        <v>842</v>
      </c>
      <c r="H1981" s="913" t="s">
        <v>1371</v>
      </c>
      <c r="I1981" s="249">
        <v>118</v>
      </c>
      <c r="J1981" s="249">
        <v>1974.1230703722877</v>
      </c>
      <c r="K1981" s="910">
        <f t="shared" si="462"/>
        <v>232947</v>
      </c>
      <c r="L1981" s="890" t="s">
        <v>169</v>
      </c>
      <c r="M1981" s="929" t="s">
        <v>167</v>
      </c>
      <c r="N1981" s="52" t="str">
        <f>IF(AND('331-CT'!$E$7=TH!H1981,OR(L1981="331",M1981="331")),"331",IF(AND(OR(L1981="131",M1981="131"),H1981='131-CT'!$E$7),"131",""))</f>
        <v/>
      </c>
      <c r="O1981" s="89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8"/>
    </row>
    <row r="1982" spans="1:28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60"/>
        <v>12</v>
      </c>
      <c r="C1982" s="48">
        <f t="shared" si="461"/>
        <v>41997</v>
      </c>
      <c r="D1982" s="908" t="s">
        <v>1378</v>
      </c>
      <c r="E1982" s="908">
        <v>41997</v>
      </c>
      <c r="F1982" s="909" t="s">
        <v>844</v>
      </c>
      <c r="G1982" s="930" t="s">
        <v>845</v>
      </c>
      <c r="H1982" s="913" t="s">
        <v>1371</v>
      </c>
      <c r="I1982" s="249">
        <v>42</v>
      </c>
      <c r="J1982" s="249">
        <v>5511.0935714559701</v>
      </c>
      <c r="K1982" s="910">
        <f t="shared" si="462"/>
        <v>231466</v>
      </c>
      <c r="L1982" s="890" t="s">
        <v>169</v>
      </c>
      <c r="M1982" s="929" t="s">
        <v>167</v>
      </c>
      <c r="N1982" s="52" t="str">
        <f>IF(AND('331-CT'!$E$7=TH!H1982,OR(L1982="331",M1982="331")),"331",IF(AND(OR(L1982="131",M1982="131"),H1982='131-CT'!$E$7),"131",""))</f>
        <v/>
      </c>
      <c r="O1982" s="89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8"/>
    </row>
    <row r="1983" spans="1:28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60"/>
        <v>12</v>
      </c>
      <c r="C1983" s="48">
        <f t="shared" si="461"/>
        <v>41997</v>
      </c>
      <c r="D1983" s="908" t="s">
        <v>1378</v>
      </c>
      <c r="E1983" s="908">
        <v>41997</v>
      </c>
      <c r="F1983" s="909" t="s">
        <v>847</v>
      </c>
      <c r="G1983" s="930" t="s">
        <v>845</v>
      </c>
      <c r="H1983" s="913" t="s">
        <v>1371</v>
      </c>
      <c r="I1983" s="249">
        <v>137</v>
      </c>
      <c r="J1983" s="249">
        <v>6991.685874235186</v>
      </c>
      <c r="K1983" s="910">
        <f t="shared" si="462"/>
        <v>957861</v>
      </c>
      <c r="L1983" s="890" t="s">
        <v>169</v>
      </c>
      <c r="M1983" s="929" t="s">
        <v>167</v>
      </c>
      <c r="N1983" s="52" t="str">
        <f>IF(AND('331-CT'!$E$7=TH!H1983,OR(L1983="331",M1983="331")),"331",IF(AND(OR(L1983="131",M1983="131"),H1983='131-CT'!$E$7),"131",""))</f>
        <v/>
      </c>
      <c r="O1983" s="89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8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60"/>
        <v>12</v>
      </c>
      <c r="C1984" s="48">
        <f t="shared" si="461"/>
        <v>41997</v>
      </c>
      <c r="D1984" s="908" t="s">
        <v>1378</v>
      </c>
      <c r="E1984" s="908">
        <v>41997</v>
      </c>
      <c r="F1984" s="909" t="s">
        <v>848</v>
      </c>
      <c r="G1984" s="930" t="s">
        <v>845</v>
      </c>
      <c r="H1984" s="913" t="s">
        <v>1371</v>
      </c>
      <c r="I1984" s="249">
        <v>44</v>
      </c>
      <c r="J1984" s="249">
        <v>7238.4512580317214</v>
      </c>
      <c r="K1984" s="910">
        <f t="shared" si="462"/>
        <v>318492</v>
      </c>
      <c r="L1984" s="890" t="s">
        <v>169</v>
      </c>
      <c r="M1984" s="929" t="s">
        <v>167</v>
      </c>
      <c r="N1984" s="52" t="str">
        <f>IF(AND('331-CT'!$E$7=TH!H1984,OR(L1984="331",M1984="331")),"331",IF(AND(OR(L1984="131",M1984="131"),H1984='131-CT'!$E$7),"131",""))</f>
        <v/>
      </c>
      <c r="O1984" s="89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8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60"/>
        <v>12</v>
      </c>
      <c r="C1985" s="48">
        <f t="shared" si="461"/>
        <v>41997</v>
      </c>
      <c r="D1985" s="908" t="s">
        <v>1378</v>
      </c>
      <c r="E1985" s="908">
        <v>41997</v>
      </c>
      <c r="F1985" s="909" t="s">
        <v>849</v>
      </c>
      <c r="G1985" s="930" t="s">
        <v>845</v>
      </c>
      <c r="H1985" s="913" t="s">
        <v>1371</v>
      </c>
      <c r="I1985" s="249">
        <v>966</v>
      </c>
      <c r="J1985" s="249">
        <v>7485.2166418282577</v>
      </c>
      <c r="K1985" s="910">
        <f t="shared" si="462"/>
        <v>7230719</v>
      </c>
      <c r="L1985" s="890" t="s">
        <v>169</v>
      </c>
      <c r="M1985" s="929" t="s">
        <v>167</v>
      </c>
      <c r="N1985" s="52" t="str">
        <f>IF(AND('331-CT'!$E$7=TH!H1985,OR(L1985="331",M1985="331")),"331",IF(AND(OR(L1985="131",M1985="131"),H1985='131-CT'!$E$7),"131",""))</f>
        <v/>
      </c>
      <c r="O1985" s="89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8"/>
    </row>
    <row r="1986" spans="1:28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60"/>
        <v>12</v>
      </c>
      <c r="C1986" s="48">
        <f t="shared" si="461"/>
        <v>41997</v>
      </c>
      <c r="D1986" s="908" t="s">
        <v>1378</v>
      </c>
      <c r="E1986" s="908">
        <v>41997</v>
      </c>
      <c r="F1986" s="909" t="s">
        <v>850</v>
      </c>
      <c r="G1986" s="930" t="s">
        <v>845</v>
      </c>
      <c r="H1986" s="913" t="s">
        <v>1371</v>
      </c>
      <c r="I1986" s="249">
        <v>105</v>
      </c>
      <c r="J1986" s="249">
        <v>9377.0845842683666</v>
      </c>
      <c r="K1986" s="910">
        <f t="shared" si="462"/>
        <v>984594</v>
      </c>
      <c r="L1986" s="890" t="s">
        <v>169</v>
      </c>
      <c r="M1986" s="929" t="s">
        <v>167</v>
      </c>
      <c r="N1986" s="52" t="str">
        <f>IF(AND('331-CT'!$E$7=TH!H1986,OR(L1986="331",M1986="331")),"331",IF(AND(OR(L1986="131",M1986="131"),H1986='131-CT'!$E$7),"131",""))</f>
        <v/>
      </c>
      <c r="O1986" s="89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8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60"/>
        <v>12</v>
      </c>
      <c r="C1987" s="48">
        <f t="shared" si="461"/>
        <v>41997</v>
      </c>
      <c r="D1987" s="908" t="s">
        <v>1378</v>
      </c>
      <c r="E1987" s="908">
        <v>41997</v>
      </c>
      <c r="F1987" s="909" t="s">
        <v>851</v>
      </c>
      <c r="G1987" s="930" t="s">
        <v>845</v>
      </c>
      <c r="H1987" s="913" t="s">
        <v>1371</v>
      </c>
      <c r="I1987" s="249">
        <v>25</v>
      </c>
      <c r="J1987" s="249">
        <v>9541.5948401327241</v>
      </c>
      <c r="K1987" s="910">
        <f t="shared" si="462"/>
        <v>238540</v>
      </c>
      <c r="L1987" s="890" t="s">
        <v>169</v>
      </c>
      <c r="M1987" s="929" t="s">
        <v>167</v>
      </c>
      <c r="N1987" s="52" t="str">
        <f>IF(AND('331-CT'!$E$7=TH!H1987,OR(L1987="331",M1987="331")),"331",IF(AND(OR(L1987="131",M1987="131"),H1987='131-CT'!$E$7),"131",""))</f>
        <v/>
      </c>
      <c r="O1987" s="89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8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60"/>
        <v>12</v>
      </c>
      <c r="C1988" s="48">
        <f t="shared" si="461"/>
        <v>41997</v>
      </c>
      <c r="D1988" s="908" t="s">
        <v>1378</v>
      </c>
      <c r="E1988" s="908">
        <v>41997</v>
      </c>
      <c r="F1988" s="909" t="s">
        <v>852</v>
      </c>
      <c r="G1988" s="930" t="s">
        <v>845</v>
      </c>
      <c r="H1988" s="913" t="s">
        <v>1371</v>
      </c>
      <c r="I1988" s="249">
        <v>104</v>
      </c>
      <c r="J1988" s="249">
        <v>10528.656375318868</v>
      </c>
      <c r="K1988" s="910">
        <f t="shared" si="462"/>
        <v>1094980</v>
      </c>
      <c r="L1988" s="890" t="s">
        <v>169</v>
      </c>
      <c r="M1988" s="929" t="s">
        <v>167</v>
      </c>
      <c r="N1988" s="52" t="str">
        <f>IF(AND('331-CT'!$E$7=TH!H1988,OR(L1988="331",M1988="331")),"331",IF(AND(OR(L1988="131",M1988="131"),H1988='131-CT'!$E$7),"131",""))</f>
        <v/>
      </c>
      <c r="O1988" s="89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8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60"/>
        <v>12</v>
      </c>
      <c r="C1989" s="48">
        <f t="shared" si="461"/>
        <v>41997</v>
      </c>
      <c r="D1989" s="908" t="s">
        <v>1378</v>
      </c>
      <c r="E1989" s="908">
        <v>41997</v>
      </c>
      <c r="F1989" s="909" t="s">
        <v>853</v>
      </c>
      <c r="G1989" s="930" t="s">
        <v>845</v>
      </c>
      <c r="H1989" s="913" t="s">
        <v>1371</v>
      </c>
      <c r="I1989" s="249">
        <v>108</v>
      </c>
      <c r="J1989" s="249">
        <v>10857.676887047583</v>
      </c>
      <c r="K1989" s="910">
        <f t="shared" si="462"/>
        <v>1172629</v>
      </c>
      <c r="L1989" s="890" t="s">
        <v>169</v>
      </c>
      <c r="M1989" s="929" t="s">
        <v>167</v>
      </c>
      <c r="N1989" s="52" t="str">
        <f>IF(AND('331-CT'!$E$7=TH!H1989,OR(L1989="331",M1989="331")),"331",IF(AND(OR(L1989="131",M1989="131"),H1989='131-CT'!$E$7),"131",""))</f>
        <v/>
      </c>
      <c r="O1989" s="89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8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460"/>
        <v>12</v>
      </c>
      <c r="C1990" s="48">
        <f t="shared" si="461"/>
        <v>41997</v>
      </c>
      <c r="D1990" s="908" t="s">
        <v>1378</v>
      </c>
      <c r="E1990" s="908">
        <v>41997</v>
      </c>
      <c r="F1990" s="909" t="s">
        <v>854</v>
      </c>
      <c r="G1990" s="930" t="s">
        <v>845</v>
      </c>
      <c r="H1990" s="913" t="s">
        <v>1371</v>
      </c>
      <c r="I1990" s="249">
        <v>32</v>
      </c>
      <c r="J1990" s="249">
        <v>12502.779445691156</v>
      </c>
      <c r="K1990" s="910">
        <f t="shared" si="462"/>
        <v>400089</v>
      </c>
      <c r="L1990" s="890" t="s">
        <v>169</v>
      </c>
      <c r="M1990" s="929" t="s">
        <v>167</v>
      </c>
      <c r="N1990" s="52" t="str">
        <f>IF(AND('331-CT'!$E$7=TH!H1990,OR(L1990="331",M1990="331")),"331",IF(AND(OR(L1990="131",M1990="131"),H1990='131-CT'!$E$7),"131",""))</f>
        <v/>
      </c>
      <c r="O1990" s="89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8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60"/>
        <v>12</v>
      </c>
      <c r="C1991" s="48">
        <f t="shared" si="461"/>
        <v>41997</v>
      </c>
      <c r="D1991" s="908" t="s">
        <v>1378</v>
      </c>
      <c r="E1991" s="908">
        <v>41997</v>
      </c>
      <c r="F1991" s="909" t="s">
        <v>855</v>
      </c>
      <c r="G1991" s="930" t="s">
        <v>845</v>
      </c>
      <c r="H1991" s="913" t="s">
        <v>1371</v>
      </c>
      <c r="I1991" s="249">
        <v>63</v>
      </c>
      <c r="J1991" s="249">
        <v>13572.096108809477</v>
      </c>
      <c r="K1991" s="910">
        <f t="shared" si="462"/>
        <v>855042</v>
      </c>
      <c r="L1991" s="890" t="s">
        <v>169</v>
      </c>
      <c r="M1991" s="929" t="s">
        <v>167</v>
      </c>
      <c r="N1991" s="52" t="str">
        <f>IF(AND('331-CT'!$E$7=TH!H1991,OR(L1991="331",M1991="331")),"331",IF(AND(OR(L1991="131",M1991="131"),H1991='131-CT'!$E$7),"131",""))</f>
        <v/>
      </c>
      <c r="O1991" s="89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8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60"/>
        <v>12</v>
      </c>
      <c r="C1992" s="48">
        <f t="shared" si="461"/>
        <v>41998</v>
      </c>
      <c r="D1992" s="908" t="s">
        <v>1378</v>
      </c>
      <c r="E1992" s="908">
        <v>41998</v>
      </c>
      <c r="F1992" s="909" t="s">
        <v>436</v>
      </c>
      <c r="G1992" s="930" t="s">
        <v>856</v>
      </c>
      <c r="H1992" s="913" t="s">
        <v>1371</v>
      </c>
      <c r="I1992" s="249">
        <v>500</v>
      </c>
      <c r="J1992" s="249">
        <v>7814.2371535569719</v>
      </c>
      <c r="K1992" s="910">
        <f t="shared" si="462"/>
        <v>3907119</v>
      </c>
      <c r="L1992" s="890" t="s">
        <v>169</v>
      </c>
      <c r="M1992" s="929" t="s">
        <v>167</v>
      </c>
      <c r="N1992" s="52" t="str">
        <f>IF(AND('331-CT'!$E$7=TH!H1992,OR(L1992="331",M1992="331")),"331",IF(AND(OR(L1992="131",M1992="131"),H1992='131-CT'!$E$7),"131",""))</f>
        <v/>
      </c>
      <c r="O1992" s="89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8"/>
    </row>
    <row r="1993" spans="1:28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60"/>
        <v>12</v>
      </c>
      <c r="C1993" s="48">
        <f t="shared" si="461"/>
        <v>41998</v>
      </c>
      <c r="D1993" s="908" t="s">
        <v>1378</v>
      </c>
      <c r="E1993" s="908">
        <v>41998</v>
      </c>
      <c r="F1993" s="909" t="s">
        <v>459</v>
      </c>
      <c r="G1993" s="930" t="s">
        <v>857</v>
      </c>
      <c r="H1993" s="913" t="s">
        <v>1371</v>
      </c>
      <c r="I1993" s="249">
        <v>1000</v>
      </c>
      <c r="J1993" s="249">
        <v>7567.4717697604365</v>
      </c>
      <c r="K1993" s="910">
        <f t="shared" si="462"/>
        <v>7567472</v>
      </c>
      <c r="L1993" s="890" t="s">
        <v>169</v>
      </c>
      <c r="M1993" s="929" t="s">
        <v>167</v>
      </c>
      <c r="N1993" s="52" t="str">
        <f>IF(AND('331-CT'!$E$7=TH!H1993,OR(L1993="331",M1993="331")),"331",IF(AND(OR(L1993="131",M1993="131"),H1993='131-CT'!$E$7),"131",""))</f>
        <v/>
      </c>
      <c r="O1993" s="89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8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60"/>
        <v>12</v>
      </c>
      <c r="C1994" s="48">
        <f t="shared" si="461"/>
        <v>41998</v>
      </c>
      <c r="D1994" s="908" t="s">
        <v>1378</v>
      </c>
      <c r="E1994" s="908">
        <v>41998</v>
      </c>
      <c r="F1994" s="909" t="s">
        <v>858</v>
      </c>
      <c r="G1994" s="930" t="s">
        <v>859</v>
      </c>
      <c r="H1994" s="913" t="s">
        <v>1371</v>
      </c>
      <c r="I1994" s="249">
        <v>45</v>
      </c>
      <c r="J1994" s="249">
        <v>20234.761471315949</v>
      </c>
      <c r="K1994" s="910">
        <f t="shared" si="462"/>
        <v>910564</v>
      </c>
      <c r="L1994" s="890" t="s">
        <v>169</v>
      </c>
      <c r="M1994" s="929" t="s">
        <v>167</v>
      </c>
      <c r="N1994" s="52" t="str">
        <f>IF(AND('331-CT'!$E$7=TH!H1994,OR(L1994="331",M1994="331")),"331",IF(AND(OR(L1994="131",M1994="131"),H1994='131-CT'!$E$7),"131",""))</f>
        <v/>
      </c>
      <c r="O1994" s="89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8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60"/>
        <v>12</v>
      </c>
      <c r="C1995" s="48">
        <f t="shared" si="461"/>
        <v>41998</v>
      </c>
      <c r="D1995" s="908" t="s">
        <v>1378</v>
      </c>
      <c r="E1995" s="908">
        <v>41998</v>
      </c>
      <c r="F1995" s="909" t="s">
        <v>746</v>
      </c>
      <c r="G1995" s="930" t="s">
        <v>859</v>
      </c>
      <c r="H1995" s="913" t="s">
        <v>1371</v>
      </c>
      <c r="I1995" s="249">
        <v>90</v>
      </c>
      <c r="J1995" s="249">
        <v>1233.8269189826799</v>
      </c>
      <c r="K1995" s="910">
        <f t="shared" si="462"/>
        <v>111044</v>
      </c>
      <c r="L1995" s="890" t="s">
        <v>169</v>
      </c>
      <c r="M1995" s="929" t="s">
        <v>167</v>
      </c>
      <c r="N1995" s="52" t="str">
        <f>IF(AND('331-CT'!$E$7=TH!H1995,OR(L1995="331",M1995="331")),"331",IF(AND(OR(L1995="131",M1995="131"),H1995='131-CT'!$E$7),"131",""))</f>
        <v/>
      </c>
      <c r="O1995" s="89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8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60"/>
        <v>12</v>
      </c>
      <c r="C1996" s="48">
        <f t="shared" si="461"/>
        <v>41999</v>
      </c>
      <c r="D1996" s="908" t="s">
        <v>1378</v>
      </c>
      <c r="E1996" s="908">
        <v>41999</v>
      </c>
      <c r="F1996" s="909" t="s">
        <v>860</v>
      </c>
      <c r="G1996" s="930" t="s">
        <v>861</v>
      </c>
      <c r="H1996" s="913" t="s">
        <v>1371</v>
      </c>
      <c r="I1996" s="249">
        <v>305</v>
      </c>
      <c r="J1996" s="249">
        <v>15792.984562978301</v>
      </c>
      <c r="K1996" s="910">
        <f t="shared" si="462"/>
        <v>4816860</v>
      </c>
      <c r="L1996" s="890" t="s">
        <v>169</v>
      </c>
      <c r="M1996" s="929" t="s">
        <v>167</v>
      </c>
      <c r="N1996" s="52" t="str">
        <f>IF(AND('331-CT'!$E$7=TH!H1996,OR(L1996="331",M1996="331")),"331",IF(AND(OR(L1996="131",M1996="131"),H1996='131-CT'!$E$7),"131",""))</f>
        <v/>
      </c>
      <c r="O1996" s="89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8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60"/>
        <v>12</v>
      </c>
      <c r="C1997" s="48">
        <f t="shared" si="461"/>
        <v>41999</v>
      </c>
      <c r="D1997" s="908" t="s">
        <v>1378</v>
      </c>
      <c r="E1997" s="908">
        <v>41999</v>
      </c>
      <c r="F1997" s="909" t="s">
        <v>863</v>
      </c>
      <c r="G1997" s="930" t="s">
        <v>861</v>
      </c>
      <c r="H1997" s="913" t="s">
        <v>1371</v>
      </c>
      <c r="I1997" s="249">
        <v>615</v>
      </c>
      <c r="J1997" s="249">
        <v>7485.2166418282577</v>
      </c>
      <c r="K1997" s="910">
        <f t="shared" si="462"/>
        <v>4603408</v>
      </c>
      <c r="L1997" s="890" t="s">
        <v>169</v>
      </c>
      <c r="M1997" s="929" t="s">
        <v>167</v>
      </c>
      <c r="N1997" s="52" t="str">
        <f>IF(AND('331-CT'!$E$7=TH!H1997,OR(L1997="331",M1997="331")),"331",IF(AND(OR(L1997="131",M1997="131"),H1997='131-CT'!$E$7),"131",""))</f>
        <v/>
      </c>
      <c r="O1997" s="89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8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60"/>
        <v>12</v>
      </c>
      <c r="C1998" s="48">
        <f t="shared" si="461"/>
        <v>41999</v>
      </c>
      <c r="D1998" s="908" t="s">
        <v>1378</v>
      </c>
      <c r="E1998" s="908">
        <v>41999</v>
      </c>
      <c r="F1998" s="909" t="s">
        <v>864</v>
      </c>
      <c r="G1998" s="930" t="s">
        <v>861</v>
      </c>
      <c r="H1998" s="913" t="s">
        <v>1371</v>
      </c>
      <c r="I1998" s="249">
        <v>953</v>
      </c>
      <c r="J1998" s="249">
        <v>6744.9204904386497</v>
      </c>
      <c r="K1998" s="910">
        <f t="shared" si="462"/>
        <v>6427909</v>
      </c>
      <c r="L1998" s="890" t="s">
        <v>169</v>
      </c>
      <c r="M1998" s="929" t="s">
        <v>167</v>
      </c>
      <c r="N1998" s="52" t="str">
        <f>IF(AND('331-CT'!$E$7=TH!H1998,OR(L1998="331",M1998="331")),"331",IF(AND(OR(L1998="131",M1998="131"),H1998='131-CT'!$E$7),"131",""))</f>
        <v/>
      </c>
      <c r="O1998" s="89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8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60"/>
        <v>12</v>
      </c>
      <c r="C1999" s="48">
        <f t="shared" si="461"/>
        <v>41999</v>
      </c>
      <c r="D1999" s="908" t="s">
        <v>1378</v>
      </c>
      <c r="E1999" s="908">
        <v>41999</v>
      </c>
      <c r="F1999" s="909" t="s">
        <v>865</v>
      </c>
      <c r="G1999" s="930" t="s">
        <v>861</v>
      </c>
      <c r="H1999" s="913" t="s">
        <v>1371</v>
      </c>
      <c r="I1999" s="249">
        <v>300</v>
      </c>
      <c r="J1999" s="249">
        <v>6909.4307463030073</v>
      </c>
      <c r="K1999" s="910">
        <f t="shared" si="462"/>
        <v>2072829</v>
      </c>
      <c r="L1999" s="890" t="s">
        <v>169</v>
      </c>
      <c r="M1999" s="929" t="s">
        <v>167</v>
      </c>
      <c r="N1999" s="52" t="str">
        <f>IF(AND('331-CT'!$E$7=TH!H1999,OR(L1999="331",M1999="331")),"331",IF(AND(OR(L1999="131",M1999="131"),H1999='131-CT'!$E$7),"131",""))</f>
        <v/>
      </c>
      <c r="O1999" s="89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8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60"/>
        <v>12</v>
      </c>
      <c r="C2000" s="48">
        <f t="shared" si="461"/>
        <v>41999</v>
      </c>
      <c r="D2000" s="908" t="s">
        <v>1378</v>
      </c>
      <c r="E2000" s="908">
        <v>41999</v>
      </c>
      <c r="F2000" s="909" t="s">
        <v>866</v>
      </c>
      <c r="G2000" s="930" t="s">
        <v>867</v>
      </c>
      <c r="H2000" s="913" t="s">
        <v>1371</v>
      </c>
      <c r="I2000" s="249">
        <v>416</v>
      </c>
      <c r="J2000" s="249">
        <v>5428.8384435237913</v>
      </c>
      <c r="K2000" s="910">
        <f t="shared" si="462"/>
        <v>2258397</v>
      </c>
      <c r="L2000" s="890" t="s">
        <v>169</v>
      </c>
      <c r="M2000" s="929" t="s">
        <v>167</v>
      </c>
      <c r="N2000" s="52" t="str">
        <f>IF(AND('331-CT'!$E$7=TH!H2000,OR(L2000="331",M2000="331")),"331",IF(AND(OR(L2000="131",M2000="131"),H2000='131-CT'!$E$7),"131",""))</f>
        <v/>
      </c>
      <c r="O2000" s="89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8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60"/>
        <v>12</v>
      </c>
      <c r="C2001" s="48">
        <f t="shared" si="461"/>
        <v>41999</v>
      </c>
      <c r="D2001" s="908" t="s">
        <v>1378</v>
      </c>
      <c r="E2001" s="908">
        <v>41999</v>
      </c>
      <c r="F2001" s="909" t="s">
        <v>866</v>
      </c>
      <c r="G2001" s="930" t="s">
        <v>867</v>
      </c>
      <c r="H2001" s="913" t="s">
        <v>1371</v>
      </c>
      <c r="I2001" s="249">
        <v>602</v>
      </c>
      <c r="J2001" s="249">
        <v>5428.8384435237913</v>
      </c>
      <c r="K2001" s="910">
        <f t="shared" si="462"/>
        <v>3268161</v>
      </c>
      <c r="L2001" s="890" t="s">
        <v>169</v>
      </c>
      <c r="M2001" s="929" t="s">
        <v>167</v>
      </c>
      <c r="N2001" s="52" t="str">
        <f>IF(AND('331-CT'!$E$7=TH!H2001,OR(L2001="331",M2001="331")),"331",IF(AND(OR(L2001="131",M2001="131"),H2001='131-CT'!$E$7),"131",""))</f>
        <v/>
      </c>
      <c r="O2001" s="89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8"/>
    </row>
    <row r="2002" spans="1:28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60"/>
        <v>12</v>
      </c>
      <c r="C2002" s="48">
        <f t="shared" si="461"/>
        <v>41999</v>
      </c>
      <c r="D2002" s="908" t="s">
        <v>1378</v>
      </c>
      <c r="E2002" s="908">
        <v>41999</v>
      </c>
      <c r="F2002" s="909" t="s">
        <v>868</v>
      </c>
      <c r="G2002" s="930" t="s">
        <v>867</v>
      </c>
      <c r="H2002" s="913" t="s">
        <v>1371</v>
      </c>
      <c r="I2002" s="249">
        <v>413</v>
      </c>
      <c r="J2002" s="249">
        <v>4770.7974200663621</v>
      </c>
      <c r="K2002" s="910">
        <f t="shared" si="462"/>
        <v>1970339</v>
      </c>
      <c r="L2002" s="890" t="s">
        <v>169</v>
      </c>
      <c r="M2002" s="929" t="s">
        <v>167</v>
      </c>
      <c r="N2002" s="52" t="str">
        <f>IF(AND('331-CT'!$E$7=TH!H2002,OR(L2002="331",M2002="331")),"331",IF(AND(OR(L2002="131",M2002="131"),H2002='131-CT'!$E$7),"131",""))</f>
        <v/>
      </c>
      <c r="O2002" s="89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8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60"/>
        <v>12</v>
      </c>
      <c r="C2003" s="48">
        <f t="shared" si="461"/>
        <v>42000</v>
      </c>
      <c r="D2003" s="908" t="s">
        <v>1378</v>
      </c>
      <c r="E2003" s="908">
        <v>42000</v>
      </c>
      <c r="F2003" s="909" t="s">
        <v>670</v>
      </c>
      <c r="G2003" s="930" t="s">
        <v>869</v>
      </c>
      <c r="H2003" s="913" t="s">
        <v>1371</v>
      </c>
      <c r="I2003" s="249">
        <v>1528</v>
      </c>
      <c r="J2003" s="249">
        <v>7402.9615138960789</v>
      </c>
      <c r="K2003" s="910">
        <f t="shared" si="462"/>
        <v>11311725</v>
      </c>
      <c r="L2003" s="890" t="s">
        <v>169</v>
      </c>
      <c r="M2003" s="929" t="s">
        <v>167</v>
      </c>
      <c r="N2003" s="52" t="str">
        <f>IF(AND('331-CT'!$E$7=TH!H2003,OR(L2003="331",M2003="331")),"331",IF(AND(OR(L2003="131",M2003="131"),H2003='131-CT'!$E$7),"131",""))</f>
        <v/>
      </c>
      <c r="O2003" s="89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8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60"/>
        <v>12</v>
      </c>
      <c r="C2004" s="48">
        <f t="shared" si="461"/>
        <v>42000</v>
      </c>
      <c r="D2004" s="908" t="s">
        <v>1378</v>
      </c>
      <c r="E2004" s="908">
        <v>42000</v>
      </c>
      <c r="F2004" s="909" t="s">
        <v>515</v>
      </c>
      <c r="G2004" s="930" t="s">
        <v>870</v>
      </c>
      <c r="H2004" s="913" t="s">
        <v>1371</v>
      </c>
      <c r="I2004" s="249">
        <v>1010</v>
      </c>
      <c r="J2004" s="249">
        <v>9459.3397122005445</v>
      </c>
      <c r="K2004" s="910">
        <f t="shared" si="462"/>
        <v>9553933</v>
      </c>
      <c r="L2004" s="890" t="s">
        <v>169</v>
      </c>
      <c r="M2004" s="929" t="s">
        <v>167</v>
      </c>
      <c r="N2004" s="52" t="str">
        <f>IF(AND('331-CT'!$E$7=TH!H2004,OR(L2004="331",M2004="331")),"331",IF(AND(OR(L2004="131",M2004="131"),H2004='131-CT'!$E$7),"131",""))</f>
        <v/>
      </c>
      <c r="O2004" s="89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8"/>
    </row>
    <row r="2005" spans="1:28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60"/>
        <v>12</v>
      </c>
      <c r="C2005" s="48">
        <f t="shared" si="461"/>
        <v>42003</v>
      </c>
      <c r="D2005" s="908" t="s">
        <v>1378</v>
      </c>
      <c r="E2005" s="908">
        <v>42003</v>
      </c>
      <c r="F2005" s="909" t="s">
        <v>871</v>
      </c>
      <c r="G2005" s="930" t="s">
        <v>872</v>
      </c>
      <c r="H2005" s="913" t="s">
        <v>1371</v>
      </c>
      <c r="I2005" s="249">
        <v>310</v>
      </c>
      <c r="J2005" s="249">
        <v>7731.9820256247931</v>
      </c>
      <c r="K2005" s="910">
        <f t="shared" si="462"/>
        <v>2396914</v>
      </c>
      <c r="L2005" s="890" t="s">
        <v>169</v>
      </c>
      <c r="M2005" s="929" t="s">
        <v>167</v>
      </c>
      <c r="N2005" s="52" t="str">
        <f>IF(AND('331-CT'!$E$7=TH!H2005,OR(L2005="331",M2005="331")),"331",IF(AND(OR(L2005="131",M2005="131"),H2005='131-CT'!$E$7),"131",""))</f>
        <v/>
      </c>
      <c r="O2005" s="89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8"/>
    </row>
    <row r="2006" spans="1:28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60"/>
        <v>12</v>
      </c>
      <c r="C2006" s="48">
        <f t="shared" si="461"/>
        <v>42003</v>
      </c>
      <c r="D2006" s="908" t="s">
        <v>1378</v>
      </c>
      <c r="E2006" s="908">
        <v>42003</v>
      </c>
      <c r="F2006" s="909" t="s">
        <v>873</v>
      </c>
      <c r="G2006" s="930" t="s">
        <v>872</v>
      </c>
      <c r="H2006" s="913" t="s">
        <v>1371</v>
      </c>
      <c r="I2006" s="249">
        <v>219</v>
      </c>
      <c r="J2006" s="249">
        <v>7978.7474094213294</v>
      </c>
      <c r="K2006" s="910">
        <f t="shared" si="462"/>
        <v>1747346</v>
      </c>
      <c r="L2006" s="890" t="s">
        <v>169</v>
      </c>
      <c r="M2006" s="929" t="s">
        <v>167</v>
      </c>
      <c r="N2006" s="52" t="str">
        <f>IF(AND('331-CT'!$E$7=TH!H2006,OR(L2006="331",M2006="331")),"331",IF(AND(OR(L2006="131",M2006="131"),H2006='131-CT'!$E$7),"131",""))</f>
        <v/>
      </c>
      <c r="O2006" s="89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8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60"/>
        <v>12</v>
      </c>
      <c r="C2007" s="48">
        <f t="shared" si="461"/>
        <v>42003</v>
      </c>
      <c r="D2007" s="908" t="s">
        <v>1378</v>
      </c>
      <c r="E2007" s="908">
        <v>42003</v>
      </c>
      <c r="F2007" s="909" t="s">
        <v>874</v>
      </c>
      <c r="G2007" s="930" t="s">
        <v>875</v>
      </c>
      <c r="H2007" s="913" t="s">
        <v>1371</v>
      </c>
      <c r="I2007" s="249">
        <v>30</v>
      </c>
      <c r="J2007" s="249">
        <v>21633.098646162987</v>
      </c>
      <c r="K2007" s="910">
        <f t="shared" si="462"/>
        <v>648993</v>
      </c>
      <c r="L2007" s="890" t="s">
        <v>169</v>
      </c>
      <c r="M2007" s="929" t="s">
        <v>167</v>
      </c>
      <c r="N2007" s="52" t="str">
        <f>IF(AND('331-CT'!$E$7=TH!H2007,OR(L2007="331",M2007="331")),"331",IF(AND(OR(L2007="131",M2007="131"),H2007='131-CT'!$E$7),"131",""))</f>
        <v/>
      </c>
      <c r="O2007" s="89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8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60"/>
        <v>12</v>
      </c>
      <c r="C2008" s="48">
        <f t="shared" si="461"/>
        <v>42003</v>
      </c>
      <c r="D2008" s="908" t="s">
        <v>1378</v>
      </c>
      <c r="E2008" s="908">
        <v>42003</v>
      </c>
      <c r="F2008" s="909" t="s">
        <v>746</v>
      </c>
      <c r="G2008" s="930" t="s">
        <v>875</v>
      </c>
      <c r="H2008" s="913" t="s">
        <v>1371</v>
      </c>
      <c r="I2008" s="249">
        <v>60</v>
      </c>
      <c r="J2008" s="249">
        <v>1233.8269189826799</v>
      </c>
      <c r="K2008" s="910">
        <f t="shared" si="462"/>
        <v>74030</v>
      </c>
      <c r="L2008" s="890" t="s">
        <v>169</v>
      </c>
      <c r="M2008" s="929" t="s">
        <v>167</v>
      </c>
      <c r="N2008" s="52" t="str">
        <f>IF(AND('331-CT'!$E$7=TH!H2008,OR(L2008="331",M2008="331")),"331",IF(AND(OR(L2008="131",M2008="131"),H2008='131-CT'!$E$7),"131",""))</f>
        <v/>
      </c>
      <c r="O2008" s="89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8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60"/>
        <v>12</v>
      </c>
      <c r="C2009" s="48">
        <f t="shared" si="461"/>
        <v>42003</v>
      </c>
      <c r="D2009" s="908" t="s">
        <v>1378</v>
      </c>
      <c r="E2009" s="908">
        <v>42003</v>
      </c>
      <c r="F2009" s="909" t="s">
        <v>554</v>
      </c>
      <c r="G2009" s="930" t="s">
        <v>876</v>
      </c>
      <c r="H2009" s="913" t="s">
        <v>1371</v>
      </c>
      <c r="I2009" s="249">
        <v>650</v>
      </c>
      <c r="J2009" s="249">
        <v>20646.037110976842</v>
      </c>
      <c r="K2009" s="910">
        <f t="shared" si="462"/>
        <v>13419924</v>
      </c>
      <c r="L2009" s="890" t="s">
        <v>169</v>
      </c>
      <c r="M2009" s="929" t="s">
        <v>167</v>
      </c>
      <c r="N2009" s="52" t="str">
        <f>IF(AND('331-CT'!$E$7=TH!H2009,OR(L2009="331",M2009="331")),"331",IF(AND(OR(L2009="131",M2009="131"),H2009='131-CT'!$E$7),"131",""))</f>
        <v/>
      </c>
      <c r="O2009" s="89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8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60"/>
        <v>12</v>
      </c>
      <c r="C2010" s="48">
        <f t="shared" si="461"/>
        <v>42004</v>
      </c>
      <c r="D2010" s="908" t="s">
        <v>1378</v>
      </c>
      <c r="E2010" s="908">
        <v>42004</v>
      </c>
      <c r="F2010" s="909" t="s">
        <v>512</v>
      </c>
      <c r="G2010" s="930" t="s">
        <v>877</v>
      </c>
      <c r="H2010" s="913" t="s">
        <v>1371</v>
      </c>
      <c r="I2010" s="249">
        <v>307</v>
      </c>
      <c r="J2010" s="249">
        <v>5757.8589552525054</v>
      </c>
      <c r="K2010" s="910">
        <f t="shared" si="462"/>
        <v>1767663</v>
      </c>
      <c r="L2010" s="890" t="s">
        <v>169</v>
      </c>
      <c r="M2010" s="929" t="s">
        <v>167</v>
      </c>
      <c r="N2010" s="52" t="str">
        <f>IF(AND('331-CT'!$E$7=TH!H2010,OR(L2010="331",M2010="331")),"331",IF(AND(OR(L2010="131",M2010="131"),H2010='131-CT'!$E$7),"131",""))</f>
        <v/>
      </c>
      <c r="O2010" s="89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8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60"/>
        <v>12</v>
      </c>
      <c r="C2011" s="48">
        <f t="shared" si="461"/>
        <v>42004</v>
      </c>
      <c r="D2011" s="908" t="s">
        <v>1378</v>
      </c>
      <c r="E2011" s="908">
        <v>42004</v>
      </c>
      <c r="F2011" s="909" t="s">
        <v>486</v>
      </c>
      <c r="G2011" s="930" t="s">
        <v>877</v>
      </c>
      <c r="H2011" s="913" t="s">
        <v>1371</v>
      </c>
      <c r="I2011" s="249">
        <v>200</v>
      </c>
      <c r="J2011" s="249">
        <v>7320.7063859639002</v>
      </c>
      <c r="K2011" s="910">
        <f t="shared" si="462"/>
        <v>1464141</v>
      </c>
      <c r="L2011" s="890" t="s">
        <v>169</v>
      </c>
      <c r="M2011" s="929" t="s">
        <v>167</v>
      </c>
      <c r="N2011" s="52" t="str">
        <f>IF(AND('331-CT'!$E$7=TH!H2011,OR(L2011="331",M2011="331")),"331",IF(AND(OR(L2011="131",M2011="131"),H2011='131-CT'!$E$7),"131",""))</f>
        <v/>
      </c>
      <c r="O2011" s="89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8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60"/>
        <v>12</v>
      </c>
      <c r="C2012" s="48">
        <f t="shared" si="461"/>
        <v>42004</v>
      </c>
      <c r="D2012" s="908" t="s">
        <v>1378</v>
      </c>
      <c r="E2012" s="908">
        <v>42004</v>
      </c>
      <c r="F2012" s="909" t="s">
        <v>775</v>
      </c>
      <c r="G2012" s="930" t="s">
        <v>878</v>
      </c>
      <c r="H2012" s="913" t="s">
        <v>1371</v>
      </c>
      <c r="I2012" s="249">
        <v>2500</v>
      </c>
      <c r="J2012" s="249">
        <v>7402.9615138960789</v>
      </c>
      <c r="K2012" s="910">
        <f t="shared" si="462"/>
        <v>18507404</v>
      </c>
      <c r="L2012" s="890" t="s">
        <v>169</v>
      </c>
      <c r="M2012" s="929" t="s">
        <v>167</v>
      </c>
      <c r="N2012" s="52" t="str">
        <f>IF(AND('331-CT'!$E$7=TH!H2012,OR(L2012="331",M2012="331")),"331",IF(AND(OR(L2012="131",M2012="131"),H2012='131-CT'!$E$7),"131",""))</f>
        <v/>
      </c>
      <c r="O2012" s="89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8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60"/>
        <v>12</v>
      </c>
      <c r="C2013" s="48">
        <f t="shared" si="461"/>
        <v>42004</v>
      </c>
      <c r="D2013" s="908" t="s">
        <v>1378</v>
      </c>
      <c r="E2013" s="908">
        <v>42004</v>
      </c>
      <c r="F2013" s="909" t="s">
        <v>879</v>
      </c>
      <c r="G2013" s="930" t="s">
        <v>880</v>
      </c>
      <c r="H2013" s="913" t="s">
        <v>1371</v>
      </c>
      <c r="I2013" s="249">
        <v>2050</v>
      </c>
      <c r="J2013" s="249">
        <v>3454.7153731515036</v>
      </c>
      <c r="K2013" s="910">
        <f t="shared" si="462"/>
        <v>7082167</v>
      </c>
      <c r="L2013" s="890" t="s">
        <v>169</v>
      </c>
      <c r="M2013" s="929" t="s">
        <v>167</v>
      </c>
      <c r="N2013" s="52" t="str">
        <f>IF(AND('331-CT'!$E$7=TH!H2013,OR(L2013="331",M2013="331")),"331",IF(AND(OR(L2013="131",M2013="131"),H2013='131-CT'!$E$7),"131",""))</f>
        <v/>
      </c>
      <c r="O2013" s="89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8"/>
    </row>
    <row r="2014" spans="1:28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60"/>
        <v>12</v>
      </c>
      <c r="C2014" s="48">
        <f t="shared" si="461"/>
        <v>42004</v>
      </c>
      <c r="D2014" s="908" t="s">
        <v>1378</v>
      </c>
      <c r="E2014" s="908">
        <v>42004</v>
      </c>
      <c r="F2014" s="909" t="s">
        <v>881</v>
      </c>
      <c r="G2014" s="930" t="s">
        <v>880</v>
      </c>
      <c r="H2014" s="913" t="s">
        <v>1371</v>
      </c>
      <c r="I2014" s="249">
        <v>210</v>
      </c>
      <c r="J2014" s="249">
        <v>5182.073059727255</v>
      </c>
      <c r="K2014" s="910">
        <f t="shared" si="462"/>
        <v>1088235</v>
      </c>
      <c r="L2014" s="890" t="s">
        <v>169</v>
      </c>
      <c r="M2014" s="929" t="s">
        <v>167</v>
      </c>
      <c r="N2014" s="52" t="str">
        <f>IF(AND('331-CT'!$E$7=TH!H2014,OR(L2014="331",M2014="331")),"331",IF(AND(OR(L2014="131",M2014="131"),H2014='131-CT'!$E$7),"131",""))</f>
        <v/>
      </c>
      <c r="O2014" s="89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8"/>
    </row>
    <row r="2015" spans="1:28" s="911" customFormat="1" ht="15.75" customHeight="1">
      <c r="A2015" s="906" t="str">
        <f>IF(B2015&lt;&gt;"",IF(AND(B2015&gt;=_TM1,B2015&lt;=_TM2,OR(TH!L2015="1111",TH!M2015="1111")),TH!D2015,""),"")</f>
        <v/>
      </c>
      <c r="B2015" s="907">
        <f t="shared" si="460"/>
        <v>12</v>
      </c>
      <c r="C2015" s="48">
        <f t="shared" si="461"/>
        <v>42004</v>
      </c>
      <c r="D2015" s="908" t="s">
        <v>1378</v>
      </c>
      <c r="E2015" s="908">
        <v>42004</v>
      </c>
      <c r="F2015" s="909" t="s">
        <v>882</v>
      </c>
      <c r="G2015" s="930" t="s">
        <v>880</v>
      </c>
      <c r="H2015" s="913" t="s">
        <v>1371</v>
      </c>
      <c r="I2015" s="249">
        <v>130</v>
      </c>
      <c r="J2015" s="249">
        <v>5346.5833155916125</v>
      </c>
      <c r="K2015" s="910">
        <f t="shared" si="462"/>
        <v>695056</v>
      </c>
      <c r="L2015" s="890" t="s">
        <v>169</v>
      </c>
      <c r="M2015" s="929" t="s">
        <v>167</v>
      </c>
      <c r="N2015" s="52" t="str">
        <f>IF(AND('331-CT'!$E$7=TH!H2015,OR(L2015="331",M2015="331")),"331",IF(AND(OR(L2015="131",M2015="131"),H2015='131-CT'!$E$7),"131",""))</f>
        <v/>
      </c>
      <c r="O2015" s="89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8"/>
    </row>
    <row r="2016" spans="1:28" s="911" customFormat="1" ht="15.75" customHeight="1">
      <c r="A2016" s="906" t="str">
        <f>IF(B2016&lt;&gt;"",IF(AND(B2016&gt;=_TM1,B2016&lt;=_TM2,OR(TH!L2016="1111",TH!M2016="1111")),TH!D2016,""),"")</f>
        <v/>
      </c>
      <c r="B2016" s="907">
        <f t="shared" si="460"/>
        <v>12</v>
      </c>
      <c r="C2016" s="48">
        <f t="shared" ref="C2016:C2023" si="463">E2016</f>
        <v>42004</v>
      </c>
      <c r="D2016" s="908" t="s">
        <v>1378</v>
      </c>
      <c r="E2016" s="48">
        <v>42004</v>
      </c>
      <c r="F2016" s="931" t="s">
        <v>883</v>
      </c>
      <c r="G2016" s="49" t="s">
        <v>880</v>
      </c>
      <c r="H2016" s="913" t="s">
        <v>1371</v>
      </c>
      <c r="I2016" s="249">
        <v>170</v>
      </c>
      <c r="J2016" s="249">
        <v>4688.5422921341833</v>
      </c>
      <c r="K2016" s="910">
        <f t="shared" ref="K2016:K2022" si="464">ROUND(I2016*J2016,0)</f>
        <v>797052</v>
      </c>
      <c r="L2016" s="890" t="s">
        <v>169</v>
      </c>
      <c r="M2016" s="929" t="s">
        <v>167</v>
      </c>
      <c r="N2016" s="52" t="str">
        <f>IF(AND('331-CT'!$E$7=TH!H2016,OR(L2016="331",M2016="331")),"331",IF(AND(OR(L2016="131",M2016="131"),H2016='131-CT'!$E$7),"131",""))</f>
        <v/>
      </c>
      <c r="O2016" s="89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8"/>
    </row>
    <row r="2017" spans="1:28" s="911" customFormat="1" ht="15.75" customHeight="1">
      <c r="A2017" s="906" t="str">
        <f>IF(B2017&lt;&gt;"",IF(AND(B2017&gt;=_TM1,B2017&lt;=_TM2,OR(TH!L2017="1111",TH!M2017="1111")),TH!D2017,""),"")</f>
        <v/>
      </c>
      <c r="B2017" s="907">
        <f t="shared" si="460"/>
        <v>12</v>
      </c>
      <c r="C2017" s="48">
        <f t="shared" si="463"/>
        <v>42004</v>
      </c>
      <c r="D2017" s="908" t="s">
        <v>1378</v>
      </c>
      <c r="E2017" s="48">
        <v>42004</v>
      </c>
      <c r="F2017" s="931" t="s">
        <v>884</v>
      </c>
      <c r="G2017" s="49" t="s">
        <v>885</v>
      </c>
      <c r="H2017" s="913" t="s">
        <v>1371</v>
      </c>
      <c r="I2017" s="249">
        <v>200</v>
      </c>
      <c r="J2017" s="249">
        <v>9212.5743284040109</v>
      </c>
      <c r="K2017" s="910">
        <f t="shared" si="464"/>
        <v>1842515</v>
      </c>
      <c r="L2017" s="890" t="s">
        <v>169</v>
      </c>
      <c r="M2017" s="929" t="s">
        <v>167</v>
      </c>
      <c r="N2017" s="52" t="str">
        <f>IF(AND('331-CT'!$E$7=TH!H2017,OR(L2017="331",M2017="331")),"331",IF(AND(OR(L2017="131",M2017="131"),H2017='131-CT'!$E$7),"131",""))</f>
        <v/>
      </c>
      <c r="O2017" s="89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8"/>
    </row>
    <row r="2018" spans="1:28" s="911" customFormat="1" ht="15.75" customHeight="1">
      <c r="A2018" s="906" t="str">
        <f>IF(B2018&lt;&gt;"",IF(AND(B2018&gt;=_TM1,B2018&lt;=_TM2,OR(TH!L2018="1111",TH!M2018="1111")),TH!D2018,""),"")</f>
        <v/>
      </c>
      <c r="B2018" s="907">
        <f t="shared" si="460"/>
        <v>12</v>
      </c>
      <c r="C2018" s="48">
        <f t="shared" si="463"/>
        <v>42004</v>
      </c>
      <c r="D2018" s="908" t="s">
        <v>1378</v>
      </c>
      <c r="E2018" s="48">
        <v>42004</v>
      </c>
      <c r="F2018" s="931" t="s">
        <v>887</v>
      </c>
      <c r="G2018" s="49" t="s">
        <v>885</v>
      </c>
      <c r="H2018" s="913" t="s">
        <v>1371</v>
      </c>
      <c r="I2018" s="249">
        <v>100</v>
      </c>
      <c r="J2018" s="249">
        <v>32984.306300803641</v>
      </c>
      <c r="K2018" s="910">
        <f t="shared" si="464"/>
        <v>3298431</v>
      </c>
      <c r="L2018" s="890" t="s">
        <v>169</v>
      </c>
      <c r="M2018" s="929" t="s">
        <v>167</v>
      </c>
      <c r="N2018" s="52" t="str">
        <f>IF(AND('331-CT'!$E$7=TH!H2018,OR(L2018="331",M2018="331")),"331",IF(AND(OR(L2018="131",M2018="131"),H2018='131-CT'!$E$7),"131",""))</f>
        <v/>
      </c>
      <c r="O2018" s="89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8"/>
    </row>
    <row r="2019" spans="1:28" s="911" customFormat="1" ht="15.75" customHeight="1">
      <c r="A2019" s="906" t="str">
        <f>IF(B2019&lt;&gt;"",IF(AND(B2019&gt;=_TM1,B2019&lt;=_TM2,OR(TH!L2019="1111",TH!M2019="1111")),TH!D2019,""),"")</f>
        <v/>
      </c>
      <c r="B2019" s="907">
        <f t="shared" si="460"/>
        <v>12</v>
      </c>
      <c r="C2019" s="48">
        <f t="shared" si="463"/>
        <v>42004</v>
      </c>
      <c r="D2019" s="908" t="s">
        <v>1378</v>
      </c>
      <c r="E2019" s="48">
        <v>42004</v>
      </c>
      <c r="F2019" s="931" t="s">
        <v>888</v>
      </c>
      <c r="G2019" s="49" t="s">
        <v>885</v>
      </c>
      <c r="H2019" s="913" t="s">
        <v>1371</v>
      </c>
      <c r="I2019" s="249">
        <v>100</v>
      </c>
      <c r="J2019" s="249">
        <v>34300.388347718501</v>
      </c>
      <c r="K2019" s="910">
        <f t="shared" si="464"/>
        <v>3430039</v>
      </c>
      <c r="L2019" s="890" t="s">
        <v>169</v>
      </c>
      <c r="M2019" s="929" t="s">
        <v>167</v>
      </c>
      <c r="N2019" s="52" t="str">
        <f>IF(AND('331-CT'!$E$7=TH!H2019,OR(L2019="331",M2019="331")),"331",IF(AND(OR(L2019="131",M2019="131"),H2019='131-CT'!$E$7),"131",""))</f>
        <v/>
      </c>
      <c r="O2019" s="89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8"/>
    </row>
    <row r="2020" spans="1:28" s="911" customFormat="1" ht="15.75" customHeight="1">
      <c r="A2020" s="906" t="str">
        <f>IF(B2020&lt;&gt;"",IF(AND(B2020&gt;=_TM1,B2020&lt;=_TM2,OR(TH!L2020="1111",TH!M2020="1111")),TH!D2020,""),"")</f>
        <v/>
      </c>
      <c r="B2020" s="907">
        <f t="shared" si="460"/>
        <v>12</v>
      </c>
      <c r="C2020" s="48">
        <f t="shared" si="463"/>
        <v>42004</v>
      </c>
      <c r="D2020" s="908" t="s">
        <v>1378</v>
      </c>
      <c r="E2020" s="48">
        <v>42004</v>
      </c>
      <c r="F2020" s="909" t="s">
        <v>889</v>
      </c>
      <c r="G2020" s="930" t="s">
        <v>885</v>
      </c>
      <c r="H2020" s="913" t="s">
        <v>1371</v>
      </c>
      <c r="I2020" s="249">
        <v>150</v>
      </c>
      <c r="J2020" s="249">
        <v>28871.549904194708</v>
      </c>
      <c r="K2020" s="910">
        <f t="shared" si="464"/>
        <v>4330732</v>
      </c>
      <c r="L2020" s="890" t="s">
        <v>169</v>
      </c>
      <c r="M2020" s="929" t="s">
        <v>167</v>
      </c>
      <c r="N2020" s="52" t="str">
        <f>IF(AND('331-CT'!$E$7=TH!H2020,OR(L2020="331",M2020="331")),"331",IF(AND(OR(L2020="131",M2020="131"),H2020='131-CT'!$E$7),"131",""))</f>
        <v/>
      </c>
      <c r="O2020" s="89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8"/>
    </row>
    <row r="2021" spans="1:28" s="911" customFormat="1" ht="15.75" customHeight="1">
      <c r="A2021" s="906" t="str">
        <f>IF(B2021&lt;&gt;"",IF(AND(B2021&gt;=_TM1,B2021&lt;=_TM2,OR(TH!L2021="1111",TH!M2021="1111")),TH!D2021,""),"")</f>
        <v/>
      </c>
      <c r="B2021" s="907">
        <f t="shared" si="460"/>
        <v>12</v>
      </c>
      <c r="C2021" s="48">
        <f t="shared" si="463"/>
        <v>42004</v>
      </c>
      <c r="D2021" s="908" t="s">
        <v>1378</v>
      </c>
      <c r="E2021" s="48">
        <v>42004</v>
      </c>
      <c r="F2021" s="909" t="s">
        <v>890</v>
      </c>
      <c r="G2021" s="930" t="s">
        <v>891</v>
      </c>
      <c r="H2021" s="913" t="s">
        <v>1371</v>
      </c>
      <c r="I2021" s="249">
        <v>1280</v>
      </c>
      <c r="J2021" s="249">
        <v>13489.840980877299</v>
      </c>
      <c r="K2021" s="910">
        <f t="shared" si="464"/>
        <v>17266996</v>
      </c>
      <c r="L2021" s="890" t="s">
        <v>169</v>
      </c>
      <c r="M2021" s="929" t="s">
        <v>167</v>
      </c>
      <c r="N2021" s="52" t="str">
        <f>IF(AND('331-CT'!$E$7=TH!H2021,OR(L2021="331",M2021="331")),"331",IF(AND(OR(L2021="131",M2021="131"),H2021='131-CT'!$E$7),"131",""))</f>
        <v/>
      </c>
      <c r="O2021" s="89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8"/>
    </row>
    <row r="2022" spans="1:28" s="850" customFormat="1" ht="15.75" customHeight="1">
      <c r="A2022" s="838" t="str">
        <f>IF(B2022&lt;&gt;"",IF(AND(B2022&gt;=_TM1,B2022&lt;=_TM2,OR(TH!L2022="1111",TH!M2022="1111")),TH!D2022,""),"")</f>
        <v/>
      </c>
      <c r="B2022" s="839">
        <f t="shared" si="460"/>
        <v>1</v>
      </c>
      <c r="C2022" s="927">
        <f t="shared" si="463"/>
        <v>41645</v>
      </c>
      <c r="D2022" s="927" t="s">
        <v>1379</v>
      </c>
      <c r="E2022" s="927">
        <v>41645</v>
      </c>
      <c r="F2022" s="851" t="s">
        <v>417</v>
      </c>
      <c r="G2022" s="852" t="s">
        <v>418</v>
      </c>
      <c r="H2022" s="844" t="s">
        <v>1372</v>
      </c>
      <c r="I2022" s="845">
        <v>2110</v>
      </c>
      <c r="J2022" s="845">
        <v>5680.7204068749725</v>
      </c>
      <c r="K2022" s="846">
        <f t="shared" si="464"/>
        <v>11986320</v>
      </c>
      <c r="L2022" s="928" t="s">
        <v>175</v>
      </c>
      <c r="M2022" s="928" t="s">
        <v>169</v>
      </c>
      <c r="N2022" s="52" t="str">
        <f>IF(AND('331-CT'!$E$7=TH!H2022,OR(L2022="331",M2022="331")),"331",IF(AND(OR(L2022="131",M2022="131"),H2022='131-CT'!$E$7),"131",""))</f>
        <v/>
      </c>
      <c r="O2022" s="89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8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ref="B2023:B2086" si="465">IF(C2023&lt;&gt;"",MONTH(C2023),"")</f>
        <v>1</v>
      </c>
      <c r="C2023" s="37">
        <f t="shared" si="463"/>
        <v>41645</v>
      </c>
      <c r="D2023" s="37" t="s">
        <v>1379</v>
      </c>
      <c r="E2023" s="37">
        <v>41645</v>
      </c>
      <c r="F2023" s="192" t="s">
        <v>421</v>
      </c>
      <c r="G2023" s="463" t="s">
        <v>422</v>
      </c>
      <c r="H2023" s="7" t="s">
        <v>1372</v>
      </c>
      <c r="I2023" s="251">
        <v>500</v>
      </c>
      <c r="J2023" s="251">
        <v>13025.593459007674</v>
      </c>
      <c r="K2023" s="563">
        <f t="shared" ref="K2023:K2086" si="466">ROUND(I2023*J2023,0)</f>
        <v>6512797</v>
      </c>
      <c r="L2023" s="194" t="s">
        <v>175</v>
      </c>
      <c r="M2023" s="194" t="s">
        <v>169</v>
      </c>
      <c r="N2023" s="52" t="str">
        <f>IF(AND('331-CT'!$E$7=TH!H2023,OR(L2023="331",M2023="331")),"331",IF(AND(OR(L2023="131",M2023="131"),H2023='131-CT'!$E$7),"131",""))</f>
        <v/>
      </c>
      <c r="O2023" s="89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8"/>
    </row>
    <row r="2024" spans="1:28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465"/>
        <v>1</v>
      </c>
      <c r="C2024" s="37">
        <f t="shared" ref="C2024:C2087" si="467">E2024</f>
        <v>41645</v>
      </c>
      <c r="D2024" s="37" t="s">
        <v>1379</v>
      </c>
      <c r="E2024" s="37">
        <v>41645</v>
      </c>
      <c r="F2024" s="192" t="s">
        <v>445</v>
      </c>
      <c r="G2024" s="463" t="s">
        <v>422</v>
      </c>
      <c r="H2024" s="7" t="s">
        <v>1372</v>
      </c>
      <c r="I2024" s="251">
        <v>1000</v>
      </c>
      <c r="J2024" s="251">
        <v>3577.5434590076748</v>
      </c>
      <c r="K2024" s="563">
        <f t="shared" si="466"/>
        <v>3577543</v>
      </c>
      <c r="L2024" s="194" t="s">
        <v>175</v>
      </c>
      <c r="M2024" s="194" t="s">
        <v>169</v>
      </c>
      <c r="N2024" s="52" t="str">
        <f>IF(AND('331-CT'!$E$7=TH!H2024,OR(L2024="331",M2024="331")),"331",IF(AND(OR(L2024="131",M2024="131"),H2024='131-CT'!$E$7),"131",""))</f>
        <v/>
      </c>
      <c r="O2024" s="89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8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65"/>
        <v>1</v>
      </c>
      <c r="C2025" s="37">
        <f t="shared" si="467"/>
        <v>41664</v>
      </c>
      <c r="D2025" s="37" t="s">
        <v>1379</v>
      </c>
      <c r="E2025" s="37">
        <v>41664</v>
      </c>
      <c r="F2025" s="192" t="s">
        <v>423</v>
      </c>
      <c r="G2025" s="463" t="s">
        <v>424</v>
      </c>
      <c r="H2025" s="7" t="s">
        <v>1372</v>
      </c>
      <c r="I2025" s="251">
        <v>510</v>
      </c>
      <c r="J2025" s="251">
        <v>9972.2724001841434</v>
      </c>
      <c r="K2025" s="563">
        <f t="shared" si="466"/>
        <v>5085859</v>
      </c>
      <c r="L2025" s="194" t="s">
        <v>175</v>
      </c>
      <c r="M2025" s="194" t="s">
        <v>169</v>
      </c>
      <c r="N2025" s="52" t="str">
        <f>IF(AND('331-CT'!$E$7=TH!H2025,OR(L2025="331",M2025="331")),"331",IF(AND(OR(L2025="131",M2025="131"),H2025='131-CT'!$E$7),"131",""))</f>
        <v/>
      </c>
      <c r="O2025" s="89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8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65"/>
        <v>1</v>
      </c>
      <c r="C2026" s="37">
        <f t="shared" si="467"/>
        <v>41664</v>
      </c>
      <c r="D2026" s="37" t="s">
        <v>1379</v>
      </c>
      <c r="E2026" s="37">
        <v>41664</v>
      </c>
      <c r="F2026" s="192" t="s">
        <v>426</v>
      </c>
      <c r="G2026" s="463" t="s">
        <v>427</v>
      </c>
      <c r="H2026" s="7" t="s">
        <v>1372</v>
      </c>
      <c r="I2026" s="251">
        <v>563</v>
      </c>
      <c r="J2026" s="251">
        <v>10837.503828457053</v>
      </c>
      <c r="K2026" s="563">
        <f t="shared" si="466"/>
        <v>6101515</v>
      </c>
      <c r="L2026" s="194" t="s">
        <v>175</v>
      </c>
      <c r="M2026" s="194" t="s">
        <v>169</v>
      </c>
      <c r="N2026" s="52" t="str">
        <f>IF(AND('331-CT'!$E$7=TH!H2026,OR(L2026="331",M2026="331")),"331",IF(AND(OR(L2026="131",M2026="131"),H2026='131-CT'!$E$7),"131",""))</f>
        <v/>
      </c>
      <c r="O2026" s="89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8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65"/>
        <v>1</v>
      </c>
      <c r="C2027" s="37">
        <f t="shared" si="467"/>
        <v>41664</v>
      </c>
      <c r="D2027" s="37" t="s">
        <v>1379</v>
      </c>
      <c r="E2027" s="37">
        <v>41664</v>
      </c>
      <c r="F2027" s="192" t="s">
        <v>428</v>
      </c>
      <c r="G2027" s="463" t="s">
        <v>427</v>
      </c>
      <c r="H2027" s="7" t="s">
        <v>1372</v>
      </c>
      <c r="I2027" s="251">
        <v>234</v>
      </c>
      <c r="J2027" s="251">
        <v>10412.910911999126</v>
      </c>
      <c r="K2027" s="563">
        <f t="shared" si="466"/>
        <v>2436621</v>
      </c>
      <c r="L2027" s="194" t="s">
        <v>175</v>
      </c>
      <c r="M2027" s="194" t="s">
        <v>169</v>
      </c>
      <c r="N2027" s="52" t="str">
        <f>IF(AND('331-CT'!$E$7=TH!H2027,OR(L2027="331",M2027="331")),"331",IF(AND(OR(L2027="131",M2027="131"),H2027='131-CT'!$E$7),"131",""))</f>
        <v/>
      </c>
      <c r="O2027" s="89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8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65"/>
        <v>1</v>
      </c>
      <c r="C2028" s="37">
        <f t="shared" si="467"/>
        <v>41664</v>
      </c>
      <c r="D2028" s="37" t="s">
        <v>1379</v>
      </c>
      <c r="E2028" s="37">
        <v>41664</v>
      </c>
      <c r="F2028" s="192" t="s">
        <v>429</v>
      </c>
      <c r="G2028" s="463" t="s">
        <v>427</v>
      </c>
      <c r="H2028" s="7" t="s">
        <v>1372</v>
      </c>
      <c r="I2028" s="251">
        <v>233</v>
      </c>
      <c r="J2028" s="251">
        <v>6855.1984289647553</v>
      </c>
      <c r="K2028" s="563">
        <f t="shared" si="466"/>
        <v>1597261</v>
      </c>
      <c r="L2028" s="194" t="s">
        <v>175</v>
      </c>
      <c r="M2028" s="194" t="s">
        <v>169</v>
      </c>
      <c r="N2028" s="52" t="str">
        <f>IF(AND('331-CT'!$E$7=TH!H2028,OR(L2028="331",M2028="331")),"331",IF(AND(OR(L2028="131",M2028="131"),H2028='131-CT'!$E$7),"131",""))</f>
        <v/>
      </c>
      <c r="O2028" s="89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8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65"/>
        <v>1</v>
      </c>
      <c r="C2029" s="37">
        <f t="shared" si="467"/>
        <v>41664</v>
      </c>
      <c r="D2029" s="37" t="s">
        <v>1379</v>
      </c>
      <c r="E2029" s="37">
        <v>41664</v>
      </c>
      <c r="F2029" s="192" t="s">
        <v>430</v>
      </c>
      <c r="G2029" s="463" t="s">
        <v>427</v>
      </c>
      <c r="H2029" s="7" t="s">
        <v>1372</v>
      </c>
      <c r="I2029" s="251">
        <v>308</v>
      </c>
      <c r="J2029" s="251">
        <v>9159.919459007675</v>
      </c>
      <c r="K2029" s="563">
        <f t="shared" si="466"/>
        <v>2821255</v>
      </c>
      <c r="L2029" s="194" t="s">
        <v>175</v>
      </c>
      <c r="M2029" s="194" t="s">
        <v>169</v>
      </c>
      <c r="N2029" s="52" t="str">
        <f>IF(AND('331-CT'!$E$7=TH!H2029,OR(L2029="331",M2029="331")),"331",IF(AND(OR(L2029="131",M2029="131"),H2029='131-CT'!$E$7),"131",""))</f>
        <v/>
      </c>
      <c r="O2029" s="89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8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65"/>
        <v>1</v>
      </c>
      <c r="C2030" s="37">
        <f t="shared" si="467"/>
        <v>41664</v>
      </c>
      <c r="D2030" s="37" t="s">
        <v>1379</v>
      </c>
      <c r="E2030" s="37">
        <v>41664</v>
      </c>
      <c r="F2030" s="192" t="s">
        <v>431</v>
      </c>
      <c r="G2030" s="463" t="s">
        <v>432</v>
      </c>
      <c r="H2030" s="7" t="s">
        <v>1372</v>
      </c>
      <c r="I2030" s="251">
        <v>1038</v>
      </c>
      <c r="J2030" s="251">
        <v>11549.3992277938</v>
      </c>
      <c r="K2030" s="563">
        <f t="shared" si="466"/>
        <v>11988276</v>
      </c>
      <c r="L2030" s="194" t="s">
        <v>175</v>
      </c>
      <c r="M2030" s="194" t="s">
        <v>169</v>
      </c>
      <c r="N2030" s="52" t="str">
        <f>IF(AND('331-CT'!$E$7=TH!H2030,OR(L2030="331",M2030="331")),"331",IF(AND(OR(L2030="131",M2030="131"),H2030='131-CT'!$E$7),"131",""))</f>
        <v/>
      </c>
      <c r="O2030" s="89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8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65"/>
        <v>1</v>
      </c>
      <c r="C2031" s="37">
        <f t="shared" si="467"/>
        <v>41664</v>
      </c>
      <c r="D2031" s="37" t="s">
        <v>1379</v>
      </c>
      <c r="E2031" s="37">
        <v>41664</v>
      </c>
      <c r="F2031" s="192" t="s">
        <v>433</v>
      </c>
      <c r="G2031" s="463" t="s">
        <v>434</v>
      </c>
      <c r="H2031" s="7" t="s">
        <v>1372</v>
      </c>
      <c r="I2031" s="251">
        <v>200</v>
      </c>
      <c r="J2031" s="251">
        <v>13565.829459007673</v>
      </c>
      <c r="K2031" s="563">
        <f t="shared" si="466"/>
        <v>2713166</v>
      </c>
      <c r="L2031" s="194" t="s">
        <v>175</v>
      </c>
      <c r="M2031" s="194" t="s">
        <v>169</v>
      </c>
      <c r="N2031" s="52" t="str">
        <f>IF(AND('331-CT'!$E$7=TH!H2031,OR(L2031="331",M2031="331")),"331",IF(AND(OR(L2031="131",M2031="131"),H2031='131-CT'!$E$7),"131",""))</f>
        <v/>
      </c>
      <c r="O2031" s="89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8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65"/>
        <v>2</v>
      </c>
      <c r="C2032" s="37">
        <f t="shared" si="467"/>
        <v>41684</v>
      </c>
      <c r="D2032" s="37" t="s">
        <v>1379</v>
      </c>
      <c r="E2032" s="37">
        <v>41684</v>
      </c>
      <c r="F2032" s="192" t="s">
        <v>436</v>
      </c>
      <c r="G2032" s="463" t="s">
        <v>437</v>
      </c>
      <c r="H2032" s="7" t="s">
        <v>1372</v>
      </c>
      <c r="I2032" s="251">
        <v>588</v>
      </c>
      <c r="J2032" s="251">
        <v>9650.7885066267208</v>
      </c>
      <c r="K2032" s="563">
        <f t="shared" si="466"/>
        <v>5674664</v>
      </c>
      <c r="L2032" s="194" t="s">
        <v>175</v>
      </c>
      <c r="M2032" s="194" t="s">
        <v>169</v>
      </c>
      <c r="N2032" s="52" t="str">
        <f>IF(AND('331-CT'!$E$7=TH!H2032,OR(L2032="331",M2032="331")),"331",IF(AND(OR(L2032="131",M2032="131"),H2032='131-CT'!$E$7),"131",""))</f>
        <v/>
      </c>
      <c r="O2032" s="89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8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65"/>
        <v>2</v>
      </c>
      <c r="C2033" s="37">
        <f t="shared" si="467"/>
        <v>41684</v>
      </c>
      <c r="D2033" s="37" t="s">
        <v>1379</v>
      </c>
      <c r="E2033" s="37">
        <v>41684</v>
      </c>
      <c r="F2033" s="192" t="s">
        <v>436</v>
      </c>
      <c r="G2033" s="463" t="s">
        <v>437</v>
      </c>
      <c r="H2033" s="7" t="s">
        <v>1372</v>
      </c>
      <c r="I2033" s="251">
        <v>598</v>
      </c>
      <c r="J2033" s="251">
        <v>9008.9077533220534</v>
      </c>
      <c r="K2033" s="563">
        <f t="shared" si="466"/>
        <v>5387327</v>
      </c>
      <c r="L2033" s="194" t="s">
        <v>175</v>
      </c>
      <c r="M2033" s="194" t="s">
        <v>169</v>
      </c>
      <c r="N2033" s="52" t="str">
        <f>IF(AND('331-CT'!$E$7=TH!H2033,OR(L2033="331",M2033="331")),"331",IF(AND(OR(L2033="131",M2033="131"),H2033='131-CT'!$E$7),"131",""))</f>
        <v/>
      </c>
      <c r="O2033" s="89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8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65"/>
        <v>2</v>
      </c>
      <c r="C2034" s="37">
        <f t="shared" si="467"/>
        <v>41689</v>
      </c>
      <c r="D2034" s="37" t="s">
        <v>1379</v>
      </c>
      <c r="E2034" s="191">
        <v>41689</v>
      </c>
      <c r="F2034" s="192" t="s">
        <v>439</v>
      </c>
      <c r="G2034" s="463" t="s">
        <v>440</v>
      </c>
      <c r="H2034" s="7" t="s">
        <v>1372</v>
      </c>
      <c r="I2034" s="251">
        <v>160</v>
      </c>
      <c r="J2034" s="251">
        <v>16891.169459007673</v>
      </c>
      <c r="K2034" s="563">
        <f t="shared" si="466"/>
        <v>2702587</v>
      </c>
      <c r="L2034" s="194" t="s">
        <v>175</v>
      </c>
      <c r="M2034" s="194" t="s">
        <v>169</v>
      </c>
      <c r="N2034" s="52" t="str">
        <f>IF(AND('331-CT'!$E$7=TH!H2034,OR(L2034="331",M2034="331")),"331",IF(AND(OR(L2034="131",M2034="131"),H2034='131-CT'!$E$7),"131",""))</f>
        <v/>
      </c>
      <c r="O2034" s="89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8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65"/>
        <v>2</v>
      </c>
      <c r="C2035" s="37">
        <f t="shared" si="467"/>
        <v>41690</v>
      </c>
      <c r="D2035" s="37" t="s">
        <v>1379</v>
      </c>
      <c r="E2035" s="191">
        <v>41690</v>
      </c>
      <c r="F2035" s="192" t="s">
        <v>423</v>
      </c>
      <c r="G2035" s="463" t="s">
        <v>442</v>
      </c>
      <c r="H2035" s="7" t="s">
        <v>1372</v>
      </c>
      <c r="I2035" s="251">
        <v>500</v>
      </c>
      <c r="J2035" s="251">
        <v>10971.519459007675</v>
      </c>
      <c r="K2035" s="563">
        <f t="shared" si="466"/>
        <v>5485760</v>
      </c>
      <c r="L2035" s="194" t="s">
        <v>175</v>
      </c>
      <c r="M2035" s="194" t="s">
        <v>169</v>
      </c>
      <c r="N2035" s="52" t="str">
        <f>IF(AND('331-CT'!$E$7=TH!H2035,OR(L2035="331",M2035="331")),"331",IF(AND(OR(L2035="131",M2035="131"),H2035='131-CT'!$E$7),"131",""))</f>
        <v/>
      </c>
      <c r="O2035" s="89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8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65"/>
        <v>2</v>
      </c>
      <c r="C2036" s="37">
        <f t="shared" si="467"/>
        <v>41691</v>
      </c>
      <c r="D2036" s="37" t="s">
        <v>1379</v>
      </c>
      <c r="E2036" s="191">
        <v>41691</v>
      </c>
      <c r="F2036" s="192" t="s">
        <v>436</v>
      </c>
      <c r="G2036" s="463" t="s">
        <v>443</v>
      </c>
      <c r="H2036" s="7" t="s">
        <v>1372</v>
      </c>
      <c r="I2036" s="251">
        <v>608</v>
      </c>
      <c r="J2036" s="251">
        <v>9390.7829458497781</v>
      </c>
      <c r="K2036" s="563">
        <f t="shared" si="466"/>
        <v>5709596</v>
      </c>
      <c r="L2036" s="194" t="s">
        <v>175</v>
      </c>
      <c r="M2036" s="194" t="s">
        <v>169</v>
      </c>
      <c r="N2036" s="52" t="str">
        <f>IF(AND('331-CT'!$E$7=TH!H2036,OR(L2036="331",M2036="331")),"331",IF(AND(OR(L2036="131",M2036="131"),H2036='131-CT'!$E$7),"131",""))</f>
        <v/>
      </c>
      <c r="O2036" s="89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8"/>
    </row>
    <row r="2037" spans="1:28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65"/>
        <v>2</v>
      </c>
      <c r="C2037" s="37">
        <f t="shared" si="467"/>
        <v>41691</v>
      </c>
      <c r="D2037" s="37" t="s">
        <v>1379</v>
      </c>
      <c r="E2037" s="191">
        <v>41691</v>
      </c>
      <c r="F2037" s="192" t="s">
        <v>436</v>
      </c>
      <c r="G2037" s="463" t="s">
        <v>443</v>
      </c>
      <c r="H2037" s="7" t="s">
        <v>1372</v>
      </c>
      <c r="I2037" s="251">
        <v>633</v>
      </c>
      <c r="J2037" s="251">
        <v>10034.349158849696</v>
      </c>
      <c r="K2037" s="563">
        <f t="shared" si="466"/>
        <v>6351743</v>
      </c>
      <c r="L2037" s="194" t="s">
        <v>175</v>
      </c>
      <c r="M2037" s="194" t="s">
        <v>169</v>
      </c>
      <c r="N2037" s="52" t="str">
        <f>IF(AND('331-CT'!$E$7=TH!H2037,OR(L2037="331",M2037="331")),"331",IF(AND(OR(L2037="131",M2037="131"),H2037='131-CT'!$E$7),"131",""))</f>
        <v/>
      </c>
      <c r="O2037" s="89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8"/>
    </row>
    <row r="2038" spans="1:28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65"/>
        <v>2</v>
      </c>
      <c r="C2038" s="37">
        <f t="shared" si="467"/>
        <v>41694</v>
      </c>
      <c r="D2038" s="37" t="s">
        <v>1379</v>
      </c>
      <c r="E2038" s="191">
        <v>41694</v>
      </c>
      <c r="F2038" s="192" t="s">
        <v>421</v>
      </c>
      <c r="G2038" s="463" t="s">
        <v>444</v>
      </c>
      <c r="H2038" s="7" t="s">
        <v>1372</v>
      </c>
      <c r="I2038" s="251">
        <v>490</v>
      </c>
      <c r="J2038" s="251">
        <v>15685.93986717094</v>
      </c>
      <c r="K2038" s="563">
        <f t="shared" si="466"/>
        <v>7686111</v>
      </c>
      <c r="L2038" s="194" t="s">
        <v>175</v>
      </c>
      <c r="M2038" s="194" t="s">
        <v>169</v>
      </c>
      <c r="N2038" s="52" t="str">
        <f>IF(AND('331-CT'!$E$7=TH!H2038,OR(L2038="331",M2038="331")),"331",IF(AND(OR(L2038="131",M2038="131"),H2038='131-CT'!$E$7),"131",""))</f>
        <v/>
      </c>
      <c r="O2038" s="89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8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65"/>
        <v>2</v>
      </c>
      <c r="C2039" s="37">
        <f t="shared" si="467"/>
        <v>41694</v>
      </c>
      <c r="D2039" s="37" t="s">
        <v>1379</v>
      </c>
      <c r="E2039" s="191">
        <v>41694</v>
      </c>
      <c r="F2039" s="192" t="s">
        <v>445</v>
      </c>
      <c r="G2039" s="463" t="s">
        <v>444</v>
      </c>
      <c r="H2039" s="7" t="s">
        <v>1372</v>
      </c>
      <c r="I2039" s="251">
        <v>980</v>
      </c>
      <c r="J2039" s="251">
        <v>3001.7561937015516</v>
      </c>
      <c r="K2039" s="563">
        <f t="shared" si="466"/>
        <v>2941721</v>
      </c>
      <c r="L2039" s="194" t="s">
        <v>175</v>
      </c>
      <c r="M2039" s="194" t="s">
        <v>169</v>
      </c>
      <c r="N2039" s="52" t="str">
        <f>IF(AND('331-CT'!$E$7=TH!H2039,OR(L2039="331",M2039="331")),"331",IF(AND(OR(L2039="131",M2039="131"),H2039='131-CT'!$E$7),"131",""))</f>
        <v/>
      </c>
      <c r="O2039" s="89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8"/>
    </row>
    <row r="2040" spans="1:28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65"/>
        <v>2</v>
      </c>
      <c r="C2040" s="37">
        <f t="shared" si="467"/>
        <v>41697</v>
      </c>
      <c r="D2040" s="37" t="s">
        <v>1379</v>
      </c>
      <c r="E2040" s="191">
        <v>41697</v>
      </c>
      <c r="F2040" s="192" t="s">
        <v>446</v>
      </c>
      <c r="G2040" s="463" t="s">
        <v>447</v>
      </c>
      <c r="H2040" s="7" t="s">
        <v>1372</v>
      </c>
      <c r="I2040" s="251">
        <v>2500</v>
      </c>
      <c r="J2040" s="251">
        <v>5003.919459007674</v>
      </c>
      <c r="K2040" s="563">
        <f t="shared" si="466"/>
        <v>12509799</v>
      </c>
      <c r="L2040" s="194" t="s">
        <v>175</v>
      </c>
      <c r="M2040" s="194" t="s">
        <v>169</v>
      </c>
      <c r="N2040" s="52" t="str">
        <f>IF(AND('331-CT'!$E$7=TH!H2040,OR(L2040="331",M2040="331")),"331",IF(AND(OR(L2040="131",M2040="131"),H2040='131-CT'!$E$7),"131",""))</f>
        <v/>
      </c>
      <c r="O2040" s="89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8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65"/>
        <v>2</v>
      </c>
      <c r="C2041" s="37">
        <f t="shared" si="467"/>
        <v>41698</v>
      </c>
      <c r="D2041" s="37" t="s">
        <v>1379</v>
      </c>
      <c r="E2041" s="191">
        <v>41698</v>
      </c>
      <c r="F2041" s="192" t="s">
        <v>448</v>
      </c>
      <c r="G2041" s="463" t="s">
        <v>449</v>
      </c>
      <c r="H2041" s="7" t="s">
        <v>1372</v>
      </c>
      <c r="I2041" s="251">
        <v>313</v>
      </c>
      <c r="J2041" s="251">
        <v>7422.4593951099105</v>
      </c>
      <c r="K2041" s="563">
        <f t="shared" si="466"/>
        <v>2323230</v>
      </c>
      <c r="L2041" s="194" t="s">
        <v>175</v>
      </c>
      <c r="M2041" s="194" t="s">
        <v>169</v>
      </c>
      <c r="N2041" s="52" t="str">
        <f>IF(AND('331-CT'!$E$7=TH!H2041,OR(L2041="331",M2041="331")),"331",IF(AND(OR(L2041="131",M2041="131"),H2041='131-CT'!$E$7),"131",""))</f>
        <v/>
      </c>
      <c r="O2041" s="89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8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65"/>
        <v>2</v>
      </c>
      <c r="C2042" s="37">
        <f t="shared" si="467"/>
        <v>41698</v>
      </c>
      <c r="D2042" s="37" t="s">
        <v>1379</v>
      </c>
      <c r="E2042" s="191">
        <v>41698</v>
      </c>
      <c r="F2042" s="192" t="s">
        <v>430</v>
      </c>
      <c r="G2042" s="463" t="s">
        <v>449</v>
      </c>
      <c r="H2042" s="7" t="s">
        <v>1372</v>
      </c>
      <c r="I2042" s="251">
        <v>586</v>
      </c>
      <c r="J2042" s="251">
        <v>8975.8716774377081</v>
      </c>
      <c r="K2042" s="563">
        <f t="shared" si="466"/>
        <v>5259861</v>
      </c>
      <c r="L2042" s="194" t="s">
        <v>175</v>
      </c>
      <c r="M2042" s="194" t="s">
        <v>169</v>
      </c>
      <c r="N2042" s="52" t="str">
        <f>IF(AND('331-CT'!$E$7=TH!H2042,OR(L2042="331",M2042="331")),"331",IF(AND(OR(L2042="131",M2042="131"),H2042='131-CT'!$E$7),"131",""))</f>
        <v/>
      </c>
      <c r="O2042" s="89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8"/>
    </row>
    <row r="2043" spans="1:28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65"/>
        <v>2</v>
      </c>
      <c r="C2043" s="37">
        <f t="shared" si="467"/>
        <v>41698</v>
      </c>
      <c r="D2043" s="37" t="s">
        <v>1379</v>
      </c>
      <c r="E2043" s="191">
        <v>41698</v>
      </c>
      <c r="F2043" s="192" t="s">
        <v>450</v>
      </c>
      <c r="G2043" s="463" t="s">
        <v>449</v>
      </c>
      <c r="H2043" s="7" t="s">
        <v>1372</v>
      </c>
      <c r="I2043" s="251">
        <v>310</v>
      </c>
      <c r="J2043" s="251">
        <v>13042.958168685092</v>
      </c>
      <c r="K2043" s="563">
        <f t="shared" si="466"/>
        <v>4043317</v>
      </c>
      <c r="L2043" s="194" t="s">
        <v>175</v>
      </c>
      <c r="M2043" s="194" t="s">
        <v>169</v>
      </c>
      <c r="N2043" s="52" t="str">
        <f>IF(AND('331-CT'!$E$7=TH!H2043,OR(L2043="331",M2043="331")),"331",IF(AND(OR(L2043="131",M2043="131"),H2043='131-CT'!$E$7),"131",""))</f>
        <v/>
      </c>
      <c r="O2043" s="89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8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65"/>
        <v>2</v>
      </c>
      <c r="C2044" s="37">
        <f t="shared" si="467"/>
        <v>41698</v>
      </c>
      <c r="D2044" s="37" t="s">
        <v>1379</v>
      </c>
      <c r="E2044" s="191">
        <v>41698</v>
      </c>
      <c r="F2044" s="192" t="s">
        <v>451</v>
      </c>
      <c r="G2044" s="463" t="s">
        <v>449</v>
      </c>
      <c r="H2044" s="7" t="s">
        <v>1372</v>
      </c>
      <c r="I2044" s="251">
        <v>200</v>
      </c>
      <c r="J2044" s="251">
        <v>9206.669459007675</v>
      </c>
      <c r="K2044" s="563">
        <f t="shared" si="466"/>
        <v>1841334</v>
      </c>
      <c r="L2044" s="194" t="s">
        <v>175</v>
      </c>
      <c r="M2044" s="194" t="s">
        <v>169</v>
      </c>
      <c r="N2044" s="52" t="str">
        <f>IF(AND('331-CT'!$E$7=TH!H2044,OR(L2044="331",M2044="331")),"331",IF(AND(OR(L2044="131",M2044="131"),H2044='131-CT'!$E$7),"131",""))</f>
        <v/>
      </c>
      <c r="O2044" s="89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8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65"/>
        <v>2</v>
      </c>
      <c r="C2045" s="37">
        <f t="shared" si="467"/>
        <v>41698</v>
      </c>
      <c r="D2045" s="37" t="s">
        <v>1379</v>
      </c>
      <c r="E2045" s="37">
        <v>41698</v>
      </c>
      <c r="F2045" s="291" t="s">
        <v>452</v>
      </c>
      <c r="G2045" s="40" t="s">
        <v>453</v>
      </c>
      <c r="H2045" s="7" t="s">
        <v>1372</v>
      </c>
      <c r="I2045" s="251">
        <v>210</v>
      </c>
      <c r="J2045" s="251">
        <v>12999.919459007671</v>
      </c>
      <c r="K2045" s="563">
        <f t="shared" si="466"/>
        <v>2729983</v>
      </c>
      <c r="L2045" s="194" t="s">
        <v>175</v>
      </c>
      <c r="M2045" s="194" t="s">
        <v>169</v>
      </c>
      <c r="N2045" s="52" t="str">
        <f>IF(AND('331-CT'!$E$7=TH!H2045,OR(L2045="331",M2045="331")),"331",IF(AND(OR(L2045="131",M2045="131"),H2045='131-CT'!$E$7),"131",""))</f>
        <v/>
      </c>
      <c r="O2045" s="89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8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65"/>
        <v>2</v>
      </c>
      <c r="C2046" s="37">
        <f t="shared" si="467"/>
        <v>41698</v>
      </c>
      <c r="D2046" s="37" t="s">
        <v>1379</v>
      </c>
      <c r="E2046" s="37">
        <v>41698</v>
      </c>
      <c r="F2046" s="291" t="s">
        <v>455</v>
      </c>
      <c r="G2046" s="40" t="s">
        <v>453</v>
      </c>
      <c r="H2046" s="7" t="s">
        <v>1372</v>
      </c>
      <c r="I2046" s="251">
        <v>250</v>
      </c>
      <c r="J2046" s="251">
        <v>11940.847459007675</v>
      </c>
      <c r="K2046" s="563">
        <f t="shared" si="466"/>
        <v>2985212</v>
      </c>
      <c r="L2046" s="194" t="s">
        <v>175</v>
      </c>
      <c r="M2046" s="194" t="s">
        <v>169</v>
      </c>
      <c r="N2046" s="52" t="str">
        <f>IF(AND('331-CT'!$E$7=TH!H2046,OR(L2046="331",M2046="331")),"331",IF(AND(OR(L2046="131",M2046="131"),H2046='131-CT'!$E$7),"131",""))</f>
        <v/>
      </c>
      <c r="O2046" s="89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8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65"/>
        <v>2</v>
      </c>
      <c r="C2047" s="37">
        <f t="shared" si="467"/>
        <v>41698</v>
      </c>
      <c r="D2047" s="37" t="s">
        <v>1379</v>
      </c>
      <c r="E2047" s="37">
        <v>41698</v>
      </c>
      <c r="F2047" s="291" t="s">
        <v>456</v>
      </c>
      <c r="G2047" s="40" t="s">
        <v>453</v>
      </c>
      <c r="H2047" s="7" t="s">
        <v>1372</v>
      </c>
      <c r="I2047" s="251">
        <v>100</v>
      </c>
      <c r="J2047" s="251">
        <v>9496.5394590076739</v>
      </c>
      <c r="K2047" s="563">
        <f t="shared" si="466"/>
        <v>949654</v>
      </c>
      <c r="L2047" s="194" t="s">
        <v>175</v>
      </c>
      <c r="M2047" s="194" t="s">
        <v>169</v>
      </c>
      <c r="N2047" s="52" t="str">
        <f>IF(AND('331-CT'!$E$7=TH!H2047,OR(L2047="331",M2047="331")),"331",IF(AND(OR(L2047="131",M2047="131"),H2047='131-CT'!$E$7),"131",""))</f>
        <v/>
      </c>
      <c r="O2047" s="89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8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65"/>
        <v>2</v>
      </c>
      <c r="C2048" s="37">
        <f t="shared" si="467"/>
        <v>41698</v>
      </c>
      <c r="D2048" s="37" t="s">
        <v>1379</v>
      </c>
      <c r="E2048" s="37">
        <v>41698</v>
      </c>
      <c r="F2048" s="291" t="s">
        <v>446</v>
      </c>
      <c r="G2048" s="40" t="s">
        <v>457</v>
      </c>
      <c r="H2048" s="7" t="s">
        <v>1372</v>
      </c>
      <c r="I2048" s="251">
        <v>500</v>
      </c>
      <c r="J2048" s="251">
        <v>7080.5194590076744</v>
      </c>
      <c r="K2048" s="563">
        <f t="shared" si="466"/>
        <v>3540260</v>
      </c>
      <c r="L2048" s="194" t="s">
        <v>175</v>
      </c>
      <c r="M2048" s="194" t="s">
        <v>169</v>
      </c>
      <c r="N2048" s="52" t="str">
        <f>IF(AND('331-CT'!$E$7=TH!H2048,OR(L2048="331",M2048="331")),"331",IF(AND(OR(L2048="131",M2048="131"),H2048='131-CT'!$E$7),"131",""))</f>
        <v/>
      </c>
      <c r="O2048" s="89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8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65"/>
        <v>3</v>
      </c>
      <c r="C2049" s="37">
        <f t="shared" si="467"/>
        <v>41702</v>
      </c>
      <c r="D2049" s="37" t="s">
        <v>1379</v>
      </c>
      <c r="E2049" s="37">
        <v>41702</v>
      </c>
      <c r="F2049" s="192" t="s">
        <v>459</v>
      </c>
      <c r="G2049" s="40" t="s">
        <v>460</v>
      </c>
      <c r="H2049" s="7" t="s">
        <v>1372</v>
      </c>
      <c r="I2049" s="251">
        <v>1115</v>
      </c>
      <c r="J2049" s="251">
        <v>9170.6817908462381</v>
      </c>
      <c r="K2049" s="563">
        <f t="shared" si="466"/>
        <v>10225310</v>
      </c>
      <c r="L2049" s="194" t="s">
        <v>175</v>
      </c>
      <c r="M2049" s="194" t="s">
        <v>169</v>
      </c>
      <c r="N2049" s="52" t="str">
        <f>IF(AND('331-CT'!$E$7=TH!H2049,OR(L2049="331",M2049="331")),"331",IF(AND(OR(L2049="131",M2049="131"),H2049='131-CT'!$E$7),"131",""))</f>
        <v/>
      </c>
      <c r="O2049" s="89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8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65"/>
        <v>3</v>
      </c>
      <c r="C2050" s="37">
        <f t="shared" si="467"/>
        <v>41704</v>
      </c>
      <c r="D2050" s="37" t="s">
        <v>1379</v>
      </c>
      <c r="E2050" s="37">
        <v>41704</v>
      </c>
      <c r="F2050" s="291" t="s">
        <v>423</v>
      </c>
      <c r="G2050" s="40" t="s">
        <v>462</v>
      </c>
      <c r="H2050" s="7" t="s">
        <v>1372</v>
      </c>
      <c r="I2050" s="251">
        <v>505</v>
      </c>
      <c r="J2050" s="251">
        <v>10767.840251086884</v>
      </c>
      <c r="K2050" s="563">
        <f t="shared" si="466"/>
        <v>5437759</v>
      </c>
      <c r="L2050" s="194" t="s">
        <v>175</v>
      </c>
      <c r="M2050" s="194" t="s">
        <v>169</v>
      </c>
      <c r="N2050" s="52" t="str">
        <f>IF(AND('331-CT'!$E$7=TH!H2050,OR(L2050="331",M2050="331")),"331",IF(AND(OR(L2050="131",M2050="131"),H2050='131-CT'!$E$7),"131",""))</f>
        <v/>
      </c>
      <c r="O2050" s="89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8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65"/>
        <v>3</v>
      </c>
      <c r="C2051" s="37">
        <f t="shared" si="467"/>
        <v>41704</v>
      </c>
      <c r="D2051" s="37" t="s">
        <v>1379</v>
      </c>
      <c r="E2051" s="37">
        <v>41704</v>
      </c>
      <c r="F2051" s="291" t="s">
        <v>463</v>
      </c>
      <c r="G2051" s="40" t="s">
        <v>462</v>
      </c>
      <c r="H2051" s="7" t="s">
        <v>1372</v>
      </c>
      <c r="I2051" s="251">
        <v>520</v>
      </c>
      <c r="J2051" s="251">
        <v>12576.842535930751</v>
      </c>
      <c r="K2051" s="563">
        <f t="shared" si="466"/>
        <v>6539958</v>
      </c>
      <c r="L2051" s="194" t="s">
        <v>175</v>
      </c>
      <c r="M2051" s="194" t="s">
        <v>169</v>
      </c>
      <c r="N2051" s="52" t="str">
        <f>IF(AND('331-CT'!$E$7=TH!H2051,OR(L2051="331",M2051="331")),"331",IF(AND(OR(L2051="131",M2051="131"),H2051='131-CT'!$E$7),"131",""))</f>
        <v/>
      </c>
      <c r="O2051" s="89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8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65"/>
        <v>3</v>
      </c>
      <c r="C2052" s="37">
        <f t="shared" si="467"/>
        <v>41704</v>
      </c>
      <c r="D2052" s="37" t="s">
        <v>1379</v>
      </c>
      <c r="E2052" s="37">
        <v>41704</v>
      </c>
      <c r="F2052" s="291" t="s">
        <v>446</v>
      </c>
      <c r="G2052" s="40" t="s">
        <v>464</v>
      </c>
      <c r="H2052" s="7" t="s">
        <v>1372</v>
      </c>
      <c r="I2052" s="251">
        <v>1139</v>
      </c>
      <c r="J2052" s="251">
        <v>4787.0063773571028</v>
      </c>
      <c r="K2052" s="563">
        <f t="shared" si="466"/>
        <v>5452400</v>
      </c>
      <c r="L2052" s="194" t="s">
        <v>175</v>
      </c>
      <c r="M2052" s="194" t="s">
        <v>169</v>
      </c>
      <c r="N2052" s="52" t="str">
        <f>IF(AND('331-CT'!$E$7=TH!H2052,OR(L2052="331",M2052="331")),"331",IF(AND(OR(L2052="131",M2052="131"),H2052='131-CT'!$E$7),"131",""))</f>
        <v/>
      </c>
      <c r="O2052" s="89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8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65"/>
        <v>3</v>
      </c>
      <c r="C2053" s="37">
        <f t="shared" si="467"/>
        <v>41710</v>
      </c>
      <c r="D2053" s="37" t="s">
        <v>1379</v>
      </c>
      <c r="E2053" s="37">
        <v>41710</v>
      </c>
      <c r="F2053" s="291" t="s">
        <v>466</v>
      </c>
      <c r="G2053" s="40" t="s">
        <v>467</v>
      </c>
      <c r="H2053" s="7" t="s">
        <v>1372</v>
      </c>
      <c r="I2053" s="251">
        <v>1638</v>
      </c>
      <c r="J2053" s="251">
        <v>5423.7485188367345</v>
      </c>
      <c r="K2053" s="563">
        <f t="shared" si="466"/>
        <v>8884100</v>
      </c>
      <c r="L2053" s="194" t="s">
        <v>175</v>
      </c>
      <c r="M2053" s="194" t="s">
        <v>169</v>
      </c>
      <c r="N2053" s="52" t="str">
        <f>IF(AND('331-CT'!$E$7=TH!H2053,OR(L2053="331",M2053="331")),"331",IF(AND(OR(L2053="131",M2053="131"),H2053='131-CT'!$E$7),"131",""))</f>
        <v/>
      </c>
      <c r="O2053" s="89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8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65"/>
        <v>3</v>
      </c>
      <c r="C2054" s="37">
        <f t="shared" si="467"/>
        <v>41718</v>
      </c>
      <c r="D2054" s="37" t="s">
        <v>1379</v>
      </c>
      <c r="E2054" s="37">
        <v>41718</v>
      </c>
      <c r="F2054" s="291" t="s">
        <v>446</v>
      </c>
      <c r="G2054" s="40" t="s">
        <v>468</v>
      </c>
      <c r="H2054" s="7" t="s">
        <v>1372</v>
      </c>
      <c r="I2054" s="251">
        <v>110</v>
      </c>
      <c r="J2054" s="251">
        <v>13019.119459007674</v>
      </c>
      <c r="K2054" s="563">
        <f t="shared" si="466"/>
        <v>1432103</v>
      </c>
      <c r="L2054" s="194" t="s">
        <v>175</v>
      </c>
      <c r="M2054" s="194" t="s">
        <v>169</v>
      </c>
      <c r="N2054" s="52" t="str">
        <f>IF(AND('331-CT'!$E$7=TH!H2054,OR(L2054="331",M2054="331")),"331",IF(AND(OR(L2054="131",M2054="131"),H2054='131-CT'!$E$7),"131",""))</f>
        <v/>
      </c>
      <c r="O2054" s="89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8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65"/>
        <v>3</v>
      </c>
      <c r="C2055" s="37">
        <f t="shared" si="467"/>
        <v>41718</v>
      </c>
      <c r="D2055" s="37" t="s">
        <v>1379</v>
      </c>
      <c r="E2055" s="37">
        <v>41718</v>
      </c>
      <c r="F2055" s="192" t="s">
        <v>470</v>
      </c>
      <c r="G2055" s="463" t="s">
        <v>468</v>
      </c>
      <c r="H2055" s="7" t="s">
        <v>1372</v>
      </c>
      <c r="I2055" s="251">
        <v>880</v>
      </c>
      <c r="J2055" s="251">
        <v>5071.339913553129</v>
      </c>
      <c r="K2055" s="563">
        <f t="shared" si="466"/>
        <v>4462779</v>
      </c>
      <c r="L2055" s="194" t="s">
        <v>175</v>
      </c>
      <c r="M2055" s="194" t="s">
        <v>169</v>
      </c>
      <c r="N2055" s="52" t="str">
        <f>IF(AND('331-CT'!$E$7=TH!H2055,OR(L2055="331",M2055="331")),"331",IF(AND(OR(L2055="131",M2055="131"),H2055='131-CT'!$E$7),"131",""))</f>
        <v/>
      </c>
      <c r="O2055" s="89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8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65"/>
        <v>3</v>
      </c>
      <c r="C2056" s="37">
        <f t="shared" si="467"/>
        <v>41720</v>
      </c>
      <c r="D2056" s="37" t="s">
        <v>1379</v>
      </c>
      <c r="E2056" s="37">
        <v>41720</v>
      </c>
      <c r="F2056" s="192" t="s">
        <v>446</v>
      </c>
      <c r="G2056" s="463" t="s">
        <v>471</v>
      </c>
      <c r="H2056" s="7" t="s">
        <v>1372</v>
      </c>
      <c r="I2056" s="251">
        <v>214</v>
      </c>
      <c r="J2056" s="251">
        <v>19833.797963680572</v>
      </c>
      <c r="K2056" s="563">
        <f t="shared" si="466"/>
        <v>4244433</v>
      </c>
      <c r="L2056" s="194" t="s">
        <v>175</v>
      </c>
      <c r="M2056" s="194" t="s">
        <v>169</v>
      </c>
      <c r="N2056" s="52" t="str">
        <f>IF(AND('331-CT'!$E$7=TH!H2056,OR(L2056="331",M2056="331")),"331",IF(AND(OR(L2056="131",M2056="131"),H2056='131-CT'!$E$7),"131",""))</f>
        <v/>
      </c>
      <c r="O2056" s="89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8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65"/>
        <v>3</v>
      </c>
      <c r="C2057" s="37">
        <f t="shared" si="467"/>
        <v>41724</v>
      </c>
      <c r="D2057" s="37" t="s">
        <v>1379</v>
      </c>
      <c r="E2057" s="37">
        <v>41724</v>
      </c>
      <c r="F2057" s="192" t="s">
        <v>473</v>
      </c>
      <c r="G2057" s="463" t="s">
        <v>474</v>
      </c>
      <c r="H2057" s="7" t="s">
        <v>1372</v>
      </c>
      <c r="I2057" s="251">
        <v>1029</v>
      </c>
      <c r="J2057" s="251">
        <v>12279.93889535364</v>
      </c>
      <c r="K2057" s="563">
        <f t="shared" si="466"/>
        <v>12636057</v>
      </c>
      <c r="L2057" s="194" t="s">
        <v>175</v>
      </c>
      <c r="M2057" s="194" t="s">
        <v>169</v>
      </c>
      <c r="N2057" s="52" t="str">
        <f>IF(AND('331-CT'!$E$7=TH!H2057,OR(L2057="331",M2057="331")),"331",IF(AND(OR(L2057="131",M2057="131"),H2057='131-CT'!$E$7),"131",""))</f>
        <v/>
      </c>
      <c r="O2057" s="89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8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65"/>
        <v>3</v>
      </c>
      <c r="C2058" s="37">
        <f t="shared" si="467"/>
        <v>41728</v>
      </c>
      <c r="D2058" s="37" t="s">
        <v>1379</v>
      </c>
      <c r="E2058" s="37">
        <v>41728</v>
      </c>
      <c r="F2058" s="192" t="s">
        <v>475</v>
      </c>
      <c r="G2058" s="463" t="s">
        <v>476</v>
      </c>
      <c r="H2058" s="7" t="s">
        <v>1372</v>
      </c>
      <c r="I2058" s="251">
        <v>400</v>
      </c>
      <c r="J2058" s="251">
        <v>3532.3194590076732</v>
      </c>
      <c r="K2058" s="563">
        <f t="shared" si="466"/>
        <v>1412928</v>
      </c>
      <c r="L2058" s="194" t="s">
        <v>175</v>
      </c>
      <c r="M2058" s="194" t="s">
        <v>169</v>
      </c>
      <c r="N2058" s="52" t="str">
        <f>IF(AND('331-CT'!$E$7=TH!H2058,OR(L2058="331",M2058="331")),"331",IF(AND(OR(L2058="131",M2058="131"),H2058='131-CT'!$E$7),"131",""))</f>
        <v/>
      </c>
      <c r="O2058" s="89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8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65"/>
        <v>3</v>
      </c>
      <c r="C2059" s="37">
        <f t="shared" si="467"/>
        <v>41728</v>
      </c>
      <c r="D2059" s="37" t="s">
        <v>1379</v>
      </c>
      <c r="E2059" s="37">
        <v>41728</v>
      </c>
      <c r="F2059" s="192" t="s">
        <v>478</v>
      </c>
      <c r="G2059" s="463" t="s">
        <v>476</v>
      </c>
      <c r="H2059" s="7" t="s">
        <v>1372</v>
      </c>
      <c r="I2059" s="251">
        <v>600</v>
      </c>
      <c r="J2059" s="251">
        <v>3532.3194590076741</v>
      </c>
      <c r="K2059" s="563">
        <f t="shared" si="466"/>
        <v>2119392</v>
      </c>
      <c r="L2059" s="194" t="s">
        <v>175</v>
      </c>
      <c r="M2059" s="194" t="s">
        <v>169</v>
      </c>
      <c r="N2059" s="52" t="str">
        <f>IF(AND('331-CT'!$E$7=TH!H2059,OR(L2059="331",M2059="331")),"331",IF(AND(OR(L2059="131",M2059="131"),H2059='131-CT'!$E$7),"131",""))</f>
        <v/>
      </c>
      <c r="O2059" s="89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8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65"/>
        <v>3</v>
      </c>
      <c r="C2060" s="37">
        <f t="shared" si="467"/>
        <v>41728</v>
      </c>
      <c r="D2060" s="37" t="s">
        <v>1379</v>
      </c>
      <c r="E2060" s="37">
        <v>41728</v>
      </c>
      <c r="F2060" s="192" t="s">
        <v>479</v>
      </c>
      <c r="G2060" s="463" t="s">
        <v>476</v>
      </c>
      <c r="H2060" s="7" t="s">
        <v>1372</v>
      </c>
      <c r="I2060" s="251">
        <v>400</v>
      </c>
      <c r="J2060" s="251">
        <v>3065.8394590076741</v>
      </c>
      <c r="K2060" s="563">
        <f t="shared" si="466"/>
        <v>1226336</v>
      </c>
      <c r="L2060" s="194" t="s">
        <v>175</v>
      </c>
      <c r="M2060" s="194" t="s">
        <v>169</v>
      </c>
      <c r="N2060" s="52" t="str">
        <f>IF(AND('331-CT'!$E$7=TH!H2060,OR(L2060="331",M2060="331")),"331",IF(AND(OR(L2060="131",M2060="131"),H2060='131-CT'!$E$7),"131",""))</f>
        <v/>
      </c>
      <c r="O2060" s="89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8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65"/>
        <v>3</v>
      </c>
      <c r="C2061" s="37">
        <f t="shared" si="467"/>
        <v>41728</v>
      </c>
      <c r="D2061" s="37" t="s">
        <v>1379</v>
      </c>
      <c r="E2061" s="37">
        <v>41728</v>
      </c>
      <c r="F2061" s="192" t="s">
        <v>480</v>
      </c>
      <c r="G2061" s="463" t="s">
        <v>476</v>
      </c>
      <c r="H2061" s="7" t="s">
        <v>1372</v>
      </c>
      <c r="I2061" s="251">
        <v>50</v>
      </c>
      <c r="J2061" s="251">
        <v>13019.119459007674</v>
      </c>
      <c r="K2061" s="563">
        <f t="shared" si="466"/>
        <v>650956</v>
      </c>
      <c r="L2061" s="194" t="s">
        <v>175</v>
      </c>
      <c r="M2061" s="194" t="s">
        <v>169</v>
      </c>
      <c r="N2061" s="52" t="str">
        <f>IF(AND('331-CT'!$E$7=TH!H2061,OR(L2061="331",M2061="331")),"331",IF(AND(OR(L2061="131",M2061="131"),H2061='131-CT'!$E$7),"131",""))</f>
        <v/>
      </c>
      <c r="O2061" s="89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8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65"/>
        <v>3</v>
      </c>
      <c r="C2062" s="37">
        <f t="shared" si="467"/>
        <v>41728</v>
      </c>
      <c r="D2062" s="37" t="s">
        <v>1379</v>
      </c>
      <c r="E2062" s="37">
        <v>41728</v>
      </c>
      <c r="F2062" s="192" t="s">
        <v>481</v>
      </c>
      <c r="G2062" s="463" t="s">
        <v>482</v>
      </c>
      <c r="H2062" s="7" t="s">
        <v>1372</v>
      </c>
      <c r="I2062" s="251">
        <v>500</v>
      </c>
      <c r="J2062" s="251">
        <v>16600.119459007674</v>
      </c>
      <c r="K2062" s="563">
        <f t="shared" si="466"/>
        <v>8300060</v>
      </c>
      <c r="L2062" s="194" t="s">
        <v>175</v>
      </c>
      <c r="M2062" s="194" t="s">
        <v>169</v>
      </c>
      <c r="N2062" s="52" t="str">
        <f>IF(AND('331-CT'!$E$7=TH!H2062,OR(L2062="331",M2062="331")),"331",IF(AND(OR(L2062="131",M2062="131"),H2062='131-CT'!$E$7),"131",""))</f>
        <v/>
      </c>
      <c r="O2062" s="89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8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65"/>
        <v>3</v>
      </c>
      <c r="C2063" s="37">
        <f t="shared" si="467"/>
        <v>41728</v>
      </c>
      <c r="D2063" s="37" t="s">
        <v>1379</v>
      </c>
      <c r="E2063" s="37">
        <v>41728</v>
      </c>
      <c r="F2063" s="192" t="s">
        <v>445</v>
      </c>
      <c r="G2063" s="463" t="s">
        <v>482</v>
      </c>
      <c r="H2063" s="7" t="s">
        <v>1372</v>
      </c>
      <c r="I2063" s="251">
        <v>1000</v>
      </c>
      <c r="J2063" s="251">
        <v>2993.2394590076738</v>
      </c>
      <c r="K2063" s="563">
        <f t="shared" si="466"/>
        <v>2993239</v>
      </c>
      <c r="L2063" s="194" t="s">
        <v>175</v>
      </c>
      <c r="M2063" s="194" t="s">
        <v>169</v>
      </c>
      <c r="N2063" s="52" t="str">
        <f>IF(AND('331-CT'!$E$7=TH!H2063,OR(L2063="331",M2063="331")),"331",IF(AND(OR(L2063="131",M2063="131"),H2063='131-CT'!$E$7),"131",""))</f>
        <v/>
      </c>
      <c r="O2063" s="89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8"/>
    </row>
    <row r="2064" spans="1:28" s="850" customFormat="1" ht="15.75" customHeight="1">
      <c r="A2064" s="838" t="str">
        <f>IF(B2064&lt;&gt;"",IF(AND(B2064&gt;=_TM1,B2064&lt;=_TM2,OR(TH!L2064="1111",TH!M2064="1111")),TH!D2064,""),"")</f>
        <v/>
      </c>
      <c r="B2064" s="839">
        <f t="shared" si="465"/>
        <v>4</v>
      </c>
      <c r="C2064" s="927">
        <f t="shared" si="467"/>
        <v>41730</v>
      </c>
      <c r="D2064" s="37" t="s">
        <v>1379</v>
      </c>
      <c r="E2064" s="927">
        <v>41730</v>
      </c>
      <c r="F2064" s="851" t="s">
        <v>483</v>
      </c>
      <c r="G2064" s="852" t="s">
        <v>484</v>
      </c>
      <c r="H2064" s="844" t="s">
        <v>1372</v>
      </c>
      <c r="I2064" s="845">
        <v>302</v>
      </c>
      <c r="J2064" s="845">
        <v>12611.745371492716</v>
      </c>
      <c r="K2064" s="846">
        <f t="shared" si="466"/>
        <v>3808747</v>
      </c>
      <c r="L2064" s="928" t="s">
        <v>175</v>
      </c>
      <c r="M2064" s="928" t="s">
        <v>169</v>
      </c>
      <c r="N2064" s="52" t="str">
        <f>IF(AND('331-CT'!$E$7=TH!H2064,OR(L2064="331",M2064="331")),"331",IF(AND(OR(L2064="131",M2064="131"),H2064='131-CT'!$E$7),"131",""))</f>
        <v/>
      </c>
      <c r="O2064" s="89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632</v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8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65"/>
        <v>4</v>
      </c>
      <c r="C2065" s="37">
        <f t="shared" si="467"/>
        <v>41730</v>
      </c>
      <c r="D2065" s="37" t="s">
        <v>1379</v>
      </c>
      <c r="E2065" s="191">
        <v>41730</v>
      </c>
      <c r="F2065" s="192" t="s">
        <v>485</v>
      </c>
      <c r="G2065" s="463" t="s">
        <v>484</v>
      </c>
      <c r="H2065" s="7" t="s">
        <v>1372</v>
      </c>
      <c r="I2065" s="251">
        <v>300</v>
      </c>
      <c r="J2065" s="251">
        <v>6589.9341132145682</v>
      </c>
      <c r="K2065" s="563">
        <f t="shared" si="466"/>
        <v>1976980</v>
      </c>
      <c r="L2065" s="194" t="s">
        <v>175</v>
      </c>
      <c r="M2065" s="194" t="s">
        <v>169</v>
      </c>
      <c r="N2065" s="52" t="str">
        <f>IF(AND('331-CT'!$E$7=TH!H2065,OR(L2065="331",M2065="331")),"331",IF(AND(OR(L2065="131",M2065="131"),H2065='131-CT'!$E$7),"131",""))</f>
        <v/>
      </c>
      <c r="O2065" s="89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632</v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8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65"/>
        <v>4</v>
      </c>
      <c r="C2066" s="37">
        <f t="shared" si="467"/>
        <v>41730</v>
      </c>
      <c r="D2066" s="37" t="s">
        <v>1379</v>
      </c>
      <c r="E2066" s="191">
        <v>41730</v>
      </c>
      <c r="F2066" s="192" t="s">
        <v>486</v>
      </c>
      <c r="G2066" s="463" t="s">
        <v>484</v>
      </c>
      <c r="H2066" s="7" t="s">
        <v>1372</v>
      </c>
      <c r="I2066" s="251">
        <v>402</v>
      </c>
      <c r="J2066" s="251">
        <v>9672.7375958016328</v>
      </c>
      <c r="K2066" s="563">
        <f t="shared" si="466"/>
        <v>3888441</v>
      </c>
      <c r="L2066" s="194" t="s">
        <v>175</v>
      </c>
      <c r="M2066" s="194" t="s">
        <v>169</v>
      </c>
      <c r="N2066" s="52" t="str">
        <f>IF(AND('331-CT'!$E$7=TH!H2066,OR(L2066="331",M2066="331")),"331",IF(AND(OR(L2066="131",M2066="131"),H2066='131-CT'!$E$7),"131",""))</f>
        <v/>
      </c>
      <c r="O2066" s="89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632</v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8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65"/>
        <v>4</v>
      </c>
      <c r="C2067" s="37">
        <f t="shared" si="467"/>
        <v>41730</v>
      </c>
      <c r="D2067" s="37" t="s">
        <v>1379</v>
      </c>
      <c r="E2067" s="191">
        <v>41730</v>
      </c>
      <c r="F2067" s="192" t="s">
        <v>487</v>
      </c>
      <c r="G2067" s="463" t="s">
        <v>484</v>
      </c>
      <c r="H2067" s="7" t="s">
        <v>1372</v>
      </c>
      <c r="I2067" s="251">
        <v>550</v>
      </c>
      <c r="J2067" s="251">
        <v>6743.2522950327502</v>
      </c>
      <c r="K2067" s="563">
        <f t="shared" si="466"/>
        <v>3708789</v>
      </c>
      <c r="L2067" s="194" t="s">
        <v>175</v>
      </c>
      <c r="M2067" s="194" t="s">
        <v>169</v>
      </c>
      <c r="N2067" s="52" t="str">
        <f>IF(AND('331-CT'!$E$7=TH!H2067,OR(L2067="331",M2067="331")),"331",IF(AND(OR(L2067="131",M2067="131"),H2067='131-CT'!$E$7),"131",""))</f>
        <v/>
      </c>
      <c r="O2067" s="89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632</v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8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65"/>
        <v>4</v>
      </c>
      <c r="C2068" s="37">
        <f t="shared" si="467"/>
        <v>41730</v>
      </c>
      <c r="D2068" s="37" t="s">
        <v>1379</v>
      </c>
      <c r="E2068" s="191">
        <v>41730</v>
      </c>
      <c r="F2068" s="192" t="s">
        <v>488</v>
      </c>
      <c r="G2068" s="463" t="s">
        <v>489</v>
      </c>
      <c r="H2068" s="7" t="s">
        <v>1372</v>
      </c>
      <c r="I2068" s="251">
        <v>260</v>
      </c>
      <c r="J2068" s="251">
        <v>13772.645651676105</v>
      </c>
      <c r="K2068" s="563">
        <f t="shared" si="466"/>
        <v>3580888</v>
      </c>
      <c r="L2068" s="194" t="s">
        <v>175</v>
      </c>
      <c r="M2068" s="194" t="s">
        <v>169</v>
      </c>
      <c r="N2068" s="52" t="str">
        <f>IF(AND('331-CT'!$E$7=TH!H2068,OR(L2068="331",M2068="331")),"331",IF(AND(OR(L2068="131",M2068="131"),H2068='131-CT'!$E$7),"131",""))</f>
        <v/>
      </c>
      <c r="O2068" s="89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632</v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8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65"/>
        <v>4</v>
      </c>
      <c r="C2069" s="37">
        <f t="shared" si="467"/>
        <v>41730</v>
      </c>
      <c r="D2069" s="37" t="s">
        <v>1379</v>
      </c>
      <c r="E2069" s="191">
        <v>41730</v>
      </c>
      <c r="F2069" s="192" t="s">
        <v>491</v>
      </c>
      <c r="G2069" s="463" t="s">
        <v>489</v>
      </c>
      <c r="H2069" s="7" t="s">
        <v>1372</v>
      </c>
      <c r="I2069" s="251">
        <v>2100</v>
      </c>
      <c r="J2069" s="251">
        <v>2758.2674465479013</v>
      </c>
      <c r="K2069" s="563">
        <f t="shared" si="466"/>
        <v>5792362</v>
      </c>
      <c r="L2069" s="194" t="s">
        <v>175</v>
      </c>
      <c r="M2069" s="194" t="s">
        <v>169</v>
      </c>
      <c r="N2069" s="52" t="str">
        <f>IF(AND('331-CT'!$E$7=TH!H2069,OR(L2069="331",M2069="331")),"331",IF(AND(OR(L2069="131",M2069="131"),H2069='131-CT'!$E$7),"131",""))</f>
        <v/>
      </c>
      <c r="O2069" s="89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632</v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8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65"/>
        <v>4</v>
      </c>
      <c r="C2070" s="37">
        <f t="shared" si="467"/>
        <v>41733</v>
      </c>
      <c r="D2070" s="37" t="s">
        <v>1379</v>
      </c>
      <c r="E2070" s="191">
        <v>41733</v>
      </c>
      <c r="F2070" s="192" t="s">
        <v>492</v>
      </c>
      <c r="G2070" s="463" t="s">
        <v>493</v>
      </c>
      <c r="H2070" s="7" t="s">
        <v>1372</v>
      </c>
      <c r="I2070" s="251">
        <v>325</v>
      </c>
      <c r="J2070" s="251">
        <v>7671.5418055222617</v>
      </c>
      <c r="K2070" s="563">
        <f t="shared" si="466"/>
        <v>2493251</v>
      </c>
      <c r="L2070" s="194" t="s">
        <v>175</v>
      </c>
      <c r="M2070" s="194" t="s">
        <v>169</v>
      </c>
      <c r="N2070" s="52" t="str">
        <f>IF(AND('331-CT'!$E$7=TH!H2070,OR(L2070="331",M2070="331")),"331",IF(AND(OR(L2070="131",M2070="131"),H2070='131-CT'!$E$7),"131",""))</f>
        <v/>
      </c>
      <c r="O2070" s="89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632</v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8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65"/>
        <v>4</v>
      </c>
      <c r="C2071" s="37">
        <f t="shared" si="467"/>
        <v>41733</v>
      </c>
      <c r="D2071" s="37" t="s">
        <v>1379</v>
      </c>
      <c r="E2071" s="191">
        <v>41733</v>
      </c>
      <c r="F2071" s="192" t="s">
        <v>494</v>
      </c>
      <c r="G2071" s="463" t="s">
        <v>493</v>
      </c>
      <c r="H2071" s="7" t="s">
        <v>1372</v>
      </c>
      <c r="I2071" s="251">
        <v>577</v>
      </c>
      <c r="J2071" s="251">
        <v>7336.2070768194199</v>
      </c>
      <c r="K2071" s="563">
        <f t="shared" si="466"/>
        <v>4232991</v>
      </c>
      <c r="L2071" s="194" t="s">
        <v>175</v>
      </c>
      <c r="M2071" s="194" t="s">
        <v>169</v>
      </c>
      <c r="N2071" s="52" t="str">
        <f>IF(AND('331-CT'!$E$7=TH!H2071,OR(L2071="331",M2071="331")),"331",IF(AND(OR(L2071="131",M2071="131"),H2071='131-CT'!$E$7),"131",""))</f>
        <v/>
      </c>
      <c r="O2071" s="89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632</v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8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65"/>
        <v>4</v>
      </c>
      <c r="C2072" s="37">
        <f t="shared" si="467"/>
        <v>41740</v>
      </c>
      <c r="D2072" s="37" t="s">
        <v>1379</v>
      </c>
      <c r="E2072" s="191">
        <v>41740</v>
      </c>
      <c r="F2072" s="192" t="s">
        <v>436</v>
      </c>
      <c r="G2072" s="463" t="s">
        <v>495</v>
      </c>
      <c r="H2072" s="7" t="s">
        <v>1372</v>
      </c>
      <c r="I2072" s="251">
        <v>720</v>
      </c>
      <c r="J2072" s="251">
        <v>10494.434113214567</v>
      </c>
      <c r="K2072" s="563">
        <f t="shared" si="466"/>
        <v>7555993</v>
      </c>
      <c r="L2072" s="194" t="s">
        <v>175</v>
      </c>
      <c r="M2072" s="194" t="s">
        <v>169</v>
      </c>
      <c r="N2072" s="52" t="str">
        <f>IF(AND('331-CT'!$E$7=TH!H2072,OR(L2072="331",M2072="331")),"331",IF(AND(OR(L2072="131",M2072="131"),H2072='131-CT'!$E$7),"131",""))</f>
        <v/>
      </c>
      <c r="O2072" s="89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632</v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8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65"/>
        <v>4</v>
      </c>
      <c r="C2073" s="37">
        <f t="shared" si="467"/>
        <v>41740</v>
      </c>
      <c r="D2073" s="37" t="s">
        <v>1379</v>
      </c>
      <c r="E2073" s="191">
        <v>41740</v>
      </c>
      <c r="F2073" s="192" t="s">
        <v>496</v>
      </c>
      <c r="G2073" s="463" t="s">
        <v>495</v>
      </c>
      <c r="H2073" s="7" t="s">
        <v>1372</v>
      </c>
      <c r="I2073" s="251">
        <v>340</v>
      </c>
      <c r="J2073" s="251">
        <v>8638.4694073322153</v>
      </c>
      <c r="K2073" s="563">
        <f t="shared" si="466"/>
        <v>2937080</v>
      </c>
      <c r="L2073" s="194" t="s">
        <v>175</v>
      </c>
      <c r="M2073" s="194" t="s">
        <v>169</v>
      </c>
      <c r="N2073" s="52" t="str">
        <f>IF(AND('331-CT'!$E$7=TH!H2073,OR(L2073="331",M2073="331")),"331",IF(AND(OR(L2073="131",M2073="131"),H2073='131-CT'!$E$7),"131",""))</f>
        <v/>
      </c>
      <c r="O2073" s="89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632</v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8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65"/>
        <v>4</v>
      </c>
      <c r="C2074" s="37">
        <f t="shared" si="467"/>
        <v>41744</v>
      </c>
      <c r="D2074" s="37" t="s">
        <v>1379</v>
      </c>
      <c r="E2074" s="37">
        <v>41744</v>
      </c>
      <c r="F2074" s="291" t="s">
        <v>497</v>
      </c>
      <c r="G2074" s="40" t="s">
        <v>498</v>
      </c>
      <c r="H2074" s="7" t="s">
        <v>1372</v>
      </c>
      <c r="I2074" s="251">
        <v>100</v>
      </c>
      <c r="J2074" s="251">
        <v>8822.4341132145673</v>
      </c>
      <c r="K2074" s="563">
        <f t="shared" si="466"/>
        <v>882243</v>
      </c>
      <c r="L2074" s="194" t="s">
        <v>175</v>
      </c>
      <c r="M2074" s="194" t="s">
        <v>169</v>
      </c>
      <c r="N2074" s="52" t="str">
        <f>IF(AND('331-CT'!$E$7=TH!H2074,OR(L2074="331",M2074="331")),"331",IF(AND(OR(L2074="131",M2074="131"),H2074='131-CT'!$E$7),"131",""))</f>
        <v/>
      </c>
      <c r="O2074" s="89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632</v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8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65"/>
        <v>4</v>
      </c>
      <c r="C2075" s="37">
        <f t="shared" si="467"/>
        <v>41746</v>
      </c>
      <c r="D2075" s="37" t="s">
        <v>1379</v>
      </c>
      <c r="E2075" s="37">
        <v>41746</v>
      </c>
      <c r="F2075" s="291" t="s">
        <v>459</v>
      </c>
      <c r="G2075" s="40" t="s">
        <v>499</v>
      </c>
      <c r="H2075" s="7" t="s">
        <v>1372</v>
      </c>
      <c r="I2075" s="251">
        <v>1015</v>
      </c>
      <c r="J2075" s="251">
        <v>8276.4883004066851</v>
      </c>
      <c r="K2075" s="563">
        <f t="shared" si="466"/>
        <v>8400636</v>
      </c>
      <c r="L2075" s="194" t="s">
        <v>175</v>
      </c>
      <c r="M2075" s="194" t="s">
        <v>169</v>
      </c>
      <c r="N2075" s="52" t="str">
        <f>IF(AND('331-CT'!$E$7=TH!H2075,OR(L2075="331",M2075="331")),"331",IF(AND(OR(L2075="131",M2075="131"),H2075='131-CT'!$E$7),"131",""))</f>
        <v/>
      </c>
      <c r="O2075" s="89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632</v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8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65"/>
        <v>4</v>
      </c>
      <c r="C2076" s="37">
        <f t="shared" si="467"/>
        <v>41746</v>
      </c>
      <c r="D2076" s="37" t="s">
        <v>1379</v>
      </c>
      <c r="E2076" s="37">
        <v>41746</v>
      </c>
      <c r="F2076" s="291" t="s">
        <v>500</v>
      </c>
      <c r="G2076" s="40" t="s">
        <v>501</v>
      </c>
      <c r="H2076" s="7" t="s">
        <v>1372</v>
      </c>
      <c r="I2076" s="251">
        <v>436</v>
      </c>
      <c r="J2076" s="251">
        <v>5425.5212691778706</v>
      </c>
      <c r="K2076" s="563">
        <f t="shared" si="466"/>
        <v>2365527</v>
      </c>
      <c r="L2076" s="194" t="s">
        <v>175</v>
      </c>
      <c r="M2076" s="194" t="s">
        <v>169</v>
      </c>
      <c r="N2076" s="52" t="str">
        <f>IF(AND('331-CT'!$E$7=TH!H2076,OR(L2076="331",M2076="331")),"331",IF(AND(OR(L2076="131",M2076="131"),H2076='131-CT'!$E$7),"131",""))</f>
        <v/>
      </c>
      <c r="O2076" s="89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632</v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8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65"/>
        <v>4</v>
      </c>
      <c r="C2077" s="37">
        <f t="shared" si="467"/>
        <v>41746</v>
      </c>
      <c r="D2077" s="37" t="s">
        <v>1379</v>
      </c>
      <c r="E2077" s="37">
        <v>41746</v>
      </c>
      <c r="F2077" s="291" t="s">
        <v>503</v>
      </c>
      <c r="G2077" s="40" t="s">
        <v>501</v>
      </c>
      <c r="H2077" s="7" t="s">
        <v>1372</v>
      </c>
      <c r="I2077" s="251">
        <v>302</v>
      </c>
      <c r="J2077" s="251">
        <v>4051.5798085788065</v>
      </c>
      <c r="K2077" s="563">
        <f t="shared" si="466"/>
        <v>1223577</v>
      </c>
      <c r="L2077" s="194" t="s">
        <v>175</v>
      </c>
      <c r="M2077" s="194" t="s">
        <v>169</v>
      </c>
      <c r="N2077" s="52" t="str">
        <f>IF(AND('331-CT'!$E$7=TH!H2077,OR(L2077="331",M2077="331")),"331",IF(AND(OR(L2077="131",M2077="131"),H2077='131-CT'!$E$7),"131",""))</f>
        <v/>
      </c>
      <c r="O2077" s="89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632</v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8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65"/>
        <v>4</v>
      </c>
      <c r="C2078" s="37">
        <f t="shared" si="467"/>
        <v>41746</v>
      </c>
      <c r="D2078" s="37" t="s">
        <v>1379</v>
      </c>
      <c r="E2078" s="37">
        <v>41746</v>
      </c>
      <c r="F2078" s="291" t="s">
        <v>504</v>
      </c>
      <c r="G2078" s="40" t="s">
        <v>501</v>
      </c>
      <c r="H2078" s="7" t="s">
        <v>1372</v>
      </c>
      <c r="I2078" s="251">
        <v>303</v>
      </c>
      <c r="J2078" s="251">
        <v>6169.0776775710046</v>
      </c>
      <c r="K2078" s="563">
        <f t="shared" si="466"/>
        <v>1869231</v>
      </c>
      <c r="L2078" s="194" t="s">
        <v>175</v>
      </c>
      <c r="M2078" s="194" t="s">
        <v>169</v>
      </c>
      <c r="N2078" s="52" t="str">
        <f>IF(AND('331-CT'!$E$7=TH!H2078,OR(L2078="331",M2078="331")),"331",IF(AND(OR(L2078="131",M2078="131"),H2078='131-CT'!$E$7),"131",""))</f>
        <v/>
      </c>
      <c r="O2078" s="89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632</v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8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65"/>
        <v>4</v>
      </c>
      <c r="C2079" s="37">
        <f t="shared" si="467"/>
        <v>41746</v>
      </c>
      <c r="D2079" s="37" t="s">
        <v>1379</v>
      </c>
      <c r="E2079" s="37">
        <v>41746</v>
      </c>
      <c r="F2079" s="291" t="s">
        <v>406</v>
      </c>
      <c r="G2079" s="40" t="s">
        <v>501</v>
      </c>
      <c r="H2079" s="7" t="s">
        <v>1372</v>
      </c>
      <c r="I2079" s="251">
        <v>200</v>
      </c>
      <c r="J2079" s="251">
        <v>6415.4341132145673</v>
      </c>
      <c r="K2079" s="563">
        <f t="shared" si="466"/>
        <v>1283087</v>
      </c>
      <c r="L2079" s="194" t="s">
        <v>175</v>
      </c>
      <c r="M2079" s="194" t="s">
        <v>169</v>
      </c>
      <c r="N2079" s="52" t="str">
        <f>IF(AND('331-CT'!$E$7=TH!H2079,OR(L2079="331",M2079="331")),"331",IF(AND(OR(L2079="131",M2079="131"),H2079='131-CT'!$E$7),"131",""))</f>
        <v/>
      </c>
      <c r="O2079" s="89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632</v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8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65"/>
        <v>4</v>
      </c>
      <c r="C2080" s="37">
        <f t="shared" si="467"/>
        <v>41748</v>
      </c>
      <c r="D2080" s="37" t="s">
        <v>1379</v>
      </c>
      <c r="E2080" s="37">
        <v>41748</v>
      </c>
      <c r="F2080" s="291" t="s">
        <v>417</v>
      </c>
      <c r="G2080" s="40" t="s">
        <v>505</v>
      </c>
      <c r="H2080" s="7" t="s">
        <v>1372</v>
      </c>
      <c r="I2080" s="251">
        <v>1856</v>
      </c>
      <c r="J2080" s="251">
        <v>4725.9448890766371</v>
      </c>
      <c r="K2080" s="563">
        <f t="shared" si="466"/>
        <v>8771354</v>
      </c>
      <c r="L2080" s="194" t="s">
        <v>175</v>
      </c>
      <c r="M2080" s="194" t="s">
        <v>169</v>
      </c>
      <c r="N2080" s="52" t="str">
        <f>IF(AND('331-CT'!$E$7=TH!H2080,OR(L2080="331",M2080="331")),"331",IF(AND(OR(L2080="131",M2080="131"),H2080='131-CT'!$E$7),"131",""))</f>
        <v/>
      </c>
      <c r="O2080" s="89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632</v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8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65"/>
        <v>4</v>
      </c>
      <c r="C2081" s="37">
        <f t="shared" si="467"/>
        <v>41750</v>
      </c>
      <c r="D2081" s="37" t="s">
        <v>1379</v>
      </c>
      <c r="E2081" s="37">
        <v>41750</v>
      </c>
      <c r="F2081" s="291" t="s">
        <v>421</v>
      </c>
      <c r="G2081" s="40" t="s">
        <v>506</v>
      </c>
      <c r="H2081" s="7" t="s">
        <v>1372</v>
      </c>
      <c r="I2081" s="251">
        <v>500</v>
      </c>
      <c r="J2081" s="251">
        <v>16293.434113214569</v>
      </c>
      <c r="K2081" s="563">
        <f t="shared" si="466"/>
        <v>8146717</v>
      </c>
      <c r="L2081" s="194" t="s">
        <v>175</v>
      </c>
      <c r="M2081" s="194" t="s">
        <v>169</v>
      </c>
      <c r="N2081" s="52" t="str">
        <f>IF(AND('331-CT'!$E$7=TH!H2081,OR(L2081="331",M2081="331")),"331",IF(AND(OR(L2081="131",M2081="131"),H2081='131-CT'!$E$7),"131",""))</f>
        <v/>
      </c>
      <c r="O2081" s="89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632</v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8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65"/>
        <v>4</v>
      </c>
      <c r="C2082" s="37">
        <f t="shared" si="467"/>
        <v>41750</v>
      </c>
      <c r="D2082" s="37" t="s">
        <v>1379</v>
      </c>
      <c r="E2082" s="37">
        <v>41750</v>
      </c>
      <c r="F2082" s="192" t="s">
        <v>445</v>
      </c>
      <c r="G2082" s="463" t="s">
        <v>506</v>
      </c>
      <c r="H2082" s="7" t="s">
        <v>1372</v>
      </c>
      <c r="I2082" s="251">
        <v>1000</v>
      </c>
      <c r="J2082" s="251">
        <v>1608.2641132145682</v>
      </c>
      <c r="K2082" s="563">
        <f t="shared" si="466"/>
        <v>1608264</v>
      </c>
      <c r="L2082" s="194" t="s">
        <v>175</v>
      </c>
      <c r="M2082" s="194" t="s">
        <v>169</v>
      </c>
      <c r="N2082" s="52" t="str">
        <f>IF(AND('331-CT'!$E$7=TH!H2082,OR(L2082="331",M2082="331")),"331",IF(AND(OR(L2082="131",M2082="131"),H2082='131-CT'!$E$7),"131",""))</f>
        <v/>
      </c>
      <c r="O2082" s="89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632</v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8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65"/>
        <v>4</v>
      </c>
      <c r="C2083" s="37">
        <f t="shared" si="467"/>
        <v>41752</v>
      </c>
      <c r="D2083" s="37" t="s">
        <v>1379</v>
      </c>
      <c r="E2083" s="37">
        <v>41752</v>
      </c>
      <c r="F2083" s="192" t="s">
        <v>423</v>
      </c>
      <c r="G2083" s="463" t="s">
        <v>507</v>
      </c>
      <c r="H2083" s="7" t="s">
        <v>1372</v>
      </c>
      <c r="I2083" s="251">
        <v>500</v>
      </c>
      <c r="J2083" s="251">
        <v>7133.3761132145682</v>
      </c>
      <c r="K2083" s="563">
        <f t="shared" si="466"/>
        <v>3566688</v>
      </c>
      <c r="L2083" s="194" t="s">
        <v>175</v>
      </c>
      <c r="M2083" s="194" t="s">
        <v>169</v>
      </c>
      <c r="N2083" s="52" t="str">
        <f>IF(AND('331-CT'!$E$7=TH!H2083,OR(L2083="331",M2083="331")),"331",IF(AND(OR(L2083="131",M2083="131"),H2083='131-CT'!$E$7),"131",""))</f>
        <v/>
      </c>
      <c r="O2083" s="89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632</v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8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65"/>
        <v>4</v>
      </c>
      <c r="C2084" s="37">
        <f t="shared" si="467"/>
        <v>41752</v>
      </c>
      <c r="D2084" s="37" t="s">
        <v>1379</v>
      </c>
      <c r="E2084" s="37">
        <v>41752</v>
      </c>
      <c r="F2084" s="192" t="s">
        <v>423</v>
      </c>
      <c r="G2084" s="463" t="s">
        <v>507</v>
      </c>
      <c r="H2084" s="7" t="s">
        <v>1372</v>
      </c>
      <c r="I2084" s="251">
        <v>504</v>
      </c>
      <c r="J2084" s="251">
        <v>9158.8309386113942</v>
      </c>
      <c r="K2084" s="563">
        <f t="shared" si="466"/>
        <v>4616051</v>
      </c>
      <c r="L2084" s="194" t="s">
        <v>175</v>
      </c>
      <c r="M2084" s="194" t="s">
        <v>169</v>
      </c>
      <c r="N2084" s="52" t="str">
        <f>IF(AND('331-CT'!$E$7=TH!H2084,OR(L2084="331",M2084="331")),"331",IF(AND(OR(L2084="131",M2084="131"),H2084='131-CT'!$E$7),"131",""))</f>
        <v/>
      </c>
      <c r="O2084" s="89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632</v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8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65"/>
        <v>4</v>
      </c>
      <c r="C2085" s="37">
        <f t="shared" si="467"/>
        <v>41755</v>
      </c>
      <c r="D2085" s="37" t="s">
        <v>1379</v>
      </c>
      <c r="E2085" s="37">
        <v>41755</v>
      </c>
      <c r="F2085" s="192" t="s">
        <v>508</v>
      </c>
      <c r="G2085" s="463" t="s">
        <v>509</v>
      </c>
      <c r="H2085" s="7" t="s">
        <v>1372</v>
      </c>
      <c r="I2085" s="251">
        <v>305</v>
      </c>
      <c r="J2085" s="251">
        <v>9357.2046050178469</v>
      </c>
      <c r="K2085" s="563">
        <f t="shared" si="466"/>
        <v>2853947</v>
      </c>
      <c r="L2085" s="194" t="s">
        <v>175</v>
      </c>
      <c r="M2085" s="194" t="s">
        <v>169</v>
      </c>
      <c r="N2085" s="52" t="str">
        <f>IF(AND('331-CT'!$E$7=TH!H2085,OR(L2085="331",M2085="331")),"331",IF(AND(OR(L2085="131",M2085="131"),H2085='131-CT'!$E$7),"131",""))</f>
        <v/>
      </c>
      <c r="O2085" s="89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632</v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8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65"/>
        <v>4</v>
      </c>
      <c r="C2086" s="37">
        <f t="shared" si="467"/>
        <v>41755</v>
      </c>
      <c r="D2086" s="37" t="s">
        <v>1379</v>
      </c>
      <c r="E2086" s="37">
        <v>41755</v>
      </c>
      <c r="F2086" s="192" t="s">
        <v>494</v>
      </c>
      <c r="G2086" s="463" t="s">
        <v>509</v>
      </c>
      <c r="H2086" s="7" t="s">
        <v>1372</v>
      </c>
      <c r="I2086" s="251">
        <v>530</v>
      </c>
      <c r="J2086" s="251">
        <v>7378.3963773655105</v>
      </c>
      <c r="K2086" s="563">
        <f t="shared" si="466"/>
        <v>3910550</v>
      </c>
      <c r="L2086" s="194" t="s">
        <v>175</v>
      </c>
      <c r="M2086" s="194" t="s">
        <v>169</v>
      </c>
      <c r="N2086" s="52" t="str">
        <f>IF(AND('331-CT'!$E$7=TH!H2086,OR(L2086="331",M2086="331")),"331",IF(AND(OR(L2086="131",M2086="131"),H2086='131-CT'!$E$7),"131",""))</f>
        <v/>
      </c>
      <c r="O2086" s="89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632</v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8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ref="B2087:B2150" si="468">IF(C2087&lt;&gt;"",MONTH(C2087),"")</f>
        <v>5</v>
      </c>
      <c r="C2087" s="37">
        <f t="shared" si="467"/>
        <v>41762</v>
      </c>
      <c r="D2087" s="37" t="s">
        <v>1379</v>
      </c>
      <c r="E2087" s="37">
        <v>41762</v>
      </c>
      <c r="F2087" s="192" t="s">
        <v>421</v>
      </c>
      <c r="G2087" s="463" t="s">
        <v>510</v>
      </c>
      <c r="H2087" s="7" t="s">
        <v>1372</v>
      </c>
      <c r="I2087" s="251">
        <v>500</v>
      </c>
      <c r="J2087" s="251">
        <v>16117.434113214569</v>
      </c>
      <c r="K2087" s="563">
        <f t="shared" ref="K2087:K2150" si="469">ROUND(I2087*J2087,0)</f>
        <v>8058717</v>
      </c>
      <c r="L2087" s="194" t="s">
        <v>175</v>
      </c>
      <c r="M2087" s="194" t="s">
        <v>169</v>
      </c>
      <c r="N2087" s="52" t="str">
        <f>IF(AND('331-CT'!$E$7=TH!H2087,OR(L2087="331",M2087="331")),"331",IF(AND(OR(L2087="131",M2087="131"),H2087='131-CT'!$E$7),"131",""))</f>
        <v/>
      </c>
      <c r="O2087" s="89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632</v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8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468"/>
        <v>5</v>
      </c>
      <c r="C2088" s="37">
        <f t="shared" ref="C2088:C2151" si="470">E2088</f>
        <v>41762</v>
      </c>
      <c r="D2088" s="37" t="s">
        <v>1379</v>
      </c>
      <c r="E2088" s="37">
        <v>41762</v>
      </c>
      <c r="F2088" s="192" t="s">
        <v>445</v>
      </c>
      <c r="G2088" s="463" t="s">
        <v>510</v>
      </c>
      <c r="H2088" s="7" t="s">
        <v>1372</v>
      </c>
      <c r="I2088" s="251">
        <v>1000</v>
      </c>
      <c r="J2088" s="251">
        <v>2982.0591132145682</v>
      </c>
      <c r="K2088" s="563">
        <f t="shared" si="469"/>
        <v>2982059</v>
      </c>
      <c r="L2088" s="194" t="s">
        <v>175</v>
      </c>
      <c r="M2088" s="194" t="s">
        <v>169</v>
      </c>
      <c r="N2088" s="52" t="str">
        <f>IF(AND('331-CT'!$E$7=TH!H2088,OR(L2088="331",M2088="331")),"331",IF(AND(OR(L2088="131",M2088="131"),H2088='131-CT'!$E$7),"131",""))</f>
        <v/>
      </c>
      <c r="O2088" s="89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632</v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8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68"/>
        <v>5</v>
      </c>
      <c r="C2089" s="37">
        <f t="shared" si="470"/>
        <v>41765</v>
      </c>
      <c r="D2089" s="37" t="s">
        <v>1379</v>
      </c>
      <c r="E2089" s="37">
        <v>41765</v>
      </c>
      <c r="F2089" s="192" t="s">
        <v>494</v>
      </c>
      <c r="G2089" s="463" t="s">
        <v>511</v>
      </c>
      <c r="H2089" s="7" t="s">
        <v>1372</v>
      </c>
      <c r="I2089" s="251">
        <v>500</v>
      </c>
      <c r="J2089" s="251">
        <v>7394.7341132145684</v>
      </c>
      <c r="K2089" s="563">
        <f t="shared" si="469"/>
        <v>3697367</v>
      </c>
      <c r="L2089" s="194" t="s">
        <v>175</v>
      </c>
      <c r="M2089" s="194" t="s">
        <v>169</v>
      </c>
      <c r="N2089" s="52" t="str">
        <f>IF(AND('331-CT'!$E$7=TH!H2089,OR(L2089="331",M2089="331")),"331",IF(AND(OR(L2089="131",M2089="131"),H2089='131-CT'!$E$7),"131",""))</f>
        <v/>
      </c>
      <c r="O2089" s="89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632</v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8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68"/>
        <v>5</v>
      </c>
      <c r="C2090" s="37">
        <f t="shared" si="470"/>
        <v>41765</v>
      </c>
      <c r="D2090" s="37" t="s">
        <v>1379</v>
      </c>
      <c r="E2090" s="191">
        <v>41765</v>
      </c>
      <c r="F2090" s="192" t="s">
        <v>512</v>
      </c>
      <c r="G2090" s="463" t="s">
        <v>511</v>
      </c>
      <c r="H2090" s="7" t="s">
        <v>1372</v>
      </c>
      <c r="I2090" s="251">
        <v>200</v>
      </c>
      <c r="J2090" s="251">
        <v>6683.9341132145673</v>
      </c>
      <c r="K2090" s="563">
        <f t="shared" si="469"/>
        <v>1336787</v>
      </c>
      <c r="L2090" s="194" t="s">
        <v>175</v>
      </c>
      <c r="M2090" s="194" t="s">
        <v>169</v>
      </c>
      <c r="N2090" s="52" t="str">
        <f>IF(AND('331-CT'!$E$7=TH!H2090,OR(L2090="331",M2090="331")),"331",IF(AND(OR(L2090="131",M2090="131"),H2090='131-CT'!$E$7),"131",""))</f>
        <v/>
      </c>
      <c r="O2090" s="89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632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8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68"/>
        <v>5</v>
      </c>
      <c r="C2091" s="37">
        <f t="shared" si="470"/>
        <v>41772</v>
      </c>
      <c r="D2091" s="37" t="s">
        <v>1379</v>
      </c>
      <c r="E2091" s="191">
        <v>41772</v>
      </c>
      <c r="F2091" s="192" t="s">
        <v>446</v>
      </c>
      <c r="G2091" s="463" t="s">
        <v>513</v>
      </c>
      <c r="H2091" s="7" t="s">
        <v>1372</v>
      </c>
      <c r="I2091" s="251">
        <v>200</v>
      </c>
      <c r="J2091" s="251">
        <v>19536.434113214567</v>
      </c>
      <c r="K2091" s="563">
        <f t="shared" si="469"/>
        <v>3907287</v>
      </c>
      <c r="L2091" s="194" t="s">
        <v>175</v>
      </c>
      <c r="M2091" s="194" t="s">
        <v>169</v>
      </c>
      <c r="N2091" s="52" t="str">
        <f>IF(AND('331-CT'!$E$7=TH!H2091,OR(L2091="331",M2091="331")),"331",IF(AND(OR(L2091="131",M2091="131"),H2091='131-CT'!$E$7),"131",""))</f>
        <v/>
      </c>
      <c r="O2091" s="89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632</v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8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68"/>
        <v>5</v>
      </c>
      <c r="C2092" s="37">
        <f t="shared" si="470"/>
        <v>41774</v>
      </c>
      <c r="D2092" s="37" t="s">
        <v>1379</v>
      </c>
      <c r="E2092" s="191">
        <v>41774</v>
      </c>
      <c r="F2092" s="192" t="s">
        <v>436</v>
      </c>
      <c r="G2092" s="463" t="s">
        <v>514</v>
      </c>
      <c r="H2092" s="7" t="s">
        <v>1372</v>
      </c>
      <c r="I2092" s="251">
        <v>300</v>
      </c>
      <c r="J2092" s="251">
        <v>9829.717446547902</v>
      </c>
      <c r="K2092" s="563">
        <f t="shared" si="469"/>
        <v>2948915</v>
      </c>
      <c r="L2092" s="194" t="s">
        <v>175</v>
      </c>
      <c r="M2092" s="194" t="s">
        <v>169</v>
      </c>
      <c r="N2092" s="52" t="str">
        <f>IF(AND('331-CT'!$E$7=TH!H2092,OR(L2092="331",M2092="331")),"331",IF(AND(OR(L2092="131",M2092="131"),H2092='131-CT'!$E$7),"131",""))</f>
        <v/>
      </c>
      <c r="O2092" s="89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632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8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68"/>
        <v>5</v>
      </c>
      <c r="C2093" s="37">
        <f t="shared" si="470"/>
        <v>41774</v>
      </c>
      <c r="D2093" s="37" t="s">
        <v>1379</v>
      </c>
      <c r="E2093" s="37">
        <v>41774</v>
      </c>
      <c r="F2093" s="291" t="s">
        <v>515</v>
      </c>
      <c r="G2093" s="40" t="s">
        <v>516</v>
      </c>
      <c r="H2093" s="7" t="s">
        <v>1372</v>
      </c>
      <c r="I2093" s="251">
        <v>987</v>
      </c>
      <c r="J2093" s="251">
        <v>10962.613444521559</v>
      </c>
      <c r="K2093" s="563">
        <f t="shared" si="469"/>
        <v>10820099</v>
      </c>
      <c r="L2093" s="194" t="s">
        <v>175</v>
      </c>
      <c r="M2093" s="194" t="s">
        <v>169</v>
      </c>
      <c r="N2093" s="52" t="str">
        <f>IF(AND('331-CT'!$E$7=TH!H2093,OR(L2093="331",M2093="331")),"331",IF(AND(OR(L2093="131",M2093="131"),H2093='131-CT'!$E$7),"131",""))</f>
        <v/>
      </c>
      <c r="O2093" s="89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632</v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8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68"/>
        <v>5</v>
      </c>
      <c r="C2094" s="37">
        <f t="shared" si="470"/>
        <v>41774</v>
      </c>
      <c r="D2094" s="37" t="s">
        <v>1379</v>
      </c>
      <c r="E2094" s="37">
        <v>41774</v>
      </c>
      <c r="F2094" s="291" t="s">
        <v>517</v>
      </c>
      <c r="G2094" s="40" t="s">
        <v>518</v>
      </c>
      <c r="H2094" s="7" t="s">
        <v>1372</v>
      </c>
      <c r="I2094" s="251">
        <v>995</v>
      </c>
      <c r="J2094" s="251">
        <v>10885.192907184417</v>
      </c>
      <c r="K2094" s="563">
        <f t="shared" si="469"/>
        <v>10830767</v>
      </c>
      <c r="L2094" s="194" t="s">
        <v>175</v>
      </c>
      <c r="M2094" s="194" t="s">
        <v>169</v>
      </c>
      <c r="N2094" s="52" t="str">
        <f>IF(AND('331-CT'!$E$7=TH!H2094,OR(L2094="331",M2094="331")),"331",IF(AND(OR(L2094="131",M2094="131"),H2094='131-CT'!$E$7),"131",""))</f>
        <v/>
      </c>
      <c r="O2094" s="89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632</v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8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68"/>
        <v>5</v>
      </c>
      <c r="C2095" s="37">
        <f t="shared" si="470"/>
        <v>41774</v>
      </c>
      <c r="D2095" s="37" t="s">
        <v>1379</v>
      </c>
      <c r="E2095" s="37">
        <v>41774</v>
      </c>
      <c r="F2095" s="192" t="s">
        <v>519</v>
      </c>
      <c r="G2095" s="463" t="s">
        <v>518</v>
      </c>
      <c r="H2095" s="7" t="s">
        <v>1372</v>
      </c>
      <c r="I2095" s="251">
        <v>497</v>
      </c>
      <c r="J2095" s="251">
        <v>9661.452221866477</v>
      </c>
      <c r="K2095" s="563">
        <f t="shared" si="469"/>
        <v>4801742</v>
      </c>
      <c r="L2095" s="194" t="s">
        <v>175</v>
      </c>
      <c r="M2095" s="194" t="s">
        <v>169</v>
      </c>
      <c r="N2095" s="52" t="str">
        <f>IF(AND('331-CT'!$E$7=TH!H2095,OR(L2095="331",M2095="331")),"331",IF(AND(OR(L2095="131",M2095="131"),H2095='131-CT'!$E$7),"131",""))</f>
        <v/>
      </c>
      <c r="O2095" s="89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632</v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8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68"/>
        <v>5</v>
      </c>
      <c r="C2096" s="37">
        <f t="shared" si="470"/>
        <v>41778</v>
      </c>
      <c r="D2096" s="37" t="s">
        <v>1379</v>
      </c>
      <c r="E2096" s="37">
        <v>41778</v>
      </c>
      <c r="F2096" s="192" t="s">
        <v>483</v>
      </c>
      <c r="G2096" s="463" t="s">
        <v>520</v>
      </c>
      <c r="H2096" s="7" t="s">
        <v>1372</v>
      </c>
      <c r="I2096" s="251">
        <v>205</v>
      </c>
      <c r="J2096" s="251">
        <v>12034.434113214566</v>
      </c>
      <c r="K2096" s="563">
        <f t="shared" si="469"/>
        <v>2467059</v>
      </c>
      <c r="L2096" s="194" t="s">
        <v>175</v>
      </c>
      <c r="M2096" s="194" t="s">
        <v>169</v>
      </c>
      <c r="N2096" s="52" t="str">
        <f>IF(AND('331-CT'!$E$7=TH!H2096,OR(L2096="331",M2096="331")),"331",IF(AND(OR(L2096="131",M2096="131"),H2096='131-CT'!$E$7),"131",""))</f>
        <v/>
      </c>
      <c r="O2096" s="89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632</v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8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68"/>
        <v>5</v>
      </c>
      <c r="C2097" s="37">
        <f t="shared" si="470"/>
        <v>41778</v>
      </c>
      <c r="D2097" s="37" t="s">
        <v>1379</v>
      </c>
      <c r="E2097" s="184">
        <v>41778</v>
      </c>
      <c r="F2097" s="189" t="s">
        <v>487</v>
      </c>
      <c r="G2097" s="565" t="s">
        <v>520</v>
      </c>
      <c r="H2097" s="7" t="s">
        <v>1372</v>
      </c>
      <c r="I2097" s="251">
        <v>297</v>
      </c>
      <c r="J2097" s="251">
        <v>5303.8044835849387</v>
      </c>
      <c r="K2097" s="563">
        <f t="shared" si="469"/>
        <v>1575230</v>
      </c>
      <c r="L2097" s="194" t="s">
        <v>175</v>
      </c>
      <c r="M2097" s="194" t="s">
        <v>169</v>
      </c>
      <c r="N2097" s="52" t="str">
        <f>IF(AND('331-CT'!$E$7=TH!H2097,OR(L2097="331",M2097="331")),"331",IF(AND(OR(L2097="131",M2097="131"),H2097='131-CT'!$E$7),"131",""))</f>
        <v/>
      </c>
      <c r="O2097" s="89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632</v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8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68"/>
        <v>5</v>
      </c>
      <c r="C2098" s="37">
        <f t="shared" si="470"/>
        <v>41778</v>
      </c>
      <c r="D2098" s="37" t="s">
        <v>1379</v>
      </c>
      <c r="E2098" s="184">
        <v>41778</v>
      </c>
      <c r="F2098" s="189" t="s">
        <v>486</v>
      </c>
      <c r="G2098" s="565" t="s">
        <v>520</v>
      </c>
      <c r="H2098" s="7" t="s">
        <v>1372</v>
      </c>
      <c r="I2098" s="251">
        <v>374</v>
      </c>
      <c r="J2098" s="251">
        <v>9083.9688725728556</v>
      </c>
      <c r="K2098" s="563">
        <f t="shared" si="469"/>
        <v>3397404</v>
      </c>
      <c r="L2098" s="194" t="s">
        <v>175</v>
      </c>
      <c r="M2098" s="194" t="s">
        <v>169</v>
      </c>
      <c r="N2098" s="52" t="str">
        <f>IF(AND('331-CT'!$E$7=TH!H2098,OR(L2098="331",M2098="331")),"331",IF(AND(OR(L2098="131",M2098="131"),H2098='131-CT'!$E$7),"131",""))</f>
        <v/>
      </c>
      <c r="O2098" s="89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632</v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8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68"/>
        <v>5</v>
      </c>
      <c r="C2099" s="37">
        <f t="shared" si="470"/>
        <v>41778</v>
      </c>
      <c r="D2099" s="37" t="s">
        <v>1379</v>
      </c>
      <c r="E2099" s="191">
        <v>41778</v>
      </c>
      <c r="F2099" s="192" t="s">
        <v>494</v>
      </c>
      <c r="G2099" s="463" t="s">
        <v>520</v>
      </c>
      <c r="H2099" s="7" t="s">
        <v>1372</v>
      </c>
      <c r="I2099" s="251">
        <v>399</v>
      </c>
      <c r="J2099" s="251">
        <v>8595.7499026882524</v>
      </c>
      <c r="K2099" s="563">
        <f t="shared" si="469"/>
        <v>3429704</v>
      </c>
      <c r="L2099" s="194" t="s">
        <v>175</v>
      </c>
      <c r="M2099" s="194" t="s">
        <v>169</v>
      </c>
      <c r="N2099" s="52" t="str">
        <f>IF(AND('331-CT'!$E$7=TH!H2099,OR(L2099="331",M2099="331")),"331",IF(AND(OR(L2099="131",M2099="131"),H2099='131-CT'!$E$7),"131",""))</f>
        <v/>
      </c>
      <c r="O2099" s="89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632</v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8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68"/>
        <v>5</v>
      </c>
      <c r="C2100" s="37">
        <f t="shared" si="470"/>
        <v>41779</v>
      </c>
      <c r="D2100" s="37" t="s">
        <v>1379</v>
      </c>
      <c r="E2100" s="191">
        <v>41779</v>
      </c>
      <c r="F2100" s="192" t="s">
        <v>521</v>
      </c>
      <c r="G2100" s="463" t="s">
        <v>522</v>
      </c>
      <c r="H2100" s="7" t="s">
        <v>1372</v>
      </c>
      <c r="I2100" s="251">
        <v>150</v>
      </c>
      <c r="J2100" s="251">
        <v>5271.4341132145682</v>
      </c>
      <c r="K2100" s="563">
        <f t="shared" si="469"/>
        <v>790715</v>
      </c>
      <c r="L2100" s="194" t="s">
        <v>175</v>
      </c>
      <c r="M2100" s="194" t="s">
        <v>169</v>
      </c>
      <c r="N2100" s="52" t="str">
        <f>IF(AND('331-CT'!$E$7=TH!H2100,OR(L2100="331",M2100="331")),"331",IF(AND(OR(L2100="131",M2100="131"),H2100='131-CT'!$E$7),"131",""))</f>
        <v/>
      </c>
      <c r="O2100" s="89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632</v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8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68"/>
        <v>5</v>
      </c>
      <c r="C2101" s="37">
        <f t="shared" si="470"/>
        <v>41779</v>
      </c>
      <c r="D2101" s="37" t="s">
        <v>1379</v>
      </c>
      <c r="E2101" s="191">
        <v>41779</v>
      </c>
      <c r="F2101" s="189" t="s">
        <v>523</v>
      </c>
      <c r="G2101" s="565" t="s">
        <v>522</v>
      </c>
      <c r="H2101" s="7" t="s">
        <v>1372</v>
      </c>
      <c r="I2101" s="251">
        <v>1250</v>
      </c>
      <c r="J2101" s="251">
        <v>4743.8341132145679</v>
      </c>
      <c r="K2101" s="563">
        <f t="shared" si="469"/>
        <v>5929793</v>
      </c>
      <c r="L2101" s="194" t="s">
        <v>175</v>
      </c>
      <c r="M2101" s="194" t="s">
        <v>169</v>
      </c>
      <c r="N2101" s="52" t="str">
        <f>IF(AND('331-CT'!$E$7=TH!H2101,OR(L2101="331",M2101="331")),"331",IF(AND(OR(L2101="131",M2101="131"),H2101='131-CT'!$E$7),"131",""))</f>
        <v/>
      </c>
      <c r="O2101" s="89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632</v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8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68"/>
        <v>5</v>
      </c>
      <c r="C2102" s="37">
        <f t="shared" si="470"/>
        <v>41780</v>
      </c>
      <c r="D2102" s="37" t="s">
        <v>1379</v>
      </c>
      <c r="E2102" s="191">
        <v>41780</v>
      </c>
      <c r="F2102" s="189" t="s">
        <v>524</v>
      </c>
      <c r="G2102" s="565" t="s">
        <v>525</v>
      </c>
      <c r="H2102" s="7" t="s">
        <v>1372</v>
      </c>
      <c r="I2102" s="251">
        <v>1200</v>
      </c>
      <c r="J2102" s="251">
        <v>1577.7274465479013</v>
      </c>
      <c r="K2102" s="563">
        <f t="shared" si="469"/>
        <v>1893273</v>
      </c>
      <c r="L2102" s="194" t="s">
        <v>175</v>
      </c>
      <c r="M2102" s="194" t="s">
        <v>169</v>
      </c>
      <c r="N2102" s="52" t="str">
        <f>IF(AND('331-CT'!$E$7=TH!H2102,OR(L2102="331",M2102="331")),"331",IF(AND(OR(L2102="131",M2102="131"),H2102='131-CT'!$E$7),"131",""))</f>
        <v/>
      </c>
      <c r="O2102" s="89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632</v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8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68"/>
        <v>5</v>
      </c>
      <c r="C2103" s="37">
        <f t="shared" si="470"/>
        <v>41780</v>
      </c>
      <c r="D2103" s="37" t="s">
        <v>1379</v>
      </c>
      <c r="E2103" s="191">
        <v>41780</v>
      </c>
      <c r="F2103" s="189" t="s">
        <v>466</v>
      </c>
      <c r="G2103" s="565" t="s">
        <v>526</v>
      </c>
      <c r="H2103" s="7" t="s">
        <v>1372</v>
      </c>
      <c r="I2103" s="251">
        <v>1305</v>
      </c>
      <c r="J2103" s="251">
        <v>4986.9973316053729</v>
      </c>
      <c r="K2103" s="563">
        <f t="shared" si="469"/>
        <v>6508032</v>
      </c>
      <c r="L2103" s="194" t="s">
        <v>175</v>
      </c>
      <c r="M2103" s="194" t="s">
        <v>169</v>
      </c>
      <c r="N2103" s="52" t="str">
        <f>IF(AND('331-CT'!$E$7=TH!H2103,OR(L2103="331",M2103="331")),"331",IF(AND(OR(L2103="131",M2103="131"),H2103='131-CT'!$E$7),"131",""))</f>
        <v/>
      </c>
      <c r="O2103" s="89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632</v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8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68"/>
        <v>5</v>
      </c>
      <c r="C2104" s="37">
        <f t="shared" si="470"/>
        <v>41781</v>
      </c>
      <c r="D2104" s="37" t="s">
        <v>1379</v>
      </c>
      <c r="E2104" s="191">
        <v>41781</v>
      </c>
      <c r="F2104" s="189" t="s">
        <v>527</v>
      </c>
      <c r="G2104" s="463" t="s">
        <v>528</v>
      </c>
      <c r="H2104" s="7" t="s">
        <v>1372</v>
      </c>
      <c r="I2104" s="251">
        <v>497</v>
      </c>
      <c r="J2104" s="251">
        <v>16401.844575991225</v>
      </c>
      <c r="K2104" s="563">
        <f t="shared" si="469"/>
        <v>8151717</v>
      </c>
      <c r="L2104" s="194" t="s">
        <v>175</v>
      </c>
      <c r="M2104" s="194" t="s">
        <v>169</v>
      </c>
      <c r="N2104" s="52" t="str">
        <f>IF(AND('331-CT'!$E$7=TH!H2104,OR(L2104="331",M2104="331")),"331",IF(AND(OR(L2104="131",M2104="131"),H2104='131-CT'!$E$7),"131",""))</f>
        <v/>
      </c>
      <c r="O2104" s="89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632</v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8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68"/>
        <v>5</v>
      </c>
      <c r="C2105" s="37">
        <f t="shared" si="470"/>
        <v>41786</v>
      </c>
      <c r="D2105" s="37" t="s">
        <v>1379</v>
      </c>
      <c r="E2105" s="191">
        <v>41786</v>
      </c>
      <c r="F2105" s="189" t="s">
        <v>463</v>
      </c>
      <c r="G2105" s="463" t="s">
        <v>529</v>
      </c>
      <c r="H2105" s="7" t="s">
        <v>1372</v>
      </c>
      <c r="I2105" s="251">
        <v>998</v>
      </c>
      <c r="J2105" s="251">
        <v>11584.937119226593</v>
      </c>
      <c r="K2105" s="563">
        <f t="shared" si="469"/>
        <v>11561767</v>
      </c>
      <c r="L2105" s="194" t="s">
        <v>175</v>
      </c>
      <c r="M2105" s="194" t="s">
        <v>169</v>
      </c>
      <c r="N2105" s="52" t="str">
        <f>IF(AND('331-CT'!$E$7=TH!H2105,OR(L2105="331",M2105="331")),"331",IF(AND(OR(L2105="131",M2105="131"),H2105='131-CT'!$E$7),"131",""))</f>
        <v/>
      </c>
      <c r="O2105" s="89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632</v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8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468"/>
        <v>5</v>
      </c>
      <c r="C2106" s="37">
        <f t="shared" si="470"/>
        <v>41788</v>
      </c>
      <c r="D2106" s="37" t="s">
        <v>1379</v>
      </c>
      <c r="E2106" s="191">
        <v>41788</v>
      </c>
      <c r="F2106" s="192" t="s">
        <v>436</v>
      </c>
      <c r="G2106" s="463" t="s">
        <v>530</v>
      </c>
      <c r="H2106" s="7" t="s">
        <v>1372</v>
      </c>
      <c r="I2106" s="251">
        <v>496</v>
      </c>
      <c r="J2106" s="251">
        <v>9623.2526616016639</v>
      </c>
      <c r="K2106" s="563">
        <f t="shared" si="469"/>
        <v>4773133</v>
      </c>
      <c r="L2106" s="194" t="s">
        <v>175</v>
      </c>
      <c r="M2106" s="194" t="s">
        <v>169</v>
      </c>
      <c r="N2106" s="52" t="str">
        <f>IF(AND('331-CT'!$E$7=TH!H2106,OR(L2106="331",M2106="331")),"331",IF(AND(OR(L2106="131",M2106="131"),H2106='131-CT'!$E$7),"131",""))</f>
        <v/>
      </c>
      <c r="O2106" s="89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632</v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8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468"/>
        <v>5</v>
      </c>
      <c r="C2107" s="37">
        <f t="shared" si="470"/>
        <v>41788</v>
      </c>
      <c r="D2107" s="37" t="s">
        <v>1379</v>
      </c>
      <c r="E2107" s="724">
        <v>41788</v>
      </c>
      <c r="F2107" s="438" t="s">
        <v>508</v>
      </c>
      <c r="G2107" s="40" t="s">
        <v>531</v>
      </c>
      <c r="H2107" s="7" t="s">
        <v>1372</v>
      </c>
      <c r="I2107" s="251">
        <v>304</v>
      </c>
      <c r="J2107" s="251">
        <v>9048.8946395303574</v>
      </c>
      <c r="K2107" s="563">
        <f t="shared" si="469"/>
        <v>2750864</v>
      </c>
      <c r="L2107" s="194" t="s">
        <v>175</v>
      </c>
      <c r="M2107" s="194" t="s">
        <v>169</v>
      </c>
      <c r="N2107" s="52" t="str">
        <f>IF(AND('331-CT'!$E$7=TH!H2107,OR(L2107="331",M2107="331")),"331",IF(AND(OR(L2107="131",M2107="131"),H2107='131-CT'!$E$7),"131",""))</f>
        <v/>
      </c>
      <c r="O2107" s="89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632</v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8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468"/>
        <v>5</v>
      </c>
      <c r="C2108" s="37">
        <f t="shared" si="470"/>
        <v>41788</v>
      </c>
      <c r="D2108" s="37" t="s">
        <v>1379</v>
      </c>
      <c r="E2108" s="191">
        <v>41788</v>
      </c>
      <c r="F2108" s="192" t="s">
        <v>532</v>
      </c>
      <c r="G2108" s="463" t="s">
        <v>531</v>
      </c>
      <c r="H2108" s="7" t="s">
        <v>1372</v>
      </c>
      <c r="I2108" s="251">
        <v>154</v>
      </c>
      <c r="J2108" s="251">
        <v>11562.005541785997</v>
      </c>
      <c r="K2108" s="563">
        <f t="shared" si="469"/>
        <v>1780549</v>
      </c>
      <c r="L2108" s="194" t="s">
        <v>175</v>
      </c>
      <c r="M2108" s="194" t="s">
        <v>169</v>
      </c>
      <c r="N2108" s="52" t="str">
        <f>IF(AND('331-CT'!$E$7=TH!H2108,OR(L2108="331",M2108="331")),"331",IF(AND(OR(L2108="131",M2108="131"),H2108='131-CT'!$E$7),"131",""))</f>
        <v/>
      </c>
      <c r="O2108" s="89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632</v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8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468"/>
        <v>5</v>
      </c>
      <c r="C2109" s="37">
        <f t="shared" si="470"/>
        <v>41788</v>
      </c>
      <c r="D2109" s="37" t="s">
        <v>1379</v>
      </c>
      <c r="E2109" s="191">
        <v>41788</v>
      </c>
      <c r="F2109" s="192" t="s">
        <v>494</v>
      </c>
      <c r="G2109" s="463" t="s">
        <v>531</v>
      </c>
      <c r="H2109" s="7" t="s">
        <v>1372</v>
      </c>
      <c r="I2109" s="251">
        <v>500</v>
      </c>
      <c r="J2109" s="251">
        <v>7342.2341132145684</v>
      </c>
      <c r="K2109" s="563">
        <f t="shared" si="469"/>
        <v>3671117</v>
      </c>
      <c r="L2109" s="194" t="s">
        <v>175</v>
      </c>
      <c r="M2109" s="194" t="s">
        <v>169</v>
      </c>
      <c r="N2109" s="52" t="str">
        <f>IF(AND('331-CT'!$E$7=TH!H2109,OR(L2109="331",M2109="331")),"331",IF(AND(OR(L2109="131",M2109="131"),H2109='131-CT'!$E$7),"131",""))</f>
        <v/>
      </c>
      <c r="O2109" s="89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632</v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8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468"/>
        <v>5</v>
      </c>
      <c r="C2110" s="37">
        <f t="shared" si="470"/>
        <v>41788</v>
      </c>
      <c r="D2110" s="37" t="s">
        <v>1379</v>
      </c>
      <c r="E2110" s="191">
        <v>41788</v>
      </c>
      <c r="F2110" s="192" t="s">
        <v>533</v>
      </c>
      <c r="G2110" s="463" t="s">
        <v>534</v>
      </c>
      <c r="H2110" s="7" t="s">
        <v>1372</v>
      </c>
      <c r="I2110" s="251">
        <v>209</v>
      </c>
      <c r="J2110" s="251">
        <v>7190.3719122576304</v>
      </c>
      <c r="K2110" s="563">
        <f t="shared" si="469"/>
        <v>1502788</v>
      </c>
      <c r="L2110" s="194" t="s">
        <v>175</v>
      </c>
      <c r="M2110" s="194" t="s">
        <v>169</v>
      </c>
      <c r="N2110" s="52" t="str">
        <f>IF(AND('331-CT'!$E$7=TH!H2110,OR(L2110="331",M2110="331")),"331",IF(AND(OR(L2110="131",M2110="131"),H2110='131-CT'!$E$7),"131",""))</f>
        <v/>
      </c>
      <c r="O2110" s="89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632</v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8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468"/>
        <v>5</v>
      </c>
      <c r="C2111" s="37">
        <f t="shared" si="470"/>
        <v>41789</v>
      </c>
      <c r="D2111" s="37" t="s">
        <v>1379</v>
      </c>
      <c r="E2111" s="191">
        <v>41789</v>
      </c>
      <c r="F2111" s="192" t="s">
        <v>417</v>
      </c>
      <c r="G2111" s="463" t="s">
        <v>536</v>
      </c>
      <c r="H2111" s="7" t="s">
        <v>1372</v>
      </c>
      <c r="I2111" s="251">
        <v>1983</v>
      </c>
      <c r="J2111" s="251">
        <v>5668.1996200224357</v>
      </c>
      <c r="K2111" s="563">
        <f t="shared" si="469"/>
        <v>11240040</v>
      </c>
      <c r="L2111" s="194" t="s">
        <v>175</v>
      </c>
      <c r="M2111" s="194" t="s">
        <v>169</v>
      </c>
      <c r="N2111" s="52" t="str">
        <f>IF(AND('331-CT'!$E$7=TH!H2111,OR(L2111="331",M2111="331")),"331",IF(AND(OR(L2111="131",M2111="131"),H2111='131-CT'!$E$7),"131",""))</f>
        <v/>
      </c>
      <c r="O2111" s="89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632</v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8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468"/>
        <v>5</v>
      </c>
      <c r="C2112" s="37">
        <f t="shared" si="470"/>
        <v>41789</v>
      </c>
      <c r="D2112" s="37" t="s">
        <v>1379</v>
      </c>
      <c r="E2112" s="724">
        <v>41789</v>
      </c>
      <c r="F2112" s="189" t="s">
        <v>537</v>
      </c>
      <c r="G2112" s="40" t="s">
        <v>538</v>
      </c>
      <c r="H2112" s="7" t="s">
        <v>1372</v>
      </c>
      <c r="I2112" s="251">
        <v>548</v>
      </c>
      <c r="J2112" s="251">
        <v>12034.434113214567</v>
      </c>
      <c r="K2112" s="563">
        <f t="shared" si="469"/>
        <v>6594870</v>
      </c>
      <c r="L2112" s="194" t="s">
        <v>175</v>
      </c>
      <c r="M2112" s="194" t="s">
        <v>169</v>
      </c>
      <c r="N2112" s="52" t="str">
        <f>IF(AND('331-CT'!$E$7=TH!H2112,OR(L2112="331",M2112="331")),"331",IF(AND(OR(L2112="131",M2112="131"),H2112='131-CT'!$E$7),"131",""))</f>
        <v/>
      </c>
      <c r="O2112" s="89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632</v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8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468"/>
        <v>6</v>
      </c>
      <c r="C2113" s="37">
        <f t="shared" si="470"/>
        <v>41792</v>
      </c>
      <c r="D2113" s="37" t="s">
        <v>1379</v>
      </c>
      <c r="E2113" s="724">
        <v>41792</v>
      </c>
      <c r="F2113" s="40" t="s">
        <v>421</v>
      </c>
      <c r="G2113" s="40" t="s">
        <v>539</v>
      </c>
      <c r="H2113" s="7" t="s">
        <v>1372</v>
      </c>
      <c r="I2113" s="251">
        <v>1000</v>
      </c>
      <c r="J2113" s="251">
        <v>16949.434113214567</v>
      </c>
      <c r="K2113" s="563">
        <f t="shared" si="469"/>
        <v>16949434</v>
      </c>
      <c r="L2113" s="194" t="s">
        <v>175</v>
      </c>
      <c r="M2113" s="194" t="s">
        <v>169</v>
      </c>
      <c r="N2113" s="52" t="str">
        <f>IF(AND('331-CT'!$E$7=TH!H2113,OR(L2113="331",M2113="331")),"331",IF(AND(OR(L2113="131",M2113="131"),H2113='131-CT'!$E$7),"131",""))</f>
        <v/>
      </c>
      <c r="O2113" s="89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632</v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8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468"/>
        <v>6</v>
      </c>
      <c r="C2114" s="37">
        <f t="shared" si="470"/>
        <v>41792</v>
      </c>
      <c r="D2114" s="37" t="s">
        <v>1379</v>
      </c>
      <c r="E2114" s="724">
        <v>41792</v>
      </c>
      <c r="F2114" s="189" t="s">
        <v>540</v>
      </c>
      <c r="G2114" s="40" t="s">
        <v>541</v>
      </c>
      <c r="H2114" s="7" t="s">
        <v>1372</v>
      </c>
      <c r="I2114" s="251">
        <v>910</v>
      </c>
      <c r="J2114" s="251">
        <v>5484.9725747530301</v>
      </c>
      <c r="K2114" s="563">
        <f t="shared" si="469"/>
        <v>4991325</v>
      </c>
      <c r="L2114" s="194" t="s">
        <v>175</v>
      </c>
      <c r="M2114" s="194" t="s">
        <v>169</v>
      </c>
      <c r="N2114" s="52" t="str">
        <f>IF(AND('331-CT'!$E$7=TH!H2114,OR(L2114="331",M2114="331")),"331",IF(AND(OR(L2114="131",M2114="131"),H2114='131-CT'!$E$7),"131",""))</f>
        <v/>
      </c>
      <c r="O2114" s="89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632</v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8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468"/>
        <v>6</v>
      </c>
      <c r="C2115" s="37">
        <f t="shared" si="470"/>
        <v>41792</v>
      </c>
      <c r="D2115" s="37" t="s">
        <v>1379</v>
      </c>
      <c r="E2115" s="724">
        <v>41792</v>
      </c>
      <c r="F2115" s="189" t="s">
        <v>445</v>
      </c>
      <c r="G2115" s="40" t="s">
        <v>542</v>
      </c>
      <c r="H2115" s="7" t="s">
        <v>1372</v>
      </c>
      <c r="I2115" s="251">
        <v>2000</v>
      </c>
      <c r="J2115" s="251">
        <v>1516.6541132145683</v>
      </c>
      <c r="K2115" s="563">
        <f t="shared" si="469"/>
        <v>3033308</v>
      </c>
      <c r="L2115" s="194" t="s">
        <v>175</v>
      </c>
      <c r="M2115" s="194" t="s">
        <v>169</v>
      </c>
      <c r="N2115" s="52" t="str">
        <f>IF(AND('331-CT'!$E$7=TH!H2115,OR(L2115="331",M2115="331")),"331",IF(AND(OR(L2115="131",M2115="131"),H2115='131-CT'!$E$7),"131",""))</f>
        <v/>
      </c>
      <c r="O2115" s="89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632</v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8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si="468"/>
        <v>6</v>
      </c>
      <c r="C2116" s="37">
        <f t="shared" si="470"/>
        <v>41794</v>
      </c>
      <c r="D2116" s="37" t="s">
        <v>1379</v>
      </c>
      <c r="E2116" s="724">
        <v>41794</v>
      </c>
      <c r="F2116" s="189" t="s">
        <v>500</v>
      </c>
      <c r="G2116" s="40" t="s">
        <v>543</v>
      </c>
      <c r="H2116" s="7" t="s">
        <v>1372</v>
      </c>
      <c r="I2116" s="251">
        <v>500</v>
      </c>
      <c r="J2116" s="251">
        <v>6018.2341132145684</v>
      </c>
      <c r="K2116" s="563">
        <f t="shared" si="469"/>
        <v>3009117</v>
      </c>
      <c r="L2116" s="194" t="s">
        <v>175</v>
      </c>
      <c r="M2116" s="194" t="s">
        <v>169</v>
      </c>
      <c r="N2116" s="52" t="str">
        <f>IF(AND('331-CT'!$E$7=TH!H2116,OR(L2116="331",M2116="331")),"331",IF(AND(OR(L2116="131",M2116="131"),H2116='131-CT'!$E$7),"131",""))</f>
        <v/>
      </c>
      <c r="O2116" s="89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632</v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8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468"/>
        <v>6</v>
      </c>
      <c r="C2117" s="37">
        <f t="shared" si="470"/>
        <v>41794</v>
      </c>
      <c r="D2117" s="37" t="s">
        <v>1379</v>
      </c>
      <c r="E2117" s="724">
        <v>41794</v>
      </c>
      <c r="F2117" s="40" t="s">
        <v>503</v>
      </c>
      <c r="G2117" s="40" t="s">
        <v>543</v>
      </c>
      <c r="H2117" s="7" t="s">
        <v>1372</v>
      </c>
      <c r="I2117" s="251">
        <v>397</v>
      </c>
      <c r="J2117" s="251">
        <v>7677.5147177485724</v>
      </c>
      <c r="K2117" s="563">
        <f t="shared" si="469"/>
        <v>3047973</v>
      </c>
      <c r="L2117" s="194" t="s">
        <v>175</v>
      </c>
      <c r="M2117" s="194" t="s">
        <v>169</v>
      </c>
      <c r="N2117" s="52" t="str">
        <f>IF(AND('331-CT'!$E$7=TH!H2117,OR(L2117="331",M2117="331")),"331",IF(AND(OR(L2117="131",M2117="131"),H2117='131-CT'!$E$7),"131",""))</f>
        <v/>
      </c>
      <c r="O2117" s="89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632</v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8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468"/>
        <v>6</v>
      </c>
      <c r="C2118" s="37">
        <f t="shared" si="470"/>
        <v>41794</v>
      </c>
      <c r="D2118" s="37" t="s">
        <v>1379</v>
      </c>
      <c r="E2118" s="724">
        <v>41794</v>
      </c>
      <c r="F2118" s="40" t="s">
        <v>504</v>
      </c>
      <c r="G2118" s="40" t="s">
        <v>543</v>
      </c>
      <c r="H2118" s="7" t="s">
        <v>1372</v>
      </c>
      <c r="I2118" s="251">
        <v>200</v>
      </c>
      <c r="J2118" s="251">
        <v>6217.4341132145673</v>
      </c>
      <c r="K2118" s="563">
        <f t="shared" si="469"/>
        <v>1243487</v>
      </c>
      <c r="L2118" s="194" t="s">
        <v>175</v>
      </c>
      <c r="M2118" s="194" t="s">
        <v>169</v>
      </c>
      <c r="N2118" s="52" t="str">
        <f>IF(AND('331-CT'!$E$7=TH!H2118,OR(L2118="331",M2118="331")),"331",IF(AND(OR(L2118="131",M2118="131"),H2118='131-CT'!$E$7),"131",""))</f>
        <v/>
      </c>
      <c r="O2118" s="89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632</v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8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468"/>
        <v>6</v>
      </c>
      <c r="C2119" s="37">
        <f t="shared" si="470"/>
        <v>41794</v>
      </c>
      <c r="D2119" s="37" t="s">
        <v>1379</v>
      </c>
      <c r="E2119" s="724">
        <v>41794</v>
      </c>
      <c r="F2119" s="189" t="s">
        <v>406</v>
      </c>
      <c r="G2119" s="40" t="s">
        <v>543</v>
      </c>
      <c r="H2119" s="7" t="s">
        <v>1372</v>
      </c>
      <c r="I2119" s="251">
        <v>200</v>
      </c>
      <c r="J2119" s="251">
        <v>6415.4341132145673</v>
      </c>
      <c r="K2119" s="563">
        <f t="shared" si="469"/>
        <v>1283087</v>
      </c>
      <c r="L2119" s="194" t="s">
        <v>175</v>
      </c>
      <c r="M2119" s="194" t="s">
        <v>169</v>
      </c>
      <c r="N2119" s="52" t="str">
        <f>IF(AND('331-CT'!$E$7=TH!H2119,OR(L2119="331",M2119="331")),"331",IF(AND(OR(L2119="131",M2119="131"),H2119='131-CT'!$E$7),"131",""))</f>
        <v/>
      </c>
      <c r="O2119" s="89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632</v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8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468"/>
        <v>6</v>
      </c>
      <c r="C2120" s="37">
        <f t="shared" si="470"/>
        <v>41795</v>
      </c>
      <c r="D2120" s="37" t="s">
        <v>1379</v>
      </c>
      <c r="E2120" s="724">
        <v>41795</v>
      </c>
      <c r="F2120" s="40" t="s">
        <v>544</v>
      </c>
      <c r="G2120" s="40" t="s">
        <v>545</v>
      </c>
      <c r="H2120" s="7" t="s">
        <v>1372</v>
      </c>
      <c r="I2120" s="251">
        <v>190</v>
      </c>
      <c r="J2120" s="251">
        <v>22154.434113214567</v>
      </c>
      <c r="K2120" s="563">
        <f t="shared" si="469"/>
        <v>4209342</v>
      </c>
      <c r="L2120" s="194" t="s">
        <v>175</v>
      </c>
      <c r="M2120" s="194" t="s">
        <v>169</v>
      </c>
      <c r="N2120" s="52" t="str">
        <f>IF(AND('331-CT'!$E$7=TH!H2120,OR(L2120="331",M2120="331")),"331",IF(AND(OR(L2120="131",M2120="131"),H2120='131-CT'!$E$7),"131",""))</f>
        <v/>
      </c>
      <c r="O2120" s="89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632</v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8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468"/>
        <v>6</v>
      </c>
      <c r="C2121" s="37">
        <f t="shared" si="470"/>
        <v>41795</v>
      </c>
      <c r="D2121" s="37" t="s">
        <v>1379</v>
      </c>
      <c r="E2121" s="724">
        <v>41795</v>
      </c>
      <c r="F2121" s="192" t="s">
        <v>547</v>
      </c>
      <c r="G2121" s="463" t="s">
        <v>545</v>
      </c>
      <c r="H2121" s="7" t="s">
        <v>1372</v>
      </c>
      <c r="I2121" s="251">
        <v>190</v>
      </c>
      <c r="J2121" s="251">
        <v>25510.276218477724</v>
      </c>
      <c r="K2121" s="563">
        <f t="shared" si="469"/>
        <v>4846952</v>
      </c>
      <c r="L2121" s="194" t="s">
        <v>175</v>
      </c>
      <c r="M2121" s="194" t="s">
        <v>169</v>
      </c>
      <c r="N2121" s="52" t="str">
        <f>IF(AND('331-CT'!$E$7=TH!H2121,OR(L2121="331",M2121="331")),"331",IF(AND(OR(L2121="131",M2121="131"),H2121='131-CT'!$E$7),"131",""))</f>
        <v/>
      </c>
      <c r="O2121" s="89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632</v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8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468"/>
        <v>6</v>
      </c>
      <c r="C2122" s="37">
        <f t="shared" si="470"/>
        <v>41795</v>
      </c>
      <c r="D2122" s="37" t="s">
        <v>1379</v>
      </c>
      <c r="E2122" s="191">
        <v>41795</v>
      </c>
      <c r="F2122" s="192" t="s">
        <v>548</v>
      </c>
      <c r="G2122" s="460" t="s">
        <v>549</v>
      </c>
      <c r="H2122" s="7" t="s">
        <v>1372</v>
      </c>
      <c r="I2122" s="251">
        <v>100</v>
      </c>
      <c r="J2122" s="251">
        <v>10480.434113214567</v>
      </c>
      <c r="K2122" s="563">
        <f t="shared" si="469"/>
        <v>1048043</v>
      </c>
      <c r="L2122" s="194" t="s">
        <v>175</v>
      </c>
      <c r="M2122" s="194" t="s">
        <v>169</v>
      </c>
      <c r="N2122" s="52" t="str">
        <f>IF(AND('331-CT'!$E$7=TH!H2122,OR(L2122="331",M2122="331")),"331",IF(AND(OR(L2122="131",M2122="131"),H2122='131-CT'!$E$7),"131",""))</f>
        <v/>
      </c>
      <c r="O2122" s="89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632</v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8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468"/>
        <v>6</v>
      </c>
      <c r="C2123" s="37">
        <f t="shared" si="470"/>
        <v>41795</v>
      </c>
      <c r="D2123" s="37" t="s">
        <v>1379</v>
      </c>
      <c r="E2123" s="191">
        <v>41795</v>
      </c>
      <c r="F2123" s="192" t="s">
        <v>551</v>
      </c>
      <c r="G2123" s="460" t="s">
        <v>549</v>
      </c>
      <c r="H2123" s="7" t="s">
        <v>1372</v>
      </c>
      <c r="I2123" s="251">
        <v>200</v>
      </c>
      <c r="J2123" s="251">
        <v>5768.6341132145681</v>
      </c>
      <c r="K2123" s="563">
        <f t="shared" si="469"/>
        <v>1153727</v>
      </c>
      <c r="L2123" s="194" t="s">
        <v>175</v>
      </c>
      <c r="M2123" s="194" t="s">
        <v>169</v>
      </c>
      <c r="N2123" s="52" t="str">
        <f>IF(AND('331-CT'!$E$7=TH!H2123,OR(L2123="331",M2123="331")),"331",IF(AND(OR(L2123="131",M2123="131"),H2123='131-CT'!$E$7),"131",""))</f>
        <v/>
      </c>
      <c r="O2123" s="89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632</v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8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468"/>
        <v>6</v>
      </c>
      <c r="C2124" s="37">
        <f t="shared" si="470"/>
        <v>41799</v>
      </c>
      <c r="D2124" s="37" t="s">
        <v>1379</v>
      </c>
      <c r="E2124" s="724">
        <v>41799</v>
      </c>
      <c r="F2124" s="189" t="s">
        <v>552</v>
      </c>
      <c r="G2124" s="40" t="s">
        <v>553</v>
      </c>
      <c r="H2124" s="7" t="s">
        <v>1372</v>
      </c>
      <c r="I2124" s="251">
        <v>150</v>
      </c>
      <c r="J2124" s="251">
        <v>11834.767446547901</v>
      </c>
      <c r="K2124" s="563">
        <f t="shared" si="469"/>
        <v>1775215</v>
      </c>
      <c r="L2124" s="194" t="s">
        <v>175</v>
      </c>
      <c r="M2124" s="194" t="s">
        <v>169</v>
      </c>
      <c r="N2124" s="52" t="str">
        <f>IF(AND('331-CT'!$E$7=TH!H2124,OR(L2124="331",M2124="331")),"331",IF(AND(OR(L2124="131",M2124="131"),H2124='131-CT'!$E$7),"131",""))</f>
        <v/>
      </c>
      <c r="O2124" s="89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632</v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8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468"/>
        <v>6</v>
      </c>
      <c r="C2125" s="37">
        <f t="shared" si="470"/>
        <v>41806</v>
      </c>
      <c r="D2125" s="37" t="s">
        <v>1379</v>
      </c>
      <c r="E2125" s="724">
        <v>41806</v>
      </c>
      <c r="F2125" s="189" t="s">
        <v>554</v>
      </c>
      <c r="G2125" s="40" t="s">
        <v>555</v>
      </c>
      <c r="H2125" s="7" t="s">
        <v>1372</v>
      </c>
      <c r="I2125" s="251">
        <v>398</v>
      </c>
      <c r="J2125" s="251">
        <v>24151.524565475876</v>
      </c>
      <c r="K2125" s="563">
        <f t="shared" si="469"/>
        <v>9612307</v>
      </c>
      <c r="L2125" s="194" t="s">
        <v>175</v>
      </c>
      <c r="M2125" s="194" t="s">
        <v>169</v>
      </c>
      <c r="N2125" s="52" t="str">
        <f>IF(AND('331-CT'!$E$7=TH!H2125,OR(L2125="331",M2125="331")),"331",IF(AND(OR(L2125="131",M2125="131"),H2125='131-CT'!$E$7),"131",""))</f>
        <v/>
      </c>
      <c r="O2125" s="89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632</v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8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468"/>
        <v>6</v>
      </c>
      <c r="C2126" s="37">
        <f t="shared" si="470"/>
        <v>41807</v>
      </c>
      <c r="D2126" s="37" t="s">
        <v>1379</v>
      </c>
      <c r="E2126" s="724">
        <v>41807</v>
      </c>
      <c r="F2126" s="40" t="s">
        <v>552</v>
      </c>
      <c r="G2126" s="40" t="s">
        <v>556</v>
      </c>
      <c r="H2126" s="7" t="s">
        <v>1372</v>
      </c>
      <c r="I2126" s="251">
        <v>150</v>
      </c>
      <c r="J2126" s="251">
        <v>10494.434113214569</v>
      </c>
      <c r="K2126" s="563">
        <f t="shared" si="469"/>
        <v>1574165</v>
      </c>
      <c r="L2126" s="194" t="s">
        <v>175</v>
      </c>
      <c r="M2126" s="194" t="s">
        <v>169</v>
      </c>
      <c r="N2126" s="52" t="str">
        <f>IF(AND('331-CT'!$E$7=TH!H2126,OR(L2126="331",M2126="331")),"331",IF(AND(OR(L2126="131",M2126="131"),H2126='131-CT'!$E$7),"131",""))</f>
        <v/>
      </c>
      <c r="O2126" s="89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632</v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8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468"/>
        <v>6</v>
      </c>
      <c r="C2127" s="37">
        <f t="shared" si="470"/>
        <v>41810</v>
      </c>
      <c r="D2127" s="37" t="s">
        <v>1379</v>
      </c>
      <c r="E2127" s="724">
        <v>41810</v>
      </c>
      <c r="F2127" s="40" t="s">
        <v>494</v>
      </c>
      <c r="G2127" s="40" t="s">
        <v>557</v>
      </c>
      <c r="H2127" s="7" t="s">
        <v>1372</v>
      </c>
      <c r="I2127" s="251">
        <v>542</v>
      </c>
      <c r="J2127" s="251">
        <v>7404.319722070657</v>
      </c>
      <c r="K2127" s="563">
        <f t="shared" si="469"/>
        <v>4013141</v>
      </c>
      <c r="L2127" s="194" t="s">
        <v>175</v>
      </c>
      <c r="M2127" s="194" t="s">
        <v>169</v>
      </c>
      <c r="N2127" s="52" t="str">
        <f>IF(AND('331-CT'!$E$7=TH!H2127,OR(L2127="331",M2127="331")),"331",IF(AND(OR(L2127="131",M2127="131"),H2127='131-CT'!$E$7),"131",""))</f>
        <v/>
      </c>
      <c r="O2127" s="89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632</v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8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468"/>
        <v>6</v>
      </c>
      <c r="C2128" s="37">
        <f t="shared" si="470"/>
        <v>41813</v>
      </c>
      <c r="D2128" s="37" t="s">
        <v>1379</v>
      </c>
      <c r="E2128" s="724">
        <v>41813</v>
      </c>
      <c r="F2128" s="438" t="s">
        <v>459</v>
      </c>
      <c r="G2128" s="40" t="s">
        <v>558</v>
      </c>
      <c r="H2128" s="7" t="s">
        <v>1372</v>
      </c>
      <c r="I2128" s="251">
        <v>984</v>
      </c>
      <c r="J2128" s="251">
        <v>7732.3162270357061</v>
      </c>
      <c r="K2128" s="563">
        <f t="shared" si="469"/>
        <v>7608599</v>
      </c>
      <c r="L2128" s="194" t="s">
        <v>175</v>
      </c>
      <c r="M2128" s="194" t="s">
        <v>169</v>
      </c>
      <c r="N2128" s="52" t="str">
        <f>IF(AND('331-CT'!$E$7=TH!H2128,OR(L2128="331",M2128="331")),"331",IF(AND(OR(L2128="131",M2128="131"),H2128='131-CT'!$E$7),"131",""))</f>
        <v/>
      </c>
      <c r="O2128" s="89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632</v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8"/>
    </row>
    <row r="2129" spans="1:28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468"/>
        <v>6</v>
      </c>
      <c r="C2129" s="37">
        <f t="shared" si="470"/>
        <v>41814</v>
      </c>
      <c r="D2129" s="37" t="s">
        <v>1379</v>
      </c>
      <c r="E2129" s="724">
        <v>41814</v>
      </c>
      <c r="F2129" s="189" t="s">
        <v>559</v>
      </c>
      <c r="G2129" s="40" t="s">
        <v>560</v>
      </c>
      <c r="H2129" s="7" t="s">
        <v>1372</v>
      </c>
      <c r="I2129" s="251">
        <v>396</v>
      </c>
      <c r="J2129" s="251">
        <v>16826.767446547903</v>
      </c>
      <c r="K2129" s="563">
        <f t="shared" si="469"/>
        <v>6663400</v>
      </c>
      <c r="L2129" s="194" t="s">
        <v>175</v>
      </c>
      <c r="M2129" s="194" t="s">
        <v>169</v>
      </c>
      <c r="N2129" s="52" t="str">
        <f>IF(AND('331-CT'!$E$7=TH!H2129,OR(L2129="331",M2129="331")),"331",IF(AND(OR(L2129="131",M2129="131"),H2129='131-CT'!$E$7),"131",""))</f>
        <v/>
      </c>
      <c r="O2129" s="89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632</v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8"/>
    </row>
    <row r="2130" spans="1:28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468"/>
        <v>6</v>
      </c>
      <c r="C2130" s="37">
        <f t="shared" si="470"/>
        <v>41814</v>
      </c>
      <c r="D2130" s="37" t="s">
        <v>1379</v>
      </c>
      <c r="E2130" s="724">
        <v>41814</v>
      </c>
      <c r="F2130" s="40" t="s">
        <v>562</v>
      </c>
      <c r="G2130" s="40" t="s">
        <v>560</v>
      </c>
      <c r="H2130" s="7" t="s">
        <v>1372</v>
      </c>
      <c r="I2130" s="251">
        <v>100</v>
      </c>
      <c r="J2130" s="251">
        <v>16117.434113214567</v>
      </c>
      <c r="K2130" s="563">
        <f t="shared" si="469"/>
        <v>1611743</v>
      </c>
      <c r="L2130" s="194" t="s">
        <v>175</v>
      </c>
      <c r="M2130" s="194" t="s">
        <v>169</v>
      </c>
      <c r="N2130" s="52" t="str">
        <f>IF(AND('331-CT'!$E$7=TH!H2130,OR(L2130="331",M2130="331")),"331",IF(AND(OR(L2130="131",M2130="131"),H2130='131-CT'!$E$7),"131",""))</f>
        <v/>
      </c>
      <c r="O2130" s="89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632</v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8"/>
    </row>
    <row r="2131" spans="1:28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468"/>
        <v>6</v>
      </c>
      <c r="C2131" s="37">
        <f t="shared" si="470"/>
        <v>41815</v>
      </c>
      <c r="D2131" s="37" t="s">
        <v>1379</v>
      </c>
      <c r="E2131" s="724">
        <v>41815</v>
      </c>
      <c r="F2131" s="189" t="s">
        <v>563</v>
      </c>
      <c r="G2131" s="40" t="s">
        <v>564</v>
      </c>
      <c r="H2131" s="7" t="s">
        <v>1372</v>
      </c>
      <c r="I2131" s="251">
        <v>541</v>
      </c>
      <c r="J2131" s="251">
        <v>12034.434113214569</v>
      </c>
      <c r="K2131" s="563">
        <f t="shared" si="469"/>
        <v>6510629</v>
      </c>
      <c r="L2131" s="194" t="s">
        <v>175</v>
      </c>
      <c r="M2131" s="194" t="s">
        <v>169</v>
      </c>
      <c r="N2131" s="52" t="str">
        <f>IF(AND('331-CT'!$E$7=TH!H2131,OR(L2131="331",M2131="331")),"331",IF(AND(OR(L2131="131",M2131="131"),H2131='131-CT'!$E$7),"131",""))</f>
        <v/>
      </c>
      <c r="O2131" s="89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632</v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8"/>
    </row>
    <row r="2132" spans="1:28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468"/>
        <v>6</v>
      </c>
      <c r="C2132" s="37">
        <f t="shared" si="470"/>
        <v>41818</v>
      </c>
      <c r="D2132" s="37" t="s">
        <v>1379</v>
      </c>
      <c r="E2132" s="724">
        <v>41818</v>
      </c>
      <c r="F2132" s="40" t="s">
        <v>417</v>
      </c>
      <c r="G2132" s="40" t="s">
        <v>565</v>
      </c>
      <c r="H2132" s="7" t="s">
        <v>1372</v>
      </c>
      <c r="I2132" s="251">
        <v>2917</v>
      </c>
      <c r="J2132" s="251">
        <v>6485.4738800983532</v>
      </c>
      <c r="K2132" s="563">
        <f t="shared" si="469"/>
        <v>18918127</v>
      </c>
      <c r="L2132" s="194" t="s">
        <v>175</v>
      </c>
      <c r="M2132" s="194" t="s">
        <v>169</v>
      </c>
      <c r="N2132" s="52" t="str">
        <f>IF(AND('331-CT'!$E$7=TH!H2132,OR(L2132="331",M2132="331")),"331",IF(AND(OR(L2132="131",M2132="131"),H2132='131-CT'!$E$7),"131",""))</f>
        <v/>
      </c>
      <c r="O2132" s="89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632</v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8"/>
    </row>
    <row r="2133" spans="1:28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468"/>
        <v>6</v>
      </c>
      <c r="C2133" s="37">
        <f t="shared" si="470"/>
        <v>41820</v>
      </c>
      <c r="D2133" s="37" t="s">
        <v>1379</v>
      </c>
      <c r="E2133" s="724">
        <v>41820</v>
      </c>
      <c r="F2133" s="40" t="s">
        <v>566</v>
      </c>
      <c r="G2133" s="40" t="s">
        <v>567</v>
      </c>
      <c r="H2133" s="7" t="s">
        <v>1372</v>
      </c>
      <c r="I2133" s="251">
        <v>550</v>
      </c>
      <c r="J2133" s="251">
        <v>10184.910476850931</v>
      </c>
      <c r="K2133" s="563">
        <f t="shared" si="469"/>
        <v>5601701</v>
      </c>
      <c r="L2133" s="194" t="s">
        <v>175</v>
      </c>
      <c r="M2133" s="194" t="s">
        <v>169</v>
      </c>
      <c r="N2133" s="52" t="str">
        <f>IF(AND('331-CT'!$E$7=TH!H2133,OR(L2133="331",M2133="331")),"331",IF(AND(OR(L2133="131",M2133="131"),H2133='131-CT'!$E$7),"131",""))</f>
        <v/>
      </c>
      <c r="O2133" s="89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632</v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8"/>
    </row>
    <row r="2134" spans="1:28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si="468"/>
        <v>6</v>
      </c>
      <c r="C2134" s="37">
        <f t="shared" si="470"/>
        <v>41820</v>
      </c>
      <c r="D2134" s="37" t="s">
        <v>1379</v>
      </c>
      <c r="E2134" s="724">
        <v>41820</v>
      </c>
      <c r="F2134" s="189" t="s">
        <v>436</v>
      </c>
      <c r="G2134" s="40" t="s">
        <v>567</v>
      </c>
      <c r="H2134" s="7" t="s">
        <v>1372</v>
      </c>
      <c r="I2134" s="251">
        <v>500</v>
      </c>
      <c r="J2134" s="251">
        <v>9464.4341132145692</v>
      </c>
      <c r="K2134" s="563">
        <f t="shared" si="469"/>
        <v>4732217</v>
      </c>
      <c r="L2134" s="194" t="s">
        <v>175</v>
      </c>
      <c r="M2134" s="194" t="s">
        <v>169</v>
      </c>
      <c r="N2134" s="52" t="str">
        <f>IF(AND('331-CT'!$E$7=TH!H2134,OR(L2134="331",M2134="331")),"331",IF(AND(OR(L2134="131",M2134="131"),H2134='131-CT'!$E$7),"131",""))</f>
        <v/>
      </c>
      <c r="O2134" s="89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632</v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8"/>
    </row>
    <row r="2135" spans="1:28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468"/>
        <v>6</v>
      </c>
      <c r="C2135" s="37">
        <f t="shared" si="470"/>
        <v>41820</v>
      </c>
      <c r="D2135" s="37" t="s">
        <v>1379</v>
      </c>
      <c r="E2135" s="724">
        <v>41820</v>
      </c>
      <c r="F2135" s="40" t="s">
        <v>568</v>
      </c>
      <c r="G2135" s="40" t="s">
        <v>569</v>
      </c>
      <c r="H2135" s="7" t="s">
        <v>1372</v>
      </c>
      <c r="I2135" s="251">
        <v>203</v>
      </c>
      <c r="J2135" s="251">
        <v>9845.2567733130909</v>
      </c>
      <c r="K2135" s="563">
        <f t="shared" si="469"/>
        <v>1998587</v>
      </c>
      <c r="L2135" s="194" t="s">
        <v>175</v>
      </c>
      <c r="M2135" s="194" t="s">
        <v>169</v>
      </c>
      <c r="N2135" s="52" t="str">
        <f>IF(AND('331-CT'!$E$7=TH!H2135,OR(L2135="331",M2135="331")),"331",IF(AND(OR(L2135="131",M2135="131"),H2135='131-CT'!$E$7),"131",""))</f>
        <v/>
      </c>
      <c r="O2135" s="89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632</v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8"/>
    </row>
    <row r="2136" spans="1:28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468"/>
        <v>6</v>
      </c>
      <c r="C2136" s="37">
        <f t="shared" si="470"/>
        <v>41820</v>
      </c>
      <c r="D2136" s="37" t="s">
        <v>1379</v>
      </c>
      <c r="E2136" s="724">
        <v>41820</v>
      </c>
      <c r="F2136" s="189" t="s">
        <v>487</v>
      </c>
      <c r="G2136" s="40" t="s">
        <v>569</v>
      </c>
      <c r="H2136" s="7" t="s">
        <v>1372</v>
      </c>
      <c r="I2136" s="251">
        <v>205</v>
      </c>
      <c r="J2136" s="251">
        <v>5660.4585034584707</v>
      </c>
      <c r="K2136" s="563">
        <f t="shared" si="469"/>
        <v>1160394</v>
      </c>
      <c r="L2136" s="194" t="s">
        <v>175</v>
      </c>
      <c r="M2136" s="194" t="s">
        <v>169</v>
      </c>
      <c r="N2136" s="52" t="str">
        <f>IF(AND('331-CT'!$E$7=TH!H2136,OR(L2136="331",M2136="331")),"331",IF(AND(OR(L2136="131",M2136="131"),H2136='131-CT'!$E$7),"131",""))</f>
        <v/>
      </c>
      <c r="O2136" s="89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632</v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8"/>
    </row>
    <row r="2137" spans="1:28" s="850" customFormat="1" ht="15.75" customHeight="1">
      <c r="A2137" s="838" t="str">
        <f>IF(B2137&lt;&gt;"",IF(AND(B2137&gt;=_TM1,B2137&lt;=_TM2,OR(TH!L2137="1111",TH!M2137="1111")),TH!D2137,""),"")</f>
        <v/>
      </c>
      <c r="B2137" s="839">
        <f t="shared" si="468"/>
        <v>7</v>
      </c>
      <c r="C2137" s="927">
        <f t="shared" si="470"/>
        <v>41831</v>
      </c>
      <c r="D2137" s="37" t="s">
        <v>1379</v>
      </c>
      <c r="E2137" s="932">
        <v>41831</v>
      </c>
      <c r="F2137" s="842" t="s">
        <v>515</v>
      </c>
      <c r="G2137" s="933" t="s">
        <v>570</v>
      </c>
      <c r="H2137" s="844" t="s">
        <v>1372</v>
      </c>
      <c r="I2137" s="845">
        <v>570</v>
      </c>
      <c r="J2137" s="845">
        <v>9387.4086014726599</v>
      </c>
      <c r="K2137" s="846">
        <f t="shared" si="469"/>
        <v>5350823</v>
      </c>
      <c r="L2137" s="928" t="s">
        <v>175</v>
      </c>
      <c r="M2137" s="928" t="s">
        <v>169</v>
      </c>
      <c r="N2137" s="52" t="str">
        <f>IF(AND('331-CT'!$E$7=TH!H2137,OR(L2137="331",M2137="331")),"331",IF(AND(OR(L2137="131",M2137="131"),H2137='131-CT'!$E$7),"131",""))</f>
        <v/>
      </c>
      <c r="O2137" s="89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>x</v>
      </c>
      <c r="AB2137" s="848"/>
    </row>
    <row r="2138" spans="1:28" s="211" customFormat="1" ht="15.75" customHeight="1">
      <c r="A2138" s="204" t="str">
        <f>IF(B2138&lt;&gt;"",IF(AND(B2138&gt;=_TM1,B2138&lt;=_TM2,OR(TH!L2138="1111",TH!M2138="1111")),TH!D2138,""),"")</f>
        <v/>
      </c>
      <c r="B2138" s="36">
        <f t="shared" si="468"/>
        <v>7</v>
      </c>
      <c r="C2138" s="37">
        <f t="shared" si="470"/>
        <v>41831</v>
      </c>
      <c r="D2138" s="37" t="s">
        <v>1379</v>
      </c>
      <c r="E2138" s="724">
        <v>41831</v>
      </c>
      <c r="F2138" s="189" t="s">
        <v>515</v>
      </c>
      <c r="G2138" s="40" t="s">
        <v>570</v>
      </c>
      <c r="H2138" s="7" t="s">
        <v>1372</v>
      </c>
      <c r="I2138" s="251">
        <v>564</v>
      </c>
      <c r="J2138" s="251">
        <v>9387.4086014726599</v>
      </c>
      <c r="K2138" s="563">
        <f t="shared" si="469"/>
        <v>5294498</v>
      </c>
      <c r="L2138" s="194" t="s">
        <v>175</v>
      </c>
      <c r="M2138" s="194" t="s">
        <v>169</v>
      </c>
      <c r="N2138" s="52" t="str">
        <f>IF(AND('331-CT'!$E$7=TH!H2138,OR(L2138="331",M2138="331")),"331",IF(AND(OR(L2138="131",M2138="131"),H2138='131-CT'!$E$7),"131",""))</f>
        <v/>
      </c>
      <c r="O2138" s="89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>x</v>
      </c>
      <c r="AB2138" s="848"/>
    </row>
    <row r="2139" spans="1:28" s="211" customFormat="1" ht="15.75" customHeight="1">
      <c r="A2139" s="204" t="str">
        <f>IF(B2139&lt;&gt;"",IF(AND(B2139&gt;=_TM1,B2139&lt;=_TM2,OR(TH!L2139="1111",TH!M2139="1111")),TH!D2139,""),"")</f>
        <v/>
      </c>
      <c r="B2139" s="36">
        <f t="shared" si="468"/>
        <v>7</v>
      </c>
      <c r="C2139" s="37">
        <f t="shared" si="470"/>
        <v>41832</v>
      </c>
      <c r="D2139" s="37" t="s">
        <v>1379</v>
      </c>
      <c r="E2139" s="724">
        <v>41832</v>
      </c>
      <c r="F2139" s="40" t="s">
        <v>571</v>
      </c>
      <c r="G2139" s="40" t="s">
        <v>572</v>
      </c>
      <c r="H2139" s="7" t="s">
        <v>1372</v>
      </c>
      <c r="I2139" s="251">
        <v>393</v>
      </c>
      <c r="J2139" s="251">
        <v>6203.8526409732367</v>
      </c>
      <c r="K2139" s="563">
        <f t="shared" si="469"/>
        <v>2438114</v>
      </c>
      <c r="L2139" s="194" t="s">
        <v>175</v>
      </c>
      <c r="M2139" s="194" t="s">
        <v>169</v>
      </c>
      <c r="N2139" s="52" t="str">
        <f>IF(AND('331-CT'!$E$7=TH!H2139,OR(L2139="331",M2139="331")),"331",IF(AND(OR(L2139="131",M2139="131"),H2139='131-CT'!$E$7),"131",""))</f>
        <v/>
      </c>
      <c r="O2139" s="89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>x</v>
      </c>
      <c r="AB2139" s="848"/>
    </row>
    <row r="2140" spans="1:28" s="211" customFormat="1" ht="15.75" customHeight="1">
      <c r="A2140" s="204" t="str">
        <f>IF(B2140&lt;&gt;"",IF(AND(B2140&gt;=_TM1,B2140&lt;=_TM2,OR(TH!L2140="1111",TH!M2140="1111")),TH!D2140,""),"")</f>
        <v/>
      </c>
      <c r="B2140" s="36">
        <f t="shared" si="468"/>
        <v>7</v>
      </c>
      <c r="C2140" s="37">
        <f t="shared" si="470"/>
        <v>41832</v>
      </c>
      <c r="D2140" s="37" t="s">
        <v>1379</v>
      </c>
      <c r="E2140" s="724">
        <v>41832</v>
      </c>
      <c r="F2140" s="189" t="s">
        <v>573</v>
      </c>
      <c r="G2140" s="40" t="s">
        <v>572</v>
      </c>
      <c r="H2140" s="7" t="s">
        <v>1372</v>
      </c>
      <c r="I2140" s="251">
        <v>480</v>
      </c>
      <c r="J2140" s="251">
        <v>9877.1864415494947</v>
      </c>
      <c r="K2140" s="563">
        <f t="shared" si="469"/>
        <v>4741049</v>
      </c>
      <c r="L2140" s="194" t="s">
        <v>175</v>
      </c>
      <c r="M2140" s="194" t="s">
        <v>169</v>
      </c>
      <c r="N2140" s="52" t="str">
        <f>IF(AND('331-CT'!$E$7=TH!H2140,OR(L2140="331",M2140="331")),"331",IF(AND(OR(L2140="131",M2140="131"),H2140='131-CT'!$E$7),"131",""))</f>
        <v/>
      </c>
      <c r="O2140" s="89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>x</v>
      </c>
      <c r="AB2140" s="848"/>
    </row>
    <row r="2141" spans="1:28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468"/>
        <v>7</v>
      </c>
      <c r="C2141" s="37">
        <f t="shared" si="470"/>
        <v>41832</v>
      </c>
      <c r="D2141" s="37" t="s">
        <v>1379</v>
      </c>
      <c r="E2141" s="724">
        <v>41832</v>
      </c>
      <c r="F2141" s="189" t="s">
        <v>574</v>
      </c>
      <c r="G2141" s="40" t="s">
        <v>572</v>
      </c>
      <c r="H2141" s="7" t="s">
        <v>1372</v>
      </c>
      <c r="I2141" s="251">
        <v>219</v>
      </c>
      <c r="J2141" s="251">
        <v>9795.5568015366898</v>
      </c>
      <c r="K2141" s="563">
        <f t="shared" si="469"/>
        <v>2145227</v>
      </c>
      <c r="L2141" s="194" t="s">
        <v>175</v>
      </c>
      <c r="M2141" s="194" t="s">
        <v>169</v>
      </c>
      <c r="N2141" s="52" t="str">
        <f>IF(AND('331-CT'!$E$7=TH!H2141,OR(L2141="331",M2141="331")),"331",IF(AND(OR(L2141="131",M2141="131"),H2141='131-CT'!$E$7),"131",""))</f>
        <v/>
      </c>
      <c r="O2141" s="89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>x</v>
      </c>
      <c r="AB2141" s="848"/>
    </row>
    <row r="2142" spans="1:28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468"/>
        <v>7</v>
      </c>
      <c r="C2142" s="37">
        <f t="shared" si="470"/>
        <v>41834</v>
      </c>
      <c r="D2142" s="37" t="s">
        <v>1379</v>
      </c>
      <c r="E2142" s="184">
        <v>41834</v>
      </c>
      <c r="F2142" s="189" t="s">
        <v>575</v>
      </c>
      <c r="G2142" s="565" t="s">
        <v>576</v>
      </c>
      <c r="H2142" s="7" t="s">
        <v>1372</v>
      </c>
      <c r="I2142" s="251">
        <v>300</v>
      </c>
      <c r="J2142" s="251">
        <v>8897.630761395827</v>
      </c>
      <c r="K2142" s="563">
        <f t="shared" si="469"/>
        <v>2669289</v>
      </c>
      <c r="L2142" s="194" t="s">
        <v>175</v>
      </c>
      <c r="M2142" s="194" t="s">
        <v>169</v>
      </c>
      <c r="N2142" s="52" t="str">
        <f>IF(AND('331-CT'!$E$7=TH!H2142,OR(L2142="331",M2142="331")),"331",IF(AND(OR(L2142="131",M2142="131"),H2142='131-CT'!$E$7),"131",""))</f>
        <v/>
      </c>
      <c r="O2142" s="89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>x</v>
      </c>
      <c r="AB2142" s="848"/>
    </row>
    <row r="2143" spans="1:28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si="468"/>
        <v>7</v>
      </c>
      <c r="C2143" s="37">
        <f t="shared" si="470"/>
        <v>41834</v>
      </c>
      <c r="D2143" s="37" t="s">
        <v>1379</v>
      </c>
      <c r="E2143" s="184">
        <v>41834</v>
      </c>
      <c r="F2143" s="189" t="s">
        <v>577</v>
      </c>
      <c r="G2143" s="565" t="s">
        <v>576</v>
      </c>
      <c r="H2143" s="7" t="s">
        <v>1372</v>
      </c>
      <c r="I2143" s="251">
        <v>720</v>
      </c>
      <c r="J2143" s="251">
        <v>9224.1493214470484</v>
      </c>
      <c r="K2143" s="563">
        <f t="shared" si="469"/>
        <v>6641388</v>
      </c>
      <c r="L2143" s="194" t="s">
        <v>175</v>
      </c>
      <c r="M2143" s="194" t="s">
        <v>169</v>
      </c>
      <c r="N2143" s="52" t="str">
        <f>IF(AND('331-CT'!$E$7=TH!H2143,OR(L2143="331",M2143="331")),"331",IF(AND(OR(L2143="131",M2143="131"),H2143='131-CT'!$E$7),"131",""))</f>
        <v/>
      </c>
      <c r="O2143" s="89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>x</v>
      </c>
      <c r="AB2143" s="848"/>
    </row>
    <row r="2144" spans="1:28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468"/>
        <v>7</v>
      </c>
      <c r="C2144" s="37">
        <f t="shared" si="470"/>
        <v>41834</v>
      </c>
      <c r="D2144" s="37" t="s">
        <v>1379</v>
      </c>
      <c r="E2144" s="191">
        <v>41834</v>
      </c>
      <c r="F2144" s="192" t="s">
        <v>436</v>
      </c>
      <c r="G2144" s="463" t="s">
        <v>578</v>
      </c>
      <c r="H2144" s="7" t="s">
        <v>1372</v>
      </c>
      <c r="I2144" s="251">
        <v>522</v>
      </c>
      <c r="J2144" s="251">
        <v>7754.8158012165459</v>
      </c>
      <c r="K2144" s="563">
        <f t="shared" si="469"/>
        <v>4048014</v>
      </c>
      <c r="L2144" s="194" t="s">
        <v>175</v>
      </c>
      <c r="M2144" s="194" t="s">
        <v>169</v>
      </c>
      <c r="N2144" s="52" t="str">
        <f>IF(AND('331-CT'!$E$7=TH!H2144,OR(L2144="331",M2144="331")),"331",IF(AND(OR(L2144="131",M2144="131"),H2144='131-CT'!$E$7),"131",""))</f>
        <v/>
      </c>
      <c r="O2144" s="89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>x</v>
      </c>
      <c r="AB2144" s="848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si="468"/>
        <v>7</v>
      </c>
      <c r="C2145" s="37">
        <f t="shared" si="470"/>
        <v>41834</v>
      </c>
      <c r="D2145" s="37" t="s">
        <v>1379</v>
      </c>
      <c r="E2145" s="191">
        <v>41834</v>
      </c>
      <c r="F2145" s="192" t="s">
        <v>574</v>
      </c>
      <c r="G2145" s="463" t="s">
        <v>578</v>
      </c>
      <c r="H2145" s="7" t="s">
        <v>1372</v>
      </c>
      <c r="I2145" s="251">
        <v>525</v>
      </c>
      <c r="J2145" s="251">
        <v>9795.5568015366898</v>
      </c>
      <c r="K2145" s="563">
        <f t="shared" si="469"/>
        <v>5142667</v>
      </c>
      <c r="L2145" s="194" t="s">
        <v>175</v>
      </c>
      <c r="M2145" s="194" t="s">
        <v>169</v>
      </c>
      <c r="N2145" s="52" t="str">
        <f>IF(AND('331-CT'!$E$7=TH!H2145,OR(L2145="331",M2145="331")),"331",IF(AND(OR(L2145="131",M2145="131"),H2145='131-CT'!$E$7),"131",""))</f>
        <v/>
      </c>
      <c r="O2145" s="89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>x</v>
      </c>
      <c r="AB2145" s="848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468"/>
        <v>7</v>
      </c>
      <c r="C2146" s="37">
        <f t="shared" si="470"/>
        <v>41834</v>
      </c>
      <c r="D2146" s="37" t="s">
        <v>1379</v>
      </c>
      <c r="E2146" s="191">
        <v>41834</v>
      </c>
      <c r="F2146" s="192" t="s">
        <v>508</v>
      </c>
      <c r="G2146" s="463" t="s">
        <v>579</v>
      </c>
      <c r="H2146" s="7" t="s">
        <v>1372</v>
      </c>
      <c r="I2146" s="251">
        <v>214</v>
      </c>
      <c r="J2146" s="251">
        <v>7673.1861612037401</v>
      </c>
      <c r="K2146" s="563">
        <f t="shared" si="469"/>
        <v>1642062</v>
      </c>
      <c r="L2146" s="194" t="s">
        <v>175</v>
      </c>
      <c r="M2146" s="194" t="s">
        <v>169</v>
      </c>
      <c r="N2146" s="52" t="str">
        <f>IF(AND('331-CT'!$E$7=TH!H2146,OR(L2146="331",M2146="331")),"331",IF(AND(OR(L2146="131",M2146="131"),H2146='131-CT'!$E$7),"131",""))</f>
        <v/>
      </c>
      <c r="O2146" s="89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>x</v>
      </c>
      <c r="AB2146" s="848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468"/>
        <v>7</v>
      </c>
      <c r="C2147" s="37">
        <f t="shared" si="470"/>
        <v>41834</v>
      </c>
      <c r="D2147" s="37" t="s">
        <v>1379</v>
      </c>
      <c r="E2147" s="191">
        <v>41834</v>
      </c>
      <c r="F2147" s="192" t="s">
        <v>486</v>
      </c>
      <c r="G2147" s="463" t="s">
        <v>579</v>
      </c>
      <c r="H2147" s="7" t="s">
        <v>1372</v>
      </c>
      <c r="I2147" s="251">
        <v>133</v>
      </c>
      <c r="J2147" s="251">
        <v>7265.037961139712</v>
      </c>
      <c r="K2147" s="563">
        <f t="shared" si="469"/>
        <v>966250</v>
      </c>
      <c r="L2147" s="194" t="s">
        <v>175</v>
      </c>
      <c r="M2147" s="194" t="s">
        <v>169</v>
      </c>
      <c r="N2147" s="52" t="str">
        <f>IF(AND('331-CT'!$E$7=TH!H2147,OR(L2147="331",M2147="331")),"331",IF(AND(OR(L2147="131",M2147="131"),H2147='131-CT'!$E$7),"131",""))</f>
        <v/>
      </c>
      <c r="O2147" s="89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>x</v>
      </c>
      <c r="AB2147" s="848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si="468"/>
        <v>7</v>
      </c>
      <c r="C2148" s="37">
        <f t="shared" si="470"/>
        <v>41837</v>
      </c>
      <c r="D2148" s="37" t="s">
        <v>1379</v>
      </c>
      <c r="E2148" s="191">
        <v>41837</v>
      </c>
      <c r="F2148" s="192" t="s">
        <v>580</v>
      </c>
      <c r="G2148" s="463" t="s">
        <v>581</v>
      </c>
      <c r="H2148" s="7" t="s">
        <v>1372</v>
      </c>
      <c r="I2148" s="251">
        <v>115</v>
      </c>
      <c r="J2148" s="251">
        <v>11183.260681754389</v>
      </c>
      <c r="K2148" s="563">
        <f t="shared" si="469"/>
        <v>1286075</v>
      </c>
      <c r="L2148" s="194" t="s">
        <v>175</v>
      </c>
      <c r="M2148" s="194" t="s">
        <v>169</v>
      </c>
      <c r="N2148" s="52" t="str">
        <f>IF(AND('331-CT'!$E$7=TH!H2148,OR(L2148="331",M2148="331")),"331",IF(AND(OR(L2148="131",M2148="131"),H2148='131-CT'!$E$7),"131",""))</f>
        <v/>
      </c>
      <c r="O2148" s="89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>x</v>
      </c>
      <c r="AB2148" s="848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468"/>
        <v>7</v>
      </c>
      <c r="C2149" s="37">
        <f t="shared" si="470"/>
        <v>41837</v>
      </c>
      <c r="D2149" s="37" t="s">
        <v>1379</v>
      </c>
      <c r="E2149" s="191">
        <v>41837</v>
      </c>
      <c r="F2149" s="192" t="s">
        <v>583</v>
      </c>
      <c r="G2149" s="463" t="s">
        <v>581</v>
      </c>
      <c r="H2149" s="7" t="s">
        <v>1372</v>
      </c>
      <c r="I2149" s="251">
        <v>15</v>
      </c>
      <c r="J2149" s="251">
        <v>14121.927722215394</v>
      </c>
      <c r="K2149" s="563">
        <f t="shared" si="469"/>
        <v>211829</v>
      </c>
      <c r="L2149" s="194" t="s">
        <v>175</v>
      </c>
      <c r="M2149" s="194" t="s">
        <v>169</v>
      </c>
      <c r="N2149" s="52" t="str">
        <f>IF(AND('331-CT'!$E$7=TH!H2149,OR(L2149="331",M2149="331")),"331",IF(AND(OR(L2149="131",M2149="131"),H2149='131-CT'!$E$7),"131",""))</f>
        <v/>
      </c>
      <c r="O2149" s="89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>x</v>
      </c>
      <c r="AB2149" s="848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468"/>
        <v>7</v>
      </c>
      <c r="C2150" s="37">
        <f t="shared" si="470"/>
        <v>41837</v>
      </c>
      <c r="D2150" s="37" t="s">
        <v>1379</v>
      </c>
      <c r="E2150" s="191">
        <v>41837</v>
      </c>
      <c r="F2150" s="192" t="s">
        <v>584</v>
      </c>
      <c r="G2150" s="463" t="s">
        <v>581</v>
      </c>
      <c r="H2150" s="7" t="s">
        <v>1372</v>
      </c>
      <c r="I2150" s="251">
        <v>40</v>
      </c>
      <c r="J2150" s="251">
        <v>8979.2604014086337</v>
      </c>
      <c r="K2150" s="563">
        <f t="shared" si="469"/>
        <v>359170</v>
      </c>
      <c r="L2150" s="194" t="s">
        <v>175</v>
      </c>
      <c r="M2150" s="194" t="s">
        <v>169</v>
      </c>
      <c r="N2150" s="52" t="str">
        <f>IF(AND('331-CT'!$E$7=TH!H2150,OR(L2150="331",M2150="331")),"331",IF(AND(OR(L2150="131",M2150="131"),H2150='131-CT'!$E$7),"131",""))</f>
        <v/>
      </c>
      <c r="O2150" s="89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>x</v>
      </c>
      <c r="AB2150" s="848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:B2214" si="471">IF(C2151&lt;&gt;"",MONTH(C2151),"")</f>
        <v>7</v>
      </c>
      <c r="C2151" s="37">
        <f t="shared" si="470"/>
        <v>41837</v>
      </c>
      <c r="D2151" s="37" t="s">
        <v>1379</v>
      </c>
      <c r="E2151" s="191">
        <v>41837</v>
      </c>
      <c r="F2151" s="192" t="s">
        <v>585</v>
      </c>
      <c r="G2151" s="463" t="s">
        <v>581</v>
      </c>
      <c r="H2151" s="7" t="s">
        <v>1372</v>
      </c>
      <c r="I2151" s="251">
        <v>720</v>
      </c>
      <c r="J2151" s="251">
        <v>11183.260681754389</v>
      </c>
      <c r="K2151" s="563">
        <f t="shared" ref="K2151:K2214" si="472">ROUND(I2151*J2151,0)</f>
        <v>8051948</v>
      </c>
      <c r="L2151" s="194" t="s">
        <v>175</v>
      </c>
      <c r="M2151" s="194" t="s">
        <v>169</v>
      </c>
      <c r="N2151" s="52" t="str">
        <f>IF(AND('331-CT'!$E$7=TH!H2151,OR(L2151="331",M2151="331")),"331",IF(AND(OR(L2151="131",M2151="131"),H2151='131-CT'!$E$7),"131",""))</f>
        <v/>
      </c>
      <c r="O2151" s="89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>x</v>
      </c>
      <c r="AB2151" s="848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471"/>
        <v>7</v>
      </c>
      <c r="C2152" s="37">
        <f t="shared" ref="C2152:C2215" si="473">E2152</f>
        <v>41837</v>
      </c>
      <c r="D2152" s="37" t="s">
        <v>1379</v>
      </c>
      <c r="E2152" s="191">
        <v>41837</v>
      </c>
      <c r="F2152" s="192" t="s">
        <v>586</v>
      </c>
      <c r="G2152" s="463" t="s">
        <v>581</v>
      </c>
      <c r="H2152" s="7" t="s">
        <v>1372</v>
      </c>
      <c r="I2152" s="251">
        <v>370</v>
      </c>
      <c r="J2152" s="251">
        <v>10122.075361587913</v>
      </c>
      <c r="K2152" s="563">
        <f t="shared" si="472"/>
        <v>3745168</v>
      </c>
      <c r="L2152" s="194" t="s">
        <v>175</v>
      </c>
      <c r="M2152" s="194" t="s">
        <v>169</v>
      </c>
      <c r="N2152" s="52" t="str">
        <f>IF(AND('331-CT'!$E$7=TH!H2152,OR(L2152="331",M2152="331")),"331",IF(AND(OR(L2152="131",M2152="131"),H2152='131-CT'!$E$7),"131",""))</f>
        <v/>
      </c>
      <c r="O2152" s="89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>x</v>
      </c>
      <c r="AB2152" s="848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471"/>
        <v>7</v>
      </c>
      <c r="C2153" s="37">
        <f t="shared" si="473"/>
        <v>41837</v>
      </c>
      <c r="D2153" s="37" t="s">
        <v>1379</v>
      </c>
      <c r="E2153" s="191">
        <v>41837</v>
      </c>
      <c r="F2153" s="192" t="s">
        <v>494</v>
      </c>
      <c r="G2153" s="463" t="s">
        <v>587</v>
      </c>
      <c r="H2153" s="7" t="s">
        <v>1372</v>
      </c>
      <c r="I2153" s="251">
        <v>500</v>
      </c>
      <c r="J2153" s="251">
        <v>7101.7786811141004</v>
      </c>
      <c r="K2153" s="563">
        <f t="shared" si="472"/>
        <v>3550889</v>
      </c>
      <c r="L2153" s="194" t="s">
        <v>175</v>
      </c>
      <c r="M2153" s="194" t="s">
        <v>169</v>
      </c>
      <c r="N2153" s="52" t="str">
        <f>IF(AND('331-CT'!$E$7=TH!H2153,OR(L2153="331",M2153="331")),"331",IF(AND(OR(L2153="131",M2153="131"),H2153='131-CT'!$E$7),"131",""))</f>
        <v/>
      </c>
      <c r="O2153" s="89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>x</v>
      </c>
      <c r="AB2153" s="848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471"/>
        <v>7</v>
      </c>
      <c r="C2154" s="37">
        <f t="shared" si="473"/>
        <v>41837</v>
      </c>
      <c r="D2154" s="37" t="s">
        <v>1379</v>
      </c>
      <c r="E2154" s="191">
        <v>41837</v>
      </c>
      <c r="F2154" s="192" t="s">
        <v>512</v>
      </c>
      <c r="G2154" s="463" t="s">
        <v>587</v>
      </c>
      <c r="H2154" s="7" t="s">
        <v>1372</v>
      </c>
      <c r="I2154" s="251">
        <v>410</v>
      </c>
      <c r="J2154" s="251">
        <v>5714.0748008964019</v>
      </c>
      <c r="K2154" s="563">
        <f t="shared" si="472"/>
        <v>2342771</v>
      </c>
      <c r="L2154" s="194" t="s">
        <v>175</v>
      </c>
      <c r="M2154" s="194" t="s">
        <v>169</v>
      </c>
      <c r="N2154" s="52" t="str">
        <f>IF(AND('331-CT'!$E$7=TH!H2154,OR(L2154="331",M2154="331")),"331",IF(AND(OR(L2154="131",M2154="131"),H2154='131-CT'!$E$7),"131",""))</f>
        <v/>
      </c>
      <c r="O2154" s="89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>x</v>
      </c>
      <c r="AB2154" s="848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471"/>
        <v>7</v>
      </c>
      <c r="C2155" s="37">
        <f t="shared" si="473"/>
        <v>41837</v>
      </c>
      <c r="D2155" s="37" t="s">
        <v>1379</v>
      </c>
      <c r="E2155" s="191">
        <v>41837</v>
      </c>
      <c r="F2155" s="192" t="s">
        <v>483</v>
      </c>
      <c r="G2155" s="463" t="s">
        <v>587</v>
      </c>
      <c r="H2155" s="7" t="s">
        <v>1372</v>
      </c>
      <c r="I2155" s="251">
        <v>280</v>
      </c>
      <c r="J2155" s="251">
        <v>10938.371761715971</v>
      </c>
      <c r="K2155" s="563">
        <f t="shared" si="472"/>
        <v>3062744</v>
      </c>
      <c r="L2155" s="194" t="s">
        <v>175</v>
      </c>
      <c r="M2155" s="194" t="s">
        <v>169</v>
      </c>
      <c r="N2155" s="52" t="str">
        <f>IF(AND('331-CT'!$E$7=TH!H2155,OR(L2155="331",M2155="331")),"331",IF(AND(OR(L2155="131",M2155="131"),H2155='131-CT'!$E$7),"131",""))</f>
        <v/>
      </c>
      <c r="O2155" s="89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>x</v>
      </c>
      <c r="AB2155" s="848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471"/>
        <v>7</v>
      </c>
      <c r="C2156" s="37">
        <f t="shared" si="473"/>
        <v>41842</v>
      </c>
      <c r="D2156" s="37" t="s">
        <v>1379</v>
      </c>
      <c r="E2156" s="191">
        <v>41842</v>
      </c>
      <c r="F2156" s="192" t="s">
        <v>421</v>
      </c>
      <c r="G2156" s="463" t="s">
        <v>588</v>
      </c>
      <c r="H2156" s="7" t="s">
        <v>1372</v>
      </c>
      <c r="I2156" s="251">
        <v>513</v>
      </c>
      <c r="J2156" s="251">
        <v>11836.297801856834</v>
      </c>
      <c r="K2156" s="563">
        <f t="shared" si="472"/>
        <v>6072021</v>
      </c>
      <c r="L2156" s="194" t="s">
        <v>175</v>
      </c>
      <c r="M2156" s="194" t="s">
        <v>169</v>
      </c>
      <c r="N2156" s="52" t="str">
        <f>IF(AND('331-CT'!$E$7=TH!H2156,OR(L2156="331",M2156="331")),"331",IF(AND(OR(L2156="131",M2156="131"),H2156='131-CT'!$E$7),"131",""))</f>
        <v/>
      </c>
      <c r="O2156" s="89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>x</v>
      </c>
      <c r="AB2156" s="848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471"/>
        <v>7</v>
      </c>
      <c r="C2157" s="37">
        <f t="shared" si="473"/>
        <v>41842</v>
      </c>
      <c r="D2157" s="37" t="s">
        <v>1379</v>
      </c>
      <c r="E2157" s="191">
        <v>41842</v>
      </c>
      <c r="F2157" s="192" t="s">
        <v>445</v>
      </c>
      <c r="G2157" s="463" t="s">
        <v>588</v>
      </c>
      <c r="H2157" s="7" t="s">
        <v>1372</v>
      </c>
      <c r="I2157" s="251">
        <v>1026</v>
      </c>
      <c r="J2157" s="251">
        <v>816.29640012805748</v>
      </c>
      <c r="K2157" s="563">
        <f t="shared" si="472"/>
        <v>837520</v>
      </c>
      <c r="L2157" s="194" t="s">
        <v>175</v>
      </c>
      <c r="M2157" s="194" t="s">
        <v>169</v>
      </c>
      <c r="N2157" s="52" t="str">
        <f>IF(AND('331-CT'!$E$7=TH!H2157,OR(L2157="331",M2157="331")),"331",IF(AND(OR(L2157="131",M2157="131"),H2157='131-CT'!$E$7),"131",""))</f>
        <v/>
      </c>
      <c r="O2157" s="89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>x</v>
      </c>
      <c r="AB2157" s="848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471"/>
        <v>7</v>
      </c>
      <c r="C2158" s="37">
        <f t="shared" si="473"/>
        <v>41842</v>
      </c>
      <c r="D2158" s="37" t="s">
        <v>1379</v>
      </c>
      <c r="E2158" s="191">
        <v>41842</v>
      </c>
      <c r="F2158" s="192" t="s">
        <v>480</v>
      </c>
      <c r="G2158" s="463" t="s">
        <v>589</v>
      </c>
      <c r="H2158" s="7" t="s">
        <v>1372</v>
      </c>
      <c r="I2158" s="251">
        <v>1600</v>
      </c>
      <c r="J2158" s="251">
        <v>5632.4451608835961</v>
      </c>
      <c r="K2158" s="563">
        <f t="shared" si="472"/>
        <v>9011912</v>
      </c>
      <c r="L2158" s="194" t="s">
        <v>175</v>
      </c>
      <c r="M2158" s="194" t="s">
        <v>169</v>
      </c>
      <c r="N2158" s="52" t="str">
        <f>IF(AND('331-CT'!$E$7=TH!H2158,OR(L2158="331",M2158="331")),"331",IF(AND(OR(L2158="131",M2158="131"),H2158='131-CT'!$E$7),"131",""))</f>
        <v/>
      </c>
      <c r="O2158" s="89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>x</v>
      </c>
      <c r="AB2158" s="848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471"/>
        <v>7</v>
      </c>
      <c r="C2159" s="37">
        <f t="shared" si="473"/>
        <v>41843</v>
      </c>
      <c r="D2159" s="37" t="s">
        <v>1379</v>
      </c>
      <c r="E2159" s="191">
        <v>41843</v>
      </c>
      <c r="F2159" s="192" t="s">
        <v>500</v>
      </c>
      <c r="G2159" s="463" t="s">
        <v>590</v>
      </c>
      <c r="H2159" s="7" t="s">
        <v>1372</v>
      </c>
      <c r="I2159" s="251">
        <v>563</v>
      </c>
      <c r="J2159" s="251">
        <v>6856.8897610756831</v>
      </c>
      <c r="K2159" s="563">
        <f t="shared" si="472"/>
        <v>3860429</v>
      </c>
      <c r="L2159" s="194" t="s">
        <v>175</v>
      </c>
      <c r="M2159" s="194" t="s">
        <v>169</v>
      </c>
      <c r="N2159" s="52" t="str">
        <f>IF(AND('331-CT'!$E$7=TH!H2159,OR(L2159="331",M2159="331")),"331",IF(AND(OR(L2159="131",M2159="131"),H2159='131-CT'!$E$7),"131",""))</f>
        <v/>
      </c>
      <c r="O2159" s="89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>x</v>
      </c>
      <c r="AB2159" s="848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471"/>
        <v>7</v>
      </c>
      <c r="C2160" s="37">
        <f t="shared" si="473"/>
        <v>41843</v>
      </c>
      <c r="D2160" s="37" t="s">
        <v>1379</v>
      </c>
      <c r="E2160" s="191">
        <v>41843</v>
      </c>
      <c r="F2160" s="192" t="s">
        <v>503</v>
      </c>
      <c r="G2160" s="463" t="s">
        <v>590</v>
      </c>
      <c r="H2160" s="7" t="s">
        <v>1372</v>
      </c>
      <c r="I2160" s="251">
        <v>212</v>
      </c>
      <c r="J2160" s="251">
        <v>7346.6676011525178</v>
      </c>
      <c r="K2160" s="563">
        <f t="shared" si="472"/>
        <v>1557494</v>
      </c>
      <c r="L2160" s="194" t="s">
        <v>175</v>
      </c>
      <c r="M2160" s="194" t="s">
        <v>169</v>
      </c>
      <c r="N2160" s="52" t="str">
        <f>IF(AND('331-CT'!$E$7=TH!H2160,OR(L2160="331",M2160="331")),"331",IF(AND(OR(L2160="131",M2160="131"),H2160='131-CT'!$E$7),"131",""))</f>
        <v/>
      </c>
      <c r="O2160" s="89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>x</v>
      </c>
      <c r="AB2160" s="848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471"/>
        <v>7</v>
      </c>
      <c r="C2161" s="37">
        <f t="shared" si="473"/>
        <v>41843</v>
      </c>
      <c r="D2161" s="37" t="s">
        <v>1379</v>
      </c>
      <c r="E2161" s="724">
        <v>41843</v>
      </c>
      <c r="F2161" s="438" t="s">
        <v>406</v>
      </c>
      <c r="G2161" s="40" t="s">
        <v>590</v>
      </c>
      <c r="H2161" s="7" t="s">
        <v>1372</v>
      </c>
      <c r="I2161" s="251">
        <v>197</v>
      </c>
      <c r="J2161" s="251">
        <v>8081.3343612677691</v>
      </c>
      <c r="K2161" s="563">
        <f t="shared" si="472"/>
        <v>1592023</v>
      </c>
      <c r="L2161" s="194" t="s">
        <v>175</v>
      </c>
      <c r="M2161" s="194" t="s">
        <v>169</v>
      </c>
      <c r="N2161" s="52" t="str">
        <f>IF(AND('331-CT'!$E$7=TH!H2161,OR(L2161="331",M2161="331")),"331",IF(AND(OR(L2161="131",M2161="131"),H2161='131-CT'!$E$7),"131",""))</f>
        <v/>
      </c>
      <c r="O2161" s="89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>x</v>
      </c>
      <c r="AB2161" s="848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471"/>
        <v>7</v>
      </c>
      <c r="C2162" s="37">
        <f t="shared" si="473"/>
        <v>41843</v>
      </c>
      <c r="D2162" s="37" t="s">
        <v>1379</v>
      </c>
      <c r="E2162" s="724">
        <v>41843</v>
      </c>
      <c r="F2162" s="40" t="s">
        <v>504</v>
      </c>
      <c r="G2162" s="40" t="s">
        <v>590</v>
      </c>
      <c r="H2162" s="7" t="s">
        <v>1372</v>
      </c>
      <c r="I2162" s="251">
        <v>216</v>
      </c>
      <c r="J2162" s="251">
        <v>7754.8158012165459</v>
      </c>
      <c r="K2162" s="563">
        <f t="shared" si="472"/>
        <v>1675040</v>
      </c>
      <c r="L2162" s="194" t="s">
        <v>175</v>
      </c>
      <c r="M2162" s="194" t="s">
        <v>169</v>
      </c>
      <c r="N2162" s="52" t="str">
        <f>IF(AND('331-CT'!$E$7=TH!H2162,OR(L2162="331",M2162="331")),"331",IF(AND(OR(L2162="131",M2162="131"),H2162='131-CT'!$E$7),"131",""))</f>
        <v/>
      </c>
      <c r="O2162" s="89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>x</v>
      </c>
      <c r="AB2162" s="848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471"/>
        <v>7</v>
      </c>
      <c r="C2163" s="37">
        <f t="shared" si="473"/>
        <v>41843</v>
      </c>
      <c r="D2163" s="37" t="s">
        <v>1379</v>
      </c>
      <c r="E2163" s="724">
        <v>41843</v>
      </c>
      <c r="F2163" s="40" t="s">
        <v>591</v>
      </c>
      <c r="G2163" s="40" t="s">
        <v>592</v>
      </c>
      <c r="H2163" s="7" t="s">
        <v>1372</v>
      </c>
      <c r="I2163" s="251">
        <v>413</v>
      </c>
      <c r="J2163" s="251">
        <v>17305.483682714821</v>
      </c>
      <c r="K2163" s="563">
        <f t="shared" si="472"/>
        <v>7147165</v>
      </c>
      <c r="L2163" s="194" t="s">
        <v>175</v>
      </c>
      <c r="M2163" s="194" t="s">
        <v>169</v>
      </c>
      <c r="N2163" s="52" t="str">
        <f>IF(AND('331-CT'!$E$7=TH!H2163,OR(L2163="331",M2163="331")),"331",IF(AND(OR(L2163="131",M2163="131"),H2163='131-CT'!$E$7),"131",""))</f>
        <v/>
      </c>
      <c r="O2163" s="89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>x</v>
      </c>
      <c r="AB2163" s="848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471"/>
        <v>7</v>
      </c>
      <c r="C2164" s="37">
        <f t="shared" si="473"/>
        <v>41843</v>
      </c>
      <c r="D2164" s="37" t="s">
        <v>1379</v>
      </c>
      <c r="E2164" s="724">
        <v>41843</v>
      </c>
      <c r="F2164" s="40" t="s">
        <v>593</v>
      </c>
      <c r="G2164" s="40" t="s">
        <v>594</v>
      </c>
      <c r="H2164" s="7" t="s">
        <v>1372</v>
      </c>
      <c r="I2164" s="251">
        <v>190</v>
      </c>
      <c r="J2164" s="251">
        <v>24407.262363828919</v>
      </c>
      <c r="K2164" s="563">
        <f t="shared" si="472"/>
        <v>4637380</v>
      </c>
      <c r="L2164" s="194" t="s">
        <v>175</v>
      </c>
      <c r="M2164" s="194" t="s">
        <v>169</v>
      </c>
      <c r="N2164" s="52" t="str">
        <f>IF(AND('331-CT'!$E$7=TH!H2164,OR(L2164="331",M2164="331")),"331",IF(AND(OR(L2164="131",M2164="131"),H2164='131-CT'!$E$7),"131",""))</f>
        <v/>
      </c>
      <c r="O2164" s="89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>x</v>
      </c>
      <c r="AB2164" s="848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471"/>
        <v>7</v>
      </c>
      <c r="C2165" s="37">
        <f t="shared" si="473"/>
        <v>41843</v>
      </c>
      <c r="D2165" s="37" t="s">
        <v>1379</v>
      </c>
      <c r="E2165" s="724">
        <v>41843</v>
      </c>
      <c r="F2165" s="40" t="s">
        <v>595</v>
      </c>
      <c r="G2165" s="40" t="s">
        <v>596</v>
      </c>
      <c r="H2165" s="7" t="s">
        <v>1372</v>
      </c>
      <c r="I2165" s="251">
        <v>202</v>
      </c>
      <c r="J2165" s="251">
        <v>7428.2972411653236</v>
      </c>
      <c r="K2165" s="563">
        <f t="shared" si="472"/>
        <v>1500516</v>
      </c>
      <c r="L2165" s="194" t="s">
        <v>175</v>
      </c>
      <c r="M2165" s="194" t="s">
        <v>169</v>
      </c>
      <c r="N2165" s="52" t="str">
        <f>IF(AND('331-CT'!$E$7=TH!H2165,OR(L2165="331",M2165="331")),"331",IF(AND(OR(L2165="131",M2165="131"),H2165='131-CT'!$E$7),"131",""))</f>
        <v/>
      </c>
      <c r="O2165" s="89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>x</v>
      </c>
      <c r="AB2165" s="848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471"/>
        <v>7</v>
      </c>
      <c r="C2166" s="37">
        <f t="shared" si="473"/>
        <v>41843</v>
      </c>
      <c r="D2166" s="37" t="s">
        <v>1379</v>
      </c>
      <c r="E2166" s="724">
        <v>41843</v>
      </c>
      <c r="F2166" s="40" t="s">
        <v>597</v>
      </c>
      <c r="G2166" s="40" t="s">
        <v>596</v>
      </c>
      <c r="H2166" s="7" t="s">
        <v>1372</v>
      </c>
      <c r="I2166" s="251">
        <v>103</v>
      </c>
      <c r="J2166" s="251">
        <v>16652.446562612375</v>
      </c>
      <c r="K2166" s="563">
        <f t="shared" si="472"/>
        <v>1715202</v>
      </c>
      <c r="L2166" s="194" t="s">
        <v>175</v>
      </c>
      <c r="M2166" s="194" t="s">
        <v>169</v>
      </c>
      <c r="N2166" s="52" t="str">
        <f>IF(AND('331-CT'!$E$7=TH!H2166,OR(L2166="331",M2166="331")),"331",IF(AND(OR(L2166="131",M2166="131"),H2166='131-CT'!$E$7),"131",""))</f>
        <v/>
      </c>
      <c r="O2166" s="89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>x</v>
      </c>
      <c r="AB2166" s="848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471"/>
        <v>7</v>
      </c>
      <c r="C2167" s="37">
        <f t="shared" si="473"/>
        <v>41845</v>
      </c>
      <c r="D2167" s="37" t="s">
        <v>1379</v>
      </c>
      <c r="E2167" s="724">
        <v>41845</v>
      </c>
      <c r="F2167" s="40" t="s">
        <v>598</v>
      </c>
      <c r="G2167" s="40" t="s">
        <v>599</v>
      </c>
      <c r="H2167" s="7" t="s">
        <v>1372</v>
      </c>
      <c r="I2167" s="251">
        <v>100</v>
      </c>
      <c r="J2167" s="251">
        <v>5469.1858808579855</v>
      </c>
      <c r="K2167" s="563">
        <f t="shared" si="472"/>
        <v>546919</v>
      </c>
      <c r="L2167" s="194" t="s">
        <v>175</v>
      </c>
      <c r="M2167" s="194" t="s">
        <v>169</v>
      </c>
      <c r="N2167" s="52" t="str">
        <f>IF(AND('331-CT'!$E$7=TH!H2167,OR(L2167="331",M2167="331")),"331",IF(AND(OR(L2167="131",M2167="131"),H2167='131-CT'!$E$7),"131",""))</f>
        <v/>
      </c>
      <c r="O2167" s="89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8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471"/>
        <v>7</v>
      </c>
      <c r="C2168" s="37">
        <f t="shared" si="473"/>
        <v>41845</v>
      </c>
      <c r="D2168" s="37" t="s">
        <v>1379</v>
      </c>
      <c r="E2168" s="724">
        <v>41845</v>
      </c>
      <c r="F2168" s="40" t="s">
        <v>600</v>
      </c>
      <c r="G2168" s="40" t="s">
        <v>601</v>
      </c>
      <c r="H2168" s="7" t="s">
        <v>1372</v>
      </c>
      <c r="I2168" s="251">
        <v>371</v>
      </c>
      <c r="J2168" s="251">
        <v>10366.964281626329</v>
      </c>
      <c r="K2168" s="563">
        <f t="shared" si="472"/>
        <v>3846144</v>
      </c>
      <c r="L2168" s="194" t="s">
        <v>175</v>
      </c>
      <c r="M2168" s="194" t="s">
        <v>169</v>
      </c>
      <c r="N2168" s="52" t="str">
        <f>IF(AND('331-CT'!$E$7=TH!H2168,OR(L2168="331",M2168="331")),"331",IF(AND(OR(L2168="131",M2168="131"),H2168='131-CT'!$E$7),"131",""))</f>
        <v/>
      </c>
      <c r="O2168" s="89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8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471"/>
        <v>7</v>
      </c>
      <c r="C2169" s="37">
        <f t="shared" si="473"/>
        <v>41845</v>
      </c>
      <c r="D2169" s="37" t="s">
        <v>1379</v>
      </c>
      <c r="E2169" s="724">
        <v>41845</v>
      </c>
      <c r="F2169" s="40" t="s">
        <v>603</v>
      </c>
      <c r="G2169" s="40" t="s">
        <v>601</v>
      </c>
      <c r="H2169" s="7" t="s">
        <v>1372</v>
      </c>
      <c r="I2169" s="251">
        <v>156</v>
      </c>
      <c r="J2169" s="251">
        <v>9469.0382414854666</v>
      </c>
      <c r="K2169" s="563">
        <f t="shared" si="472"/>
        <v>1477170</v>
      </c>
      <c r="L2169" s="194" t="s">
        <v>175</v>
      </c>
      <c r="M2169" s="194" t="s">
        <v>169</v>
      </c>
      <c r="N2169" s="52" t="str">
        <f>IF(AND('331-CT'!$E$7=TH!H2169,OR(L2169="331",M2169="331")),"331",IF(AND(OR(L2169="131",M2169="131"),H2169='131-CT'!$E$7),"131",""))</f>
        <v/>
      </c>
      <c r="O2169" s="89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8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471"/>
        <v>7</v>
      </c>
      <c r="C2170" s="37">
        <f t="shared" si="473"/>
        <v>41845</v>
      </c>
      <c r="D2170" s="37" t="s">
        <v>1379</v>
      </c>
      <c r="E2170" s="724">
        <v>41845</v>
      </c>
      <c r="F2170" s="40" t="s">
        <v>623</v>
      </c>
      <c r="G2170" s="40" t="s">
        <v>601</v>
      </c>
      <c r="H2170" s="7" t="s">
        <v>1372</v>
      </c>
      <c r="I2170" s="251">
        <v>1400</v>
      </c>
      <c r="J2170" s="251">
        <v>489.77784007683448</v>
      </c>
      <c r="K2170" s="563">
        <f t="shared" si="472"/>
        <v>685689</v>
      </c>
      <c r="L2170" s="194" t="s">
        <v>175</v>
      </c>
      <c r="M2170" s="194" t="s">
        <v>169</v>
      </c>
      <c r="N2170" s="52" t="str">
        <f>IF(AND('331-CT'!$E$7=TH!H2170,OR(L2170="331",M2170="331")),"331",IF(AND(OR(L2170="131",M2170="131"),H2170='131-CT'!$E$7),"131",""))</f>
        <v/>
      </c>
      <c r="O2170" s="89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8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471"/>
        <v>7</v>
      </c>
      <c r="C2171" s="37">
        <f t="shared" si="473"/>
        <v>41845</v>
      </c>
      <c r="D2171" s="37" t="s">
        <v>1379</v>
      </c>
      <c r="E2171" s="724">
        <v>41845</v>
      </c>
      <c r="F2171" s="40" t="s">
        <v>604</v>
      </c>
      <c r="G2171" s="40" t="s">
        <v>605</v>
      </c>
      <c r="H2171" s="7" t="s">
        <v>1372</v>
      </c>
      <c r="I2171" s="251">
        <v>97</v>
      </c>
      <c r="J2171" s="251">
        <v>8734.3714813702154</v>
      </c>
      <c r="K2171" s="563">
        <f t="shared" si="472"/>
        <v>847234</v>
      </c>
      <c r="L2171" s="194" t="s">
        <v>175</v>
      </c>
      <c r="M2171" s="194" t="s">
        <v>169</v>
      </c>
      <c r="N2171" s="52" t="str">
        <f>IF(AND('331-CT'!$E$7=TH!H2171,OR(L2171="331",M2171="331")),"331",IF(AND(OR(L2171="131",M2171="131"),H2171='131-CT'!$E$7),"131",""))</f>
        <v/>
      </c>
      <c r="O2171" s="89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8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471"/>
        <v>7</v>
      </c>
      <c r="C2172" s="37">
        <f t="shared" si="473"/>
        <v>41849</v>
      </c>
      <c r="D2172" s="37" t="s">
        <v>1379</v>
      </c>
      <c r="E2172" s="724">
        <v>41849</v>
      </c>
      <c r="F2172" s="40" t="s">
        <v>606</v>
      </c>
      <c r="G2172" s="40" t="s">
        <v>607</v>
      </c>
      <c r="H2172" s="7" t="s">
        <v>1372</v>
      </c>
      <c r="I2172" s="251">
        <v>1920</v>
      </c>
      <c r="J2172" s="251">
        <v>9713.9271615238831</v>
      </c>
      <c r="K2172" s="563">
        <f t="shared" si="472"/>
        <v>18650740</v>
      </c>
      <c r="L2172" s="194" t="s">
        <v>175</v>
      </c>
      <c r="M2172" s="194" t="s">
        <v>169</v>
      </c>
      <c r="N2172" s="52" t="str">
        <f>IF(AND('331-CT'!$E$7=TH!H2172,OR(L2172="331",M2172="331")),"331",IF(AND(OR(L2172="131",M2172="131"),H2172='131-CT'!$E$7),"131",""))</f>
        <v/>
      </c>
      <c r="O2172" s="89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8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471"/>
        <v>7</v>
      </c>
      <c r="C2173" s="37">
        <f t="shared" si="473"/>
        <v>41849</v>
      </c>
      <c r="D2173" s="37" t="s">
        <v>1379</v>
      </c>
      <c r="E2173" s="724">
        <v>41849</v>
      </c>
      <c r="F2173" s="40" t="s">
        <v>608</v>
      </c>
      <c r="G2173" s="40" t="s">
        <v>607</v>
      </c>
      <c r="H2173" s="7" t="s">
        <v>1372</v>
      </c>
      <c r="I2173" s="251">
        <v>560</v>
      </c>
      <c r="J2173" s="251">
        <v>12570.964561972085</v>
      </c>
      <c r="K2173" s="563">
        <f t="shared" si="472"/>
        <v>7039740</v>
      </c>
      <c r="L2173" s="194" t="s">
        <v>175</v>
      </c>
      <c r="M2173" s="194" t="s">
        <v>169</v>
      </c>
      <c r="N2173" s="52" t="str">
        <f>IF(AND('331-CT'!$E$7=TH!H2173,OR(L2173="331",M2173="331")),"331",IF(AND(OR(L2173="131",M2173="131"),H2173='131-CT'!$E$7),"131",""))</f>
        <v/>
      </c>
      <c r="O2173" s="89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8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471"/>
        <v>7</v>
      </c>
      <c r="C2174" s="37">
        <f t="shared" si="473"/>
        <v>41849</v>
      </c>
      <c r="D2174" s="37" t="s">
        <v>1379</v>
      </c>
      <c r="E2174" s="724">
        <v>41849</v>
      </c>
      <c r="F2174" s="40" t="s">
        <v>566</v>
      </c>
      <c r="G2174" s="40" t="s">
        <v>609</v>
      </c>
      <c r="H2174" s="7" t="s">
        <v>1372</v>
      </c>
      <c r="I2174" s="251">
        <v>515</v>
      </c>
      <c r="J2174" s="251">
        <v>7918.0750812421575</v>
      </c>
      <c r="K2174" s="563">
        <f t="shared" si="472"/>
        <v>4077809</v>
      </c>
      <c r="L2174" s="194" t="s">
        <v>175</v>
      </c>
      <c r="M2174" s="194" t="s">
        <v>169</v>
      </c>
      <c r="N2174" s="52" t="str">
        <f>IF(AND('331-CT'!$E$7=TH!H2174,OR(L2174="331",M2174="331")),"331",IF(AND(OR(L2174="131",M2174="131"),H2174='131-CT'!$E$7),"131",""))</f>
        <v/>
      </c>
      <c r="O2174" s="89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8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471"/>
        <v>7</v>
      </c>
      <c r="C2175" s="37">
        <f t="shared" si="473"/>
        <v>41849</v>
      </c>
      <c r="D2175" s="37" t="s">
        <v>1379</v>
      </c>
      <c r="E2175" s="724">
        <v>41849</v>
      </c>
      <c r="F2175" s="40" t="s">
        <v>610</v>
      </c>
      <c r="G2175" s="40" t="s">
        <v>609</v>
      </c>
      <c r="H2175" s="7" t="s">
        <v>1372</v>
      </c>
      <c r="I2175" s="251">
        <v>500</v>
      </c>
      <c r="J2175" s="251">
        <v>5061.0376807939565</v>
      </c>
      <c r="K2175" s="563">
        <f t="shared" si="472"/>
        <v>2530519</v>
      </c>
      <c r="L2175" s="194" t="s">
        <v>175</v>
      </c>
      <c r="M2175" s="194" t="s">
        <v>169</v>
      </c>
      <c r="N2175" s="52" t="str">
        <f>IF(AND('331-CT'!$E$7=TH!H2175,OR(L2175="331",M2175="331")),"331",IF(AND(OR(L2175="131",M2175="131"),H2175='131-CT'!$E$7),"131",""))</f>
        <v/>
      </c>
      <c r="O2175" s="89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8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471"/>
        <v>7</v>
      </c>
      <c r="C2176" s="37">
        <f t="shared" si="473"/>
        <v>41850</v>
      </c>
      <c r="D2176" s="37" t="s">
        <v>1379</v>
      </c>
      <c r="E2176" s="724">
        <v>41850</v>
      </c>
      <c r="F2176" s="40" t="s">
        <v>417</v>
      </c>
      <c r="G2176" s="40" t="s">
        <v>611</v>
      </c>
      <c r="H2176" s="7" t="s">
        <v>1372</v>
      </c>
      <c r="I2176" s="251">
        <v>2554</v>
      </c>
      <c r="J2176" s="251">
        <v>5469.1858808579855</v>
      </c>
      <c r="K2176" s="563">
        <f t="shared" si="472"/>
        <v>13968301</v>
      </c>
      <c r="L2176" s="194" t="s">
        <v>175</v>
      </c>
      <c r="M2176" s="194" t="s">
        <v>169</v>
      </c>
      <c r="N2176" s="52" t="str">
        <f>IF(AND('331-CT'!$E$7=TH!H2176,OR(L2176="331",M2176="331")),"331",IF(AND(OR(L2176="131",M2176="131"),H2176='131-CT'!$E$7),"131",""))</f>
        <v/>
      </c>
      <c r="O2176" s="89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8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471"/>
        <v>7</v>
      </c>
      <c r="C2177" s="37">
        <f t="shared" si="473"/>
        <v>41850</v>
      </c>
      <c r="D2177" s="37" t="s">
        <v>1379</v>
      </c>
      <c r="E2177" s="724">
        <v>41850</v>
      </c>
      <c r="F2177" s="192" t="s">
        <v>612</v>
      </c>
      <c r="G2177" s="463" t="s">
        <v>611</v>
      </c>
      <c r="H2177" s="7" t="s">
        <v>1372</v>
      </c>
      <c r="I2177" s="251">
        <v>330</v>
      </c>
      <c r="J2177" s="251">
        <v>4326.3709206787053</v>
      </c>
      <c r="K2177" s="563">
        <f t="shared" si="472"/>
        <v>1427702</v>
      </c>
      <c r="L2177" s="194" t="s">
        <v>175</v>
      </c>
      <c r="M2177" s="194" t="s">
        <v>169</v>
      </c>
      <c r="N2177" s="52" t="str">
        <f>IF(AND('331-CT'!$E$7=TH!H2177,OR(L2177="331",M2177="331")),"331",IF(AND(OR(L2177="131",M2177="131"),H2177='131-CT'!$E$7),"131",""))</f>
        <v/>
      </c>
      <c r="O2177" s="89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8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471"/>
        <v>8</v>
      </c>
      <c r="C2178" s="37">
        <f t="shared" si="473"/>
        <v>41857</v>
      </c>
      <c r="D2178" s="37" t="s">
        <v>1379</v>
      </c>
      <c r="E2178" s="724">
        <v>41857</v>
      </c>
      <c r="F2178" s="192" t="s">
        <v>421</v>
      </c>
      <c r="G2178" s="463" t="s">
        <v>613</v>
      </c>
      <c r="H2178" s="7" t="s">
        <v>1372</v>
      </c>
      <c r="I2178" s="251">
        <v>500</v>
      </c>
      <c r="J2178" s="251">
        <v>11836.297801856834</v>
      </c>
      <c r="K2178" s="563">
        <f t="shared" si="472"/>
        <v>5918149</v>
      </c>
      <c r="L2178" s="194" t="s">
        <v>175</v>
      </c>
      <c r="M2178" s="194" t="s">
        <v>169</v>
      </c>
      <c r="N2178" s="52" t="str">
        <f>IF(AND('331-CT'!$E$7=TH!H2178,OR(L2178="331",M2178="331")),"331",IF(AND(OR(L2178="131",M2178="131"),H2178='131-CT'!$E$7),"131",""))</f>
        <v/>
      </c>
      <c r="O2178" s="89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8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471"/>
        <v>8</v>
      </c>
      <c r="C2179" s="37">
        <f t="shared" si="473"/>
        <v>41858</v>
      </c>
      <c r="D2179" s="37" t="s">
        <v>1379</v>
      </c>
      <c r="E2179" s="724">
        <v>41858</v>
      </c>
      <c r="F2179" s="192" t="s">
        <v>445</v>
      </c>
      <c r="G2179" s="463" t="s">
        <v>613</v>
      </c>
      <c r="H2179" s="7" t="s">
        <v>1372</v>
      </c>
      <c r="I2179" s="251">
        <v>1000</v>
      </c>
      <c r="J2179" s="251">
        <v>816.29640012805748</v>
      </c>
      <c r="K2179" s="563">
        <f t="shared" si="472"/>
        <v>816296</v>
      </c>
      <c r="L2179" s="194" t="s">
        <v>175</v>
      </c>
      <c r="M2179" s="194" t="s">
        <v>169</v>
      </c>
      <c r="N2179" s="52" t="str">
        <f>IF(AND('331-CT'!$E$7=TH!H2179,OR(L2179="331",M2179="331")),"331",IF(AND(OR(L2179="131",M2179="131"),H2179='131-CT'!$E$7),"131",""))</f>
        <v/>
      </c>
      <c r="O2179" s="89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8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471"/>
        <v>8</v>
      </c>
      <c r="C2180" s="37">
        <f t="shared" si="473"/>
        <v>41859</v>
      </c>
      <c r="D2180" s="37" t="s">
        <v>1379</v>
      </c>
      <c r="E2180" s="724">
        <v>41859</v>
      </c>
      <c r="F2180" s="192" t="s">
        <v>494</v>
      </c>
      <c r="G2180" s="463" t="s">
        <v>614</v>
      </c>
      <c r="H2180" s="7" t="s">
        <v>1372</v>
      </c>
      <c r="I2180" s="251">
        <v>300</v>
      </c>
      <c r="J2180" s="251">
        <v>7101.7786811141004</v>
      </c>
      <c r="K2180" s="563">
        <f t="shared" si="472"/>
        <v>2130534</v>
      </c>
      <c r="L2180" s="194" t="s">
        <v>175</v>
      </c>
      <c r="M2180" s="194" t="s">
        <v>169</v>
      </c>
      <c r="N2180" s="52" t="str">
        <f>IF(AND('331-CT'!$E$7=TH!H2180,OR(L2180="331",M2180="331")),"331",IF(AND(OR(L2180="131",M2180="131"),H2180='131-CT'!$E$7),"131",""))</f>
        <v/>
      </c>
      <c r="O2180" s="89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8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471"/>
        <v>8</v>
      </c>
      <c r="C2181" s="37">
        <f t="shared" si="473"/>
        <v>41859</v>
      </c>
      <c r="D2181" s="37" t="s">
        <v>1379</v>
      </c>
      <c r="E2181" s="724">
        <v>41859</v>
      </c>
      <c r="F2181" s="192" t="s">
        <v>615</v>
      </c>
      <c r="G2181" s="463" t="s">
        <v>616</v>
      </c>
      <c r="H2181" s="7" t="s">
        <v>1372</v>
      </c>
      <c r="I2181" s="251">
        <v>393</v>
      </c>
      <c r="J2181" s="251">
        <v>5550.8155208707913</v>
      </c>
      <c r="K2181" s="563">
        <f t="shared" si="472"/>
        <v>2181470</v>
      </c>
      <c r="L2181" s="194" t="s">
        <v>175</v>
      </c>
      <c r="M2181" s="194" t="s">
        <v>169</v>
      </c>
      <c r="N2181" s="52" t="str">
        <f>IF(AND('331-CT'!$E$7=TH!H2181,OR(L2181="331",M2181="331")),"331",IF(AND(OR(L2181="131",M2181="131"),H2181='131-CT'!$E$7),"131",""))</f>
        <v/>
      </c>
      <c r="O2181" s="89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8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471"/>
        <v>8</v>
      </c>
      <c r="C2182" s="37">
        <f t="shared" si="473"/>
        <v>41859</v>
      </c>
      <c r="D2182" s="37" t="s">
        <v>1379</v>
      </c>
      <c r="E2182" s="724">
        <v>41859</v>
      </c>
      <c r="F2182" s="192" t="s">
        <v>618</v>
      </c>
      <c r="G2182" s="463" t="s">
        <v>619</v>
      </c>
      <c r="H2182" s="7" t="s">
        <v>1372</v>
      </c>
      <c r="I2182" s="251">
        <v>198</v>
      </c>
      <c r="J2182" s="251">
        <v>14366.816642253812</v>
      </c>
      <c r="K2182" s="563">
        <f t="shared" si="472"/>
        <v>2844630</v>
      </c>
      <c r="L2182" s="194" t="s">
        <v>175</v>
      </c>
      <c r="M2182" s="194" t="s">
        <v>169</v>
      </c>
      <c r="N2182" s="52" t="str">
        <f>IF(AND('331-CT'!$E$7=TH!H2182,OR(L2182="331",M2182="331")),"331",IF(AND(OR(L2182="131",M2182="131"),H2182='131-CT'!$E$7),"131",""))</f>
        <v/>
      </c>
      <c r="O2182" s="89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8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si="471"/>
        <v>8</v>
      </c>
      <c r="C2183" s="37">
        <f t="shared" si="473"/>
        <v>41859</v>
      </c>
      <c r="D2183" s="37" t="s">
        <v>1379</v>
      </c>
      <c r="E2183" s="724">
        <v>41859</v>
      </c>
      <c r="F2183" s="192" t="s">
        <v>620</v>
      </c>
      <c r="G2183" s="463" t="s">
        <v>619</v>
      </c>
      <c r="H2183" s="7" t="s">
        <v>1372</v>
      </c>
      <c r="I2183" s="251">
        <v>996</v>
      </c>
      <c r="J2183" s="251">
        <v>8081.3343612677691</v>
      </c>
      <c r="K2183" s="563">
        <f t="shared" si="472"/>
        <v>8049009</v>
      </c>
      <c r="L2183" s="194" t="s">
        <v>175</v>
      </c>
      <c r="M2183" s="194" t="s">
        <v>169</v>
      </c>
      <c r="N2183" s="52" t="str">
        <f>IF(AND('331-CT'!$E$7=TH!H2183,OR(L2183="331",M2183="331")),"331",IF(AND(OR(L2183="131",M2183="131"),H2183='131-CT'!$E$7),"131",""))</f>
        <v/>
      </c>
      <c r="O2183" s="89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8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471"/>
        <v>8</v>
      </c>
      <c r="C2184" s="37">
        <f t="shared" si="473"/>
        <v>41859</v>
      </c>
      <c r="D2184" s="37" t="s">
        <v>1379</v>
      </c>
      <c r="E2184" s="724">
        <v>41859</v>
      </c>
      <c r="F2184" s="192" t="s">
        <v>621</v>
      </c>
      <c r="G2184" s="463" t="s">
        <v>619</v>
      </c>
      <c r="H2184" s="7" t="s">
        <v>1372</v>
      </c>
      <c r="I2184" s="251">
        <v>650</v>
      </c>
      <c r="J2184" s="251">
        <v>13713.779522151366</v>
      </c>
      <c r="K2184" s="563">
        <f t="shared" si="472"/>
        <v>8913957</v>
      </c>
      <c r="L2184" s="194" t="s">
        <v>175</v>
      </c>
      <c r="M2184" s="194" t="s">
        <v>169</v>
      </c>
      <c r="N2184" s="52" t="str">
        <f>IF(AND('331-CT'!$E$7=TH!H2184,OR(L2184="331",M2184="331")),"331",IF(AND(OR(L2184="131",M2184="131"),H2184='131-CT'!$E$7),"131",""))</f>
        <v/>
      </c>
      <c r="O2184" s="89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8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471"/>
        <v>8</v>
      </c>
      <c r="C2185" s="37">
        <f t="shared" si="473"/>
        <v>41859</v>
      </c>
      <c r="D2185" s="37" t="s">
        <v>1379</v>
      </c>
      <c r="E2185" s="724">
        <v>41859</v>
      </c>
      <c r="F2185" s="192" t="s">
        <v>622</v>
      </c>
      <c r="G2185" s="463" t="s">
        <v>619</v>
      </c>
      <c r="H2185" s="7" t="s">
        <v>1372</v>
      </c>
      <c r="I2185" s="251">
        <v>1440</v>
      </c>
      <c r="J2185" s="251">
        <v>9224.1493214470484</v>
      </c>
      <c r="K2185" s="563">
        <f t="shared" si="472"/>
        <v>13282775</v>
      </c>
      <c r="L2185" s="194" t="s">
        <v>175</v>
      </c>
      <c r="M2185" s="194" t="s">
        <v>169</v>
      </c>
      <c r="N2185" s="52" t="str">
        <f>IF(AND('331-CT'!$E$7=TH!H2185,OR(L2185="331",M2185="331")),"331",IF(AND(OR(L2185="131",M2185="131"),H2185='131-CT'!$E$7),"131",""))</f>
        <v/>
      </c>
      <c r="O2185" s="89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8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si="471"/>
        <v>8</v>
      </c>
      <c r="C2186" s="37">
        <f t="shared" si="473"/>
        <v>41859</v>
      </c>
      <c r="D2186" s="37" t="s">
        <v>1379</v>
      </c>
      <c r="E2186" s="724">
        <v>41859</v>
      </c>
      <c r="F2186" s="192" t="s">
        <v>600</v>
      </c>
      <c r="G2186" s="463" t="s">
        <v>619</v>
      </c>
      <c r="H2186" s="7" t="s">
        <v>1372</v>
      </c>
      <c r="I2186" s="251">
        <v>160</v>
      </c>
      <c r="J2186" s="251">
        <v>10366.964281626329</v>
      </c>
      <c r="K2186" s="563">
        <f t="shared" si="472"/>
        <v>1658714</v>
      </c>
      <c r="L2186" s="194" t="s">
        <v>175</v>
      </c>
      <c r="M2186" s="194" t="s">
        <v>169</v>
      </c>
      <c r="N2186" s="52" t="str">
        <f>IF(AND('331-CT'!$E$7=TH!H2186,OR(L2186="331",M2186="331")),"331",IF(AND(OR(L2186="131",M2186="131"),H2186='131-CT'!$E$7),"131",""))</f>
        <v/>
      </c>
      <c r="O2186" s="89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8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471"/>
        <v>8</v>
      </c>
      <c r="C2187" s="37">
        <f t="shared" si="473"/>
        <v>41859</v>
      </c>
      <c r="D2187" s="37" t="s">
        <v>1379</v>
      </c>
      <c r="E2187" s="724">
        <v>41859</v>
      </c>
      <c r="F2187" s="192" t="s">
        <v>623</v>
      </c>
      <c r="G2187" s="463" t="s">
        <v>619</v>
      </c>
      <c r="H2187" s="7" t="s">
        <v>1372</v>
      </c>
      <c r="I2187" s="251">
        <v>4400</v>
      </c>
      <c r="J2187" s="251">
        <v>489.77784007683448</v>
      </c>
      <c r="K2187" s="563">
        <f t="shared" si="472"/>
        <v>2155022</v>
      </c>
      <c r="L2187" s="194" t="s">
        <v>175</v>
      </c>
      <c r="M2187" s="194" t="s">
        <v>169</v>
      </c>
      <c r="N2187" s="52" t="str">
        <f>IF(AND('331-CT'!$E$7=TH!H2187,OR(L2187="331",M2187="331")),"331",IF(AND(OR(L2187="131",M2187="131"),H2187='131-CT'!$E$7),"131",""))</f>
        <v/>
      </c>
      <c r="O2187" s="89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8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471"/>
        <v>8</v>
      </c>
      <c r="C2188" s="37">
        <f t="shared" si="473"/>
        <v>41863</v>
      </c>
      <c r="D2188" s="37" t="s">
        <v>1379</v>
      </c>
      <c r="E2188" s="724">
        <v>41863</v>
      </c>
      <c r="F2188" s="192" t="s">
        <v>459</v>
      </c>
      <c r="G2188" s="463" t="s">
        <v>624</v>
      </c>
      <c r="H2188" s="7" t="s">
        <v>1372</v>
      </c>
      <c r="I2188" s="251">
        <v>1043</v>
      </c>
      <c r="J2188" s="251">
        <v>7509.9268811781294</v>
      </c>
      <c r="K2188" s="563">
        <f t="shared" si="472"/>
        <v>7832854</v>
      </c>
      <c r="L2188" s="194" t="s">
        <v>175</v>
      </c>
      <c r="M2188" s="194" t="s">
        <v>169</v>
      </c>
      <c r="N2188" s="52" t="str">
        <f>IF(AND('331-CT'!$E$7=TH!H2188,OR(L2188="331",M2188="331")),"331",IF(AND(OR(L2188="131",M2188="131"),H2188='131-CT'!$E$7),"131",""))</f>
        <v/>
      </c>
      <c r="O2188" s="89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8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si="471"/>
        <v>8</v>
      </c>
      <c r="C2189" s="37">
        <f t="shared" si="473"/>
        <v>41864</v>
      </c>
      <c r="D2189" s="37" t="s">
        <v>1379</v>
      </c>
      <c r="E2189" s="724">
        <v>41864</v>
      </c>
      <c r="F2189" s="192" t="s">
        <v>436</v>
      </c>
      <c r="G2189" s="463" t="s">
        <v>625</v>
      </c>
      <c r="H2189" s="7" t="s">
        <v>1372</v>
      </c>
      <c r="I2189" s="251">
        <v>650</v>
      </c>
      <c r="J2189" s="251">
        <v>7754.8158012165459</v>
      </c>
      <c r="K2189" s="563">
        <f t="shared" si="472"/>
        <v>5040630</v>
      </c>
      <c r="L2189" s="194" t="s">
        <v>175</v>
      </c>
      <c r="M2189" s="194" t="s">
        <v>169</v>
      </c>
      <c r="N2189" s="52" t="str">
        <f>IF(AND('331-CT'!$E$7=TH!H2189,OR(L2189="331",M2189="331")),"331",IF(AND(OR(L2189="131",M2189="131"),H2189='131-CT'!$E$7),"131",""))</f>
        <v/>
      </c>
      <c r="O2189" s="89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8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471"/>
        <v>8</v>
      </c>
      <c r="C2190" s="37">
        <f t="shared" si="473"/>
        <v>41865</v>
      </c>
      <c r="D2190" s="37" t="s">
        <v>1379</v>
      </c>
      <c r="E2190" s="724">
        <v>41865</v>
      </c>
      <c r="F2190" s="192" t="s">
        <v>494</v>
      </c>
      <c r="G2190" s="463" t="s">
        <v>626</v>
      </c>
      <c r="H2190" s="7" t="s">
        <v>1372</v>
      </c>
      <c r="I2190" s="251">
        <v>208</v>
      </c>
      <c r="J2190" s="251">
        <v>7101.7786811141004</v>
      </c>
      <c r="K2190" s="563">
        <f t="shared" si="472"/>
        <v>1477170</v>
      </c>
      <c r="L2190" s="194" t="s">
        <v>175</v>
      </c>
      <c r="M2190" s="194" t="s">
        <v>169</v>
      </c>
      <c r="N2190" s="52" t="str">
        <f>IF(AND('331-CT'!$E$7=TH!H2190,OR(L2190="331",M2190="331")),"331",IF(AND(OR(L2190="131",M2190="131"),H2190='131-CT'!$E$7),"131",""))</f>
        <v/>
      </c>
      <c r="O2190" s="89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8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471"/>
        <v>8</v>
      </c>
      <c r="C2191" s="37">
        <f t="shared" si="473"/>
        <v>41865</v>
      </c>
      <c r="D2191" s="37" t="s">
        <v>1379</v>
      </c>
      <c r="E2191" s="724">
        <v>41865</v>
      </c>
      <c r="F2191" s="192" t="s">
        <v>512</v>
      </c>
      <c r="G2191" s="463" t="s">
        <v>626</v>
      </c>
      <c r="H2191" s="7" t="s">
        <v>1372</v>
      </c>
      <c r="I2191" s="251">
        <v>320</v>
      </c>
      <c r="J2191" s="251">
        <v>5714.0748008964019</v>
      </c>
      <c r="K2191" s="563">
        <f t="shared" si="472"/>
        <v>1828504</v>
      </c>
      <c r="L2191" s="194" t="s">
        <v>175</v>
      </c>
      <c r="M2191" s="194" t="s">
        <v>169</v>
      </c>
      <c r="N2191" s="52" t="str">
        <f>IF(AND('331-CT'!$E$7=TH!H2191,OR(L2191="331",M2191="331")),"331",IF(AND(OR(L2191="131",M2191="131"),H2191='131-CT'!$E$7),"131",""))</f>
        <v/>
      </c>
      <c r="O2191" s="89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8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471"/>
        <v>8</v>
      </c>
      <c r="C2192" s="37">
        <f t="shared" si="473"/>
        <v>41865</v>
      </c>
      <c r="D2192" s="37" t="s">
        <v>1379</v>
      </c>
      <c r="E2192" s="724">
        <v>41865</v>
      </c>
      <c r="F2192" s="192" t="s">
        <v>586</v>
      </c>
      <c r="G2192" s="463" t="s">
        <v>627</v>
      </c>
      <c r="H2192" s="7" t="s">
        <v>1372</v>
      </c>
      <c r="I2192" s="251">
        <v>740</v>
      </c>
      <c r="J2192" s="251">
        <v>10122.075361587913</v>
      </c>
      <c r="K2192" s="563">
        <f t="shared" si="472"/>
        <v>7490336</v>
      </c>
      <c r="L2192" s="194" t="s">
        <v>175</v>
      </c>
      <c r="M2192" s="194" t="s">
        <v>169</v>
      </c>
      <c r="N2192" s="52" t="str">
        <f>IF(AND('331-CT'!$E$7=TH!H2192,OR(L2192="331",M2192="331")),"331",IF(AND(OR(L2192="131",M2192="131"),H2192='131-CT'!$E$7),"131",""))</f>
        <v/>
      </c>
      <c r="O2192" s="89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8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471"/>
        <v>8</v>
      </c>
      <c r="C2193" s="37">
        <f t="shared" si="473"/>
        <v>41866</v>
      </c>
      <c r="D2193" s="37" t="s">
        <v>1379</v>
      </c>
      <c r="E2193" s="724">
        <v>41866</v>
      </c>
      <c r="F2193" s="189" t="s">
        <v>628</v>
      </c>
      <c r="G2193" s="40" t="s">
        <v>629</v>
      </c>
      <c r="H2193" s="7" t="s">
        <v>1372</v>
      </c>
      <c r="I2193" s="251">
        <v>100</v>
      </c>
      <c r="J2193" s="251">
        <v>4897.7784007683449</v>
      </c>
      <c r="K2193" s="563">
        <f t="shared" si="472"/>
        <v>489778</v>
      </c>
      <c r="L2193" s="194" t="s">
        <v>175</v>
      </c>
      <c r="M2193" s="194" t="s">
        <v>169</v>
      </c>
      <c r="N2193" s="52" t="str">
        <f>IF(AND('331-CT'!$E$7=TH!H2193,OR(L2193="331",M2193="331")),"331",IF(AND(OR(L2193="131",M2193="131"),H2193='131-CT'!$E$7),"131",""))</f>
        <v/>
      </c>
      <c r="O2193" s="89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8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471"/>
        <v>8</v>
      </c>
      <c r="C2194" s="37">
        <f t="shared" si="473"/>
        <v>41866</v>
      </c>
      <c r="D2194" s="37" t="s">
        <v>1379</v>
      </c>
      <c r="E2194" s="724">
        <v>41866</v>
      </c>
      <c r="F2194" s="40" t="s">
        <v>523</v>
      </c>
      <c r="G2194" s="40" t="s">
        <v>629</v>
      </c>
      <c r="H2194" s="7" t="s">
        <v>1372</v>
      </c>
      <c r="I2194" s="251">
        <v>120</v>
      </c>
      <c r="J2194" s="251">
        <v>4979.4080407811507</v>
      </c>
      <c r="K2194" s="563">
        <f t="shared" si="472"/>
        <v>597529</v>
      </c>
      <c r="L2194" s="194" t="s">
        <v>175</v>
      </c>
      <c r="M2194" s="194" t="s">
        <v>169</v>
      </c>
      <c r="N2194" s="52" t="str">
        <f>IF(AND('331-CT'!$E$7=TH!H2194,OR(L2194="331",M2194="331")),"331",IF(AND(OR(L2194="131",M2194="131"),H2194='131-CT'!$E$7),"131",""))</f>
        <v/>
      </c>
      <c r="O2194" s="89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8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si="471"/>
        <v>8</v>
      </c>
      <c r="C2195" s="37">
        <f t="shared" si="473"/>
        <v>41866</v>
      </c>
      <c r="D2195" s="37" t="s">
        <v>1379</v>
      </c>
      <c r="E2195" s="724">
        <v>41866</v>
      </c>
      <c r="F2195" s="40" t="s">
        <v>630</v>
      </c>
      <c r="G2195" s="40" t="s">
        <v>629</v>
      </c>
      <c r="H2195" s="7" t="s">
        <v>1372</v>
      </c>
      <c r="I2195" s="251">
        <v>470</v>
      </c>
      <c r="J2195" s="251">
        <v>3591.7041605634531</v>
      </c>
      <c r="K2195" s="563">
        <f t="shared" si="472"/>
        <v>1688101</v>
      </c>
      <c r="L2195" s="194" t="s">
        <v>175</v>
      </c>
      <c r="M2195" s="194" t="s">
        <v>169</v>
      </c>
      <c r="N2195" s="52" t="str">
        <f>IF(AND('331-CT'!$E$7=TH!H2195,OR(L2195="331",M2195="331")),"331",IF(AND(OR(L2195="131",M2195="131"),H2195='131-CT'!$E$7),"131",""))</f>
        <v/>
      </c>
      <c r="O2195" s="89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8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471"/>
        <v>8</v>
      </c>
      <c r="C2196" s="37">
        <f t="shared" si="473"/>
        <v>41866</v>
      </c>
      <c r="D2196" s="37" t="s">
        <v>1379</v>
      </c>
      <c r="E2196" s="724">
        <v>41866</v>
      </c>
      <c r="F2196" s="438" t="s">
        <v>631</v>
      </c>
      <c r="G2196" s="40" t="s">
        <v>629</v>
      </c>
      <c r="H2196" s="7" t="s">
        <v>1372</v>
      </c>
      <c r="I2196" s="251">
        <v>350</v>
      </c>
      <c r="J2196" s="251">
        <v>3836.59308060187</v>
      </c>
      <c r="K2196" s="563">
        <f t="shared" si="472"/>
        <v>1342808</v>
      </c>
      <c r="L2196" s="194" t="s">
        <v>175</v>
      </c>
      <c r="M2196" s="194" t="s">
        <v>169</v>
      </c>
      <c r="N2196" s="52" t="str">
        <f>IF(AND('331-CT'!$E$7=TH!H2196,OR(L2196="331",M2196="331")),"331",IF(AND(OR(L2196="131",M2196="131"),H2196='131-CT'!$E$7),"131",""))</f>
        <v/>
      </c>
      <c r="O2196" s="89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8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471"/>
        <v>8</v>
      </c>
      <c r="C2197" s="37">
        <f t="shared" si="473"/>
        <v>41866</v>
      </c>
      <c r="D2197" s="37" t="s">
        <v>1379</v>
      </c>
      <c r="E2197" s="724">
        <v>41866</v>
      </c>
      <c r="F2197" s="40" t="s">
        <v>632</v>
      </c>
      <c r="G2197" s="40" t="s">
        <v>629</v>
      </c>
      <c r="H2197" s="7" t="s">
        <v>1372</v>
      </c>
      <c r="I2197" s="251">
        <v>330</v>
      </c>
      <c r="J2197" s="251">
        <v>6285.4822809860425</v>
      </c>
      <c r="K2197" s="563">
        <f t="shared" si="472"/>
        <v>2074209</v>
      </c>
      <c r="L2197" s="194" t="s">
        <v>175</v>
      </c>
      <c r="M2197" s="194" t="s">
        <v>169</v>
      </c>
      <c r="N2197" s="52" t="str">
        <f>IF(AND('331-CT'!$E$7=TH!H2197,OR(L2197="331",M2197="331")),"331",IF(AND(OR(L2197="131",M2197="131"),H2197='131-CT'!$E$7),"131",""))</f>
        <v/>
      </c>
      <c r="O2197" s="89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8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471"/>
        <v>8</v>
      </c>
      <c r="C2198" s="37">
        <f t="shared" si="473"/>
        <v>41866</v>
      </c>
      <c r="D2198" s="37" t="s">
        <v>1379</v>
      </c>
      <c r="E2198" s="724">
        <v>41866</v>
      </c>
      <c r="F2198" s="40" t="s">
        <v>423</v>
      </c>
      <c r="G2198" s="40" t="s">
        <v>633</v>
      </c>
      <c r="H2198" s="7" t="s">
        <v>1372</v>
      </c>
      <c r="I2198" s="251">
        <v>488</v>
      </c>
      <c r="J2198" s="251">
        <v>7918.0750812421575</v>
      </c>
      <c r="K2198" s="563">
        <f t="shared" si="472"/>
        <v>3864021</v>
      </c>
      <c r="L2198" s="194" t="s">
        <v>175</v>
      </c>
      <c r="M2198" s="194" t="s">
        <v>169</v>
      </c>
      <c r="N2198" s="52" t="str">
        <f>IF(AND('331-CT'!$E$7=TH!H2198,OR(L2198="331",M2198="331")),"331",IF(AND(OR(L2198="131",M2198="131"),H2198='131-CT'!$E$7),"131",""))</f>
        <v/>
      </c>
      <c r="O2198" s="89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8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471"/>
        <v>8</v>
      </c>
      <c r="C2199" s="37">
        <f t="shared" si="473"/>
        <v>41869</v>
      </c>
      <c r="D2199" s="37" t="s">
        <v>1379</v>
      </c>
      <c r="E2199" s="724">
        <v>41869</v>
      </c>
      <c r="F2199" s="40" t="s">
        <v>634</v>
      </c>
      <c r="G2199" s="40" t="s">
        <v>635</v>
      </c>
      <c r="H2199" s="7" t="s">
        <v>1372</v>
      </c>
      <c r="I2199" s="251">
        <v>200</v>
      </c>
      <c r="J2199" s="251">
        <v>5714.0748008964019</v>
      </c>
      <c r="K2199" s="563">
        <f t="shared" si="472"/>
        <v>1142815</v>
      </c>
      <c r="L2199" s="194" t="s">
        <v>175</v>
      </c>
      <c r="M2199" s="194" t="s">
        <v>169</v>
      </c>
      <c r="N2199" s="52" t="str">
        <f>IF(AND('331-CT'!$E$7=TH!H2199,OR(L2199="331",M2199="331")),"331",IF(AND(OR(L2199="131",M2199="131"),H2199='131-CT'!$E$7),"131",""))</f>
        <v/>
      </c>
      <c r="O2199" s="89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8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471"/>
        <v>8</v>
      </c>
      <c r="C2200" s="37">
        <f t="shared" si="473"/>
        <v>41871</v>
      </c>
      <c r="D2200" s="37" t="s">
        <v>1379</v>
      </c>
      <c r="E2200" s="724">
        <v>41871</v>
      </c>
      <c r="F2200" s="291" t="s">
        <v>586</v>
      </c>
      <c r="G2200" s="40" t="s">
        <v>636</v>
      </c>
      <c r="H2200" s="7" t="s">
        <v>1372</v>
      </c>
      <c r="I2200" s="251">
        <v>350</v>
      </c>
      <c r="J2200" s="251">
        <v>10122.075361587913</v>
      </c>
      <c r="K2200" s="563">
        <f t="shared" si="472"/>
        <v>3542726</v>
      </c>
      <c r="L2200" s="194" t="s">
        <v>175</v>
      </c>
      <c r="M2200" s="194" t="s">
        <v>169</v>
      </c>
      <c r="N2200" s="52" t="str">
        <f>IF(AND('331-CT'!$E$7=TH!H2200,OR(L2200="331",M2200="331")),"331",IF(AND(OR(L2200="131",M2200="131"),H2200='131-CT'!$E$7),"131",""))</f>
        <v/>
      </c>
      <c r="O2200" s="89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8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471"/>
        <v>8</v>
      </c>
      <c r="C2201" s="37">
        <f t="shared" si="473"/>
        <v>41871</v>
      </c>
      <c r="D2201" s="37" t="s">
        <v>1379</v>
      </c>
      <c r="E2201" s="724">
        <v>41871</v>
      </c>
      <c r="F2201" s="189" t="s">
        <v>637</v>
      </c>
      <c r="G2201" s="40" t="s">
        <v>638</v>
      </c>
      <c r="H2201" s="7" t="s">
        <v>1372</v>
      </c>
      <c r="I2201" s="251">
        <v>500</v>
      </c>
      <c r="J2201" s="251">
        <v>8816.0011213830221</v>
      </c>
      <c r="K2201" s="563">
        <f t="shared" si="472"/>
        <v>4408001</v>
      </c>
      <c r="L2201" s="194" t="s">
        <v>175</v>
      </c>
      <c r="M2201" s="194" t="s">
        <v>169</v>
      </c>
      <c r="N2201" s="52" t="str">
        <f>IF(AND('331-CT'!$E$7=TH!H2201,OR(L2201="331",M2201="331")),"331",IF(AND(OR(L2201="131",M2201="131"),H2201='131-CT'!$E$7),"131",""))</f>
        <v/>
      </c>
      <c r="O2201" s="89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8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471"/>
        <v>8</v>
      </c>
      <c r="C2202" s="37">
        <f t="shared" si="473"/>
        <v>41871</v>
      </c>
      <c r="D2202" s="37" t="s">
        <v>1379</v>
      </c>
      <c r="E2202" s="191">
        <v>41871</v>
      </c>
      <c r="F2202" s="192" t="s">
        <v>639</v>
      </c>
      <c r="G2202" s="463" t="s">
        <v>640</v>
      </c>
      <c r="H2202" s="7" t="s">
        <v>1372</v>
      </c>
      <c r="I2202" s="251">
        <v>550</v>
      </c>
      <c r="J2202" s="251">
        <v>4163.1116406530937</v>
      </c>
      <c r="K2202" s="563">
        <f t="shared" si="472"/>
        <v>2289711</v>
      </c>
      <c r="L2202" s="194" t="s">
        <v>175</v>
      </c>
      <c r="M2202" s="194" t="s">
        <v>169</v>
      </c>
      <c r="N2202" s="52" t="str">
        <f>IF(AND('331-CT'!$E$7=TH!H2202,OR(L2202="331",M2202="331")),"331",IF(AND(OR(L2202="131",M2202="131"),H2202='131-CT'!$E$7),"131",""))</f>
        <v/>
      </c>
      <c r="O2202" s="89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8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471"/>
        <v>8</v>
      </c>
      <c r="C2203" s="37">
        <f t="shared" si="473"/>
        <v>41872</v>
      </c>
      <c r="D2203" s="37" t="s">
        <v>1379</v>
      </c>
      <c r="E2203" s="191">
        <v>41872</v>
      </c>
      <c r="F2203" s="192" t="s">
        <v>483</v>
      </c>
      <c r="G2203" s="463" t="s">
        <v>642</v>
      </c>
      <c r="H2203" s="7" t="s">
        <v>1372</v>
      </c>
      <c r="I2203" s="251">
        <v>196</v>
      </c>
      <c r="J2203" s="251">
        <v>10938.371761715971</v>
      </c>
      <c r="K2203" s="563">
        <f t="shared" si="472"/>
        <v>2143921</v>
      </c>
      <c r="L2203" s="194" t="s">
        <v>175</v>
      </c>
      <c r="M2203" s="194" t="s">
        <v>169</v>
      </c>
      <c r="N2203" s="52" t="str">
        <f>IF(AND('331-CT'!$E$7=TH!H2203,OR(L2203="331",M2203="331")),"331",IF(AND(OR(L2203="131",M2203="131"),H2203='131-CT'!$E$7),"131",""))</f>
        <v/>
      </c>
      <c r="O2203" s="89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8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471"/>
        <v>8</v>
      </c>
      <c r="C2204" s="37">
        <f t="shared" si="473"/>
        <v>41872</v>
      </c>
      <c r="D2204" s="37" t="s">
        <v>1379</v>
      </c>
      <c r="E2204" s="191">
        <v>41872</v>
      </c>
      <c r="F2204" s="192" t="s">
        <v>568</v>
      </c>
      <c r="G2204" s="463" t="s">
        <v>642</v>
      </c>
      <c r="H2204" s="7" t="s">
        <v>1372</v>
      </c>
      <c r="I2204" s="251">
        <v>200</v>
      </c>
      <c r="J2204" s="251">
        <v>7918.0750812421575</v>
      </c>
      <c r="K2204" s="563">
        <f t="shared" si="472"/>
        <v>1583615</v>
      </c>
      <c r="L2204" s="194" t="s">
        <v>175</v>
      </c>
      <c r="M2204" s="194" t="s">
        <v>169</v>
      </c>
      <c r="N2204" s="52" t="str">
        <f>IF(AND('331-CT'!$E$7=TH!H2204,OR(L2204="331",M2204="331")),"331",IF(AND(OR(L2204="131",M2204="131"),H2204='131-CT'!$E$7),"131",""))</f>
        <v/>
      </c>
      <c r="O2204" s="89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8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471"/>
        <v>8</v>
      </c>
      <c r="C2205" s="37">
        <f t="shared" si="473"/>
        <v>41873</v>
      </c>
      <c r="D2205" s="37" t="s">
        <v>1379</v>
      </c>
      <c r="E2205" s="191">
        <v>41873</v>
      </c>
      <c r="F2205" s="192" t="s">
        <v>466</v>
      </c>
      <c r="G2205" s="463" t="s">
        <v>643</v>
      </c>
      <c r="H2205" s="7" t="s">
        <v>1372</v>
      </c>
      <c r="I2205" s="251">
        <v>1480</v>
      </c>
      <c r="J2205" s="251">
        <v>4244.7412806658995</v>
      </c>
      <c r="K2205" s="563">
        <f t="shared" si="472"/>
        <v>6282217</v>
      </c>
      <c r="L2205" s="194" t="s">
        <v>175</v>
      </c>
      <c r="M2205" s="194" t="s">
        <v>169</v>
      </c>
      <c r="N2205" s="52" t="str">
        <f>IF(AND('331-CT'!$E$7=TH!H2205,OR(L2205="331",M2205="331")),"331",IF(AND(OR(L2205="131",M2205="131"),H2205='131-CT'!$E$7),"131",""))</f>
        <v/>
      </c>
      <c r="O2205" s="89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8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471"/>
        <v>8</v>
      </c>
      <c r="C2206" s="37">
        <f t="shared" si="473"/>
        <v>41873</v>
      </c>
      <c r="D2206" s="37" t="s">
        <v>1379</v>
      </c>
      <c r="E2206" s="191">
        <v>41873</v>
      </c>
      <c r="F2206" s="192" t="s">
        <v>644</v>
      </c>
      <c r="G2206" s="463" t="s">
        <v>645</v>
      </c>
      <c r="H2206" s="7" t="s">
        <v>1372</v>
      </c>
      <c r="I2206" s="251">
        <v>498</v>
      </c>
      <c r="J2206" s="251">
        <v>23590.965963700863</v>
      </c>
      <c r="K2206" s="563">
        <f t="shared" si="472"/>
        <v>11748301</v>
      </c>
      <c r="L2206" s="194" t="s">
        <v>175</v>
      </c>
      <c r="M2206" s="194" t="s">
        <v>169</v>
      </c>
      <c r="N2206" s="52" t="str">
        <f>IF(AND('331-CT'!$E$7=TH!H2206,OR(L2206="331",M2206="331")),"331",IF(AND(OR(L2206="131",M2206="131"),H2206='131-CT'!$E$7),"131",""))</f>
        <v/>
      </c>
      <c r="O2206" s="89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8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471"/>
        <v>8</v>
      </c>
      <c r="C2207" s="37">
        <f t="shared" si="473"/>
        <v>41873</v>
      </c>
      <c r="D2207" s="37" t="s">
        <v>1379</v>
      </c>
      <c r="E2207" s="191">
        <v>41873</v>
      </c>
      <c r="F2207" s="192" t="s">
        <v>647</v>
      </c>
      <c r="G2207" s="463" t="s">
        <v>645</v>
      </c>
      <c r="H2207" s="7" t="s">
        <v>1372</v>
      </c>
      <c r="I2207" s="251">
        <v>690</v>
      </c>
      <c r="J2207" s="251">
        <v>22693.039923559998</v>
      </c>
      <c r="K2207" s="563">
        <f t="shared" si="472"/>
        <v>15658198</v>
      </c>
      <c r="L2207" s="194" t="s">
        <v>175</v>
      </c>
      <c r="M2207" s="194" t="s">
        <v>169</v>
      </c>
      <c r="N2207" s="52" t="str">
        <f>IF(AND('331-CT'!$E$7=TH!H2207,OR(L2207="331",M2207="331")),"331",IF(AND(OR(L2207="131",M2207="131"),H2207='131-CT'!$E$7),"131",""))</f>
        <v/>
      </c>
      <c r="O2207" s="89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8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471"/>
        <v>8</v>
      </c>
      <c r="C2208" s="37">
        <f t="shared" si="473"/>
        <v>41873</v>
      </c>
      <c r="D2208" s="37" t="s">
        <v>1379</v>
      </c>
      <c r="E2208" s="191">
        <v>41873</v>
      </c>
      <c r="F2208" s="192" t="s">
        <v>647</v>
      </c>
      <c r="G2208" s="463" t="s">
        <v>645</v>
      </c>
      <c r="H2208" s="7" t="s">
        <v>1372</v>
      </c>
      <c r="I2208" s="251">
        <v>130</v>
      </c>
      <c r="J2208" s="251">
        <v>22693.039923559998</v>
      </c>
      <c r="K2208" s="563">
        <f t="shared" si="472"/>
        <v>2950095</v>
      </c>
      <c r="L2208" s="194" t="s">
        <v>175</v>
      </c>
      <c r="M2208" s="194" t="s">
        <v>169</v>
      </c>
      <c r="N2208" s="52" t="str">
        <f>IF(AND('331-CT'!$E$7=TH!H2208,OR(L2208="331",M2208="331")),"331",IF(AND(OR(L2208="131",M2208="131"),H2208='131-CT'!$E$7),"131",""))</f>
        <v/>
      </c>
      <c r="O2208" s="89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8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471"/>
        <v>8</v>
      </c>
      <c r="C2209" s="37">
        <f t="shared" si="473"/>
        <v>41873</v>
      </c>
      <c r="D2209" s="37" t="s">
        <v>1379</v>
      </c>
      <c r="E2209" s="191">
        <v>41873</v>
      </c>
      <c r="F2209" s="192" t="s">
        <v>648</v>
      </c>
      <c r="G2209" s="463" t="s">
        <v>645</v>
      </c>
      <c r="H2209" s="7" t="s">
        <v>1372</v>
      </c>
      <c r="I2209" s="251">
        <v>1000</v>
      </c>
      <c r="J2209" s="251">
        <v>14121.927722215394</v>
      </c>
      <c r="K2209" s="563">
        <f t="shared" si="472"/>
        <v>14121928</v>
      </c>
      <c r="L2209" s="194" t="s">
        <v>175</v>
      </c>
      <c r="M2209" s="194" t="s">
        <v>169</v>
      </c>
      <c r="N2209" s="52" t="str">
        <f>IF(AND('331-CT'!$E$7=TH!H2209,OR(L2209="331",M2209="331")),"331",IF(AND(OR(L2209="131",M2209="131"),H2209='131-CT'!$E$7),"131",""))</f>
        <v/>
      </c>
      <c r="O2209" s="89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8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471"/>
        <v>8</v>
      </c>
      <c r="C2210" s="37">
        <f t="shared" si="473"/>
        <v>41873</v>
      </c>
      <c r="D2210" s="37" t="s">
        <v>1379</v>
      </c>
      <c r="E2210" s="191">
        <v>41873</v>
      </c>
      <c r="F2210" s="192" t="s">
        <v>649</v>
      </c>
      <c r="G2210" s="463" t="s">
        <v>645</v>
      </c>
      <c r="H2210" s="7" t="s">
        <v>1372</v>
      </c>
      <c r="I2210" s="251">
        <v>425</v>
      </c>
      <c r="J2210" s="251">
        <v>22774.669563572803</v>
      </c>
      <c r="K2210" s="563">
        <f t="shared" si="472"/>
        <v>9679235</v>
      </c>
      <c r="L2210" s="194" t="s">
        <v>175</v>
      </c>
      <c r="M2210" s="194" t="s">
        <v>169</v>
      </c>
      <c r="N2210" s="52" t="str">
        <f>IF(AND('331-CT'!$E$7=TH!H2210,OR(L2210="331",M2210="331")),"331",IF(AND(OR(L2210="131",M2210="131"),H2210='131-CT'!$E$7),"131",""))</f>
        <v/>
      </c>
      <c r="O2210" s="89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8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471"/>
        <v>8</v>
      </c>
      <c r="C2211" s="37">
        <f t="shared" si="473"/>
        <v>41873</v>
      </c>
      <c r="D2211" s="37" t="s">
        <v>1379</v>
      </c>
      <c r="E2211" s="191">
        <v>41873</v>
      </c>
      <c r="F2211" s="192" t="s">
        <v>649</v>
      </c>
      <c r="G2211" s="463" t="s">
        <v>645</v>
      </c>
      <c r="H2211" s="7" t="s">
        <v>1372</v>
      </c>
      <c r="I2211" s="251">
        <v>322</v>
      </c>
      <c r="J2211" s="251">
        <v>22774.669563572803</v>
      </c>
      <c r="K2211" s="563">
        <f t="shared" si="472"/>
        <v>7333444</v>
      </c>
      <c r="L2211" s="194" t="s">
        <v>175</v>
      </c>
      <c r="M2211" s="194" t="s">
        <v>169</v>
      </c>
      <c r="N2211" s="52" t="str">
        <f>IF(AND('331-CT'!$E$7=TH!H2211,OR(L2211="331",M2211="331")),"331",IF(AND(OR(L2211="131",M2211="131"),H2211='131-CT'!$E$7),"131",""))</f>
        <v/>
      </c>
      <c r="O2211" s="89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8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471"/>
        <v>8</v>
      </c>
      <c r="C2212" s="37">
        <f t="shared" si="473"/>
        <v>41876</v>
      </c>
      <c r="D2212" s="37" t="s">
        <v>1379</v>
      </c>
      <c r="E2212" s="191">
        <v>41876</v>
      </c>
      <c r="F2212" s="192" t="s">
        <v>1206</v>
      </c>
      <c r="G2212" s="463" t="s">
        <v>651</v>
      </c>
      <c r="H2212" s="7" t="s">
        <v>1372</v>
      </c>
      <c r="I2212" s="251">
        <v>600</v>
      </c>
      <c r="J2212" s="251">
        <v>9305.7789614598551</v>
      </c>
      <c r="K2212" s="563">
        <f t="shared" si="472"/>
        <v>5583467</v>
      </c>
      <c r="L2212" s="194" t="s">
        <v>175</v>
      </c>
      <c r="M2212" s="194" t="s">
        <v>169</v>
      </c>
      <c r="N2212" s="52" t="str">
        <f>IF(AND('331-CT'!$E$7=TH!H2212,OR(L2212="331",M2212="331")),"331",IF(AND(OR(L2212="131",M2212="131"),H2212='131-CT'!$E$7),"131",""))</f>
        <v/>
      </c>
      <c r="O2212" s="89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8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471"/>
        <v>8</v>
      </c>
      <c r="C2213" s="37">
        <f t="shared" si="473"/>
        <v>41876</v>
      </c>
      <c r="D2213" s="37" t="s">
        <v>1379</v>
      </c>
      <c r="E2213" s="191">
        <v>41876</v>
      </c>
      <c r="F2213" s="192" t="s">
        <v>445</v>
      </c>
      <c r="G2213" s="463" t="s">
        <v>651</v>
      </c>
      <c r="H2213" s="7" t="s">
        <v>1372</v>
      </c>
      <c r="I2213" s="251">
        <v>1200</v>
      </c>
      <c r="J2213" s="251">
        <v>816.29640012805748</v>
      </c>
      <c r="K2213" s="563">
        <f t="shared" si="472"/>
        <v>979556</v>
      </c>
      <c r="L2213" s="194" t="s">
        <v>175</v>
      </c>
      <c r="M2213" s="194" t="s">
        <v>169</v>
      </c>
      <c r="N2213" s="52" t="str">
        <f>IF(AND('331-CT'!$E$7=TH!H2213,OR(L2213="331",M2213="331")),"331",IF(AND(OR(L2213="131",M2213="131"),H2213='131-CT'!$E$7),"131",""))</f>
        <v/>
      </c>
      <c r="O2213" s="89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8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471"/>
        <v>8</v>
      </c>
      <c r="C2214" s="37">
        <f t="shared" si="473"/>
        <v>41876</v>
      </c>
      <c r="D2214" s="37" t="s">
        <v>1379</v>
      </c>
      <c r="E2214" s="191">
        <v>41876</v>
      </c>
      <c r="F2214" s="192" t="s">
        <v>652</v>
      </c>
      <c r="G2214" s="463" t="s">
        <v>653</v>
      </c>
      <c r="H2214" s="7" t="s">
        <v>1372</v>
      </c>
      <c r="I2214" s="251">
        <v>8160</v>
      </c>
      <c r="J2214" s="251">
        <v>6040.5933609476251</v>
      </c>
      <c r="K2214" s="563">
        <f t="shared" si="472"/>
        <v>49291242</v>
      </c>
      <c r="L2214" s="194" t="s">
        <v>175</v>
      </c>
      <c r="M2214" s="194" t="s">
        <v>169</v>
      </c>
      <c r="N2214" s="52" t="str">
        <f>IF(AND('331-CT'!$E$7=TH!H2214,OR(L2214="331",M2214="331")),"331",IF(AND(OR(L2214="131",M2214="131"),H2214='131-CT'!$E$7),"131",""))</f>
        <v/>
      </c>
      <c r="O2214" s="89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8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ref="B2215:B2278" si="474">IF(C2215&lt;&gt;"",MONTH(C2215),"")</f>
        <v>8</v>
      </c>
      <c r="C2215" s="37">
        <f t="shared" si="473"/>
        <v>41876</v>
      </c>
      <c r="D2215" s="37" t="s">
        <v>1379</v>
      </c>
      <c r="E2215" s="191">
        <v>41876</v>
      </c>
      <c r="F2215" s="192" t="s">
        <v>655</v>
      </c>
      <c r="G2215" s="463" t="s">
        <v>656</v>
      </c>
      <c r="H2215" s="7" t="s">
        <v>1372</v>
      </c>
      <c r="I2215" s="251">
        <v>626</v>
      </c>
      <c r="J2215" s="251">
        <v>11264.890321767192</v>
      </c>
      <c r="K2215" s="563">
        <f t="shared" ref="K2215:K2278" si="475">ROUND(I2215*J2215,0)</f>
        <v>7051821</v>
      </c>
      <c r="L2215" s="194" t="s">
        <v>175</v>
      </c>
      <c r="M2215" s="194" t="s">
        <v>169</v>
      </c>
      <c r="N2215" s="52" t="str">
        <f>IF(AND('331-CT'!$E$7=TH!H2215,OR(L2215="331",M2215="331")),"331",IF(AND(OR(L2215="131",M2215="131"),H2215='131-CT'!$E$7),"131",""))</f>
        <v/>
      </c>
      <c r="O2215" s="89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8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474"/>
        <v>8</v>
      </c>
      <c r="C2216" s="37">
        <f t="shared" ref="C2216:C2279" si="476">E2216</f>
        <v>41876</v>
      </c>
      <c r="D2216" s="37" t="s">
        <v>1379</v>
      </c>
      <c r="E2216" s="191">
        <v>41876</v>
      </c>
      <c r="F2216" s="192" t="s">
        <v>657</v>
      </c>
      <c r="G2216" s="463" t="s">
        <v>656</v>
      </c>
      <c r="H2216" s="7" t="s">
        <v>1372</v>
      </c>
      <c r="I2216" s="251">
        <v>160</v>
      </c>
      <c r="J2216" s="251">
        <v>8244.5936412933806</v>
      </c>
      <c r="K2216" s="563">
        <f t="shared" si="475"/>
        <v>1319135</v>
      </c>
      <c r="L2216" s="194" t="s">
        <v>175</v>
      </c>
      <c r="M2216" s="194" t="s">
        <v>169</v>
      </c>
      <c r="N2216" s="52" t="str">
        <f>IF(AND('331-CT'!$E$7=TH!H2216,OR(L2216="331",M2216="331")),"331",IF(AND(OR(L2216="131",M2216="131"),H2216='131-CT'!$E$7),"131",""))</f>
        <v/>
      </c>
      <c r="O2216" s="89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8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474"/>
        <v>8</v>
      </c>
      <c r="C2217" s="37">
        <f t="shared" si="476"/>
        <v>41876</v>
      </c>
      <c r="D2217" s="37" t="s">
        <v>1379</v>
      </c>
      <c r="E2217" s="191">
        <v>41876</v>
      </c>
      <c r="F2217" s="192" t="s">
        <v>623</v>
      </c>
      <c r="G2217" s="463" t="s">
        <v>656</v>
      </c>
      <c r="H2217" s="7" t="s">
        <v>1372</v>
      </c>
      <c r="I2217" s="251">
        <v>1900</v>
      </c>
      <c r="J2217" s="251">
        <v>489.77784007683448</v>
      </c>
      <c r="K2217" s="563">
        <f t="shared" si="475"/>
        <v>930578</v>
      </c>
      <c r="L2217" s="194" t="s">
        <v>175</v>
      </c>
      <c r="M2217" s="194" t="s">
        <v>169</v>
      </c>
      <c r="N2217" s="52" t="str">
        <f>IF(AND('331-CT'!$E$7=TH!H2217,OR(L2217="331",M2217="331")),"331",IF(AND(OR(L2217="131",M2217="131"),H2217='131-CT'!$E$7),"131",""))</f>
        <v/>
      </c>
      <c r="O2217" s="89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8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474"/>
        <v>8</v>
      </c>
      <c r="C2218" s="37">
        <f t="shared" si="476"/>
        <v>41877</v>
      </c>
      <c r="D2218" s="37" t="s">
        <v>1379</v>
      </c>
      <c r="E2218" s="191">
        <v>41877</v>
      </c>
      <c r="F2218" s="192" t="s">
        <v>600</v>
      </c>
      <c r="G2218" s="463" t="s">
        <v>658</v>
      </c>
      <c r="H2218" s="7" t="s">
        <v>1372</v>
      </c>
      <c r="I2218" s="251">
        <v>612</v>
      </c>
      <c r="J2218" s="251">
        <v>10366.964281626329</v>
      </c>
      <c r="K2218" s="563">
        <f t="shared" si="475"/>
        <v>6344582</v>
      </c>
      <c r="L2218" s="194" t="s">
        <v>175</v>
      </c>
      <c r="M2218" s="194" t="s">
        <v>169</v>
      </c>
      <c r="N2218" s="52" t="str">
        <f>IF(AND('331-CT'!$E$7=TH!H2218,OR(L2218="331",M2218="331")),"331",IF(AND(OR(L2218="131",M2218="131"),H2218='131-CT'!$E$7),"131",""))</f>
        <v/>
      </c>
      <c r="O2218" s="89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8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474"/>
        <v>8</v>
      </c>
      <c r="C2219" s="37">
        <f t="shared" si="476"/>
        <v>41877</v>
      </c>
      <c r="D2219" s="37" t="s">
        <v>1379</v>
      </c>
      <c r="E2219" s="191">
        <v>41877</v>
      </c>
      <c r="F2219" s="192" t="s">
        <v>603</v>
      </c>
      <c r="G2219" s="463" t="s">
        <v>658</v>
      </c>
      <c r="H2219" s="7" t="s">
        <v>1372</v>
      </c>
      <c r="I2219" s="251">
        <v>267</v>
      </c>
      <c r="J2219" s="251">
        <v>9469.0382414854666</v>
      </c>
      <c r="K2219" s="563">
        <f t="shared" si="475"/>
        <v>2528233</v>
      </c>
      <c r="L2219" s="194" t="s">
        <v>175</v>
      </c>
      <c r="M2219" s="194" t="s">
        <v>169</v>
      </c>
      <c r="N2219" s="52" t="str">
        <f>IF(AND('331-CT'!$E$7=TH!H2219,OR(L2219="331",M2219="331")),"331",IF(AND(OR(L2219="131",M2219="131"),H2219='131-CT'!$E$7),"131",""))</f>
        <v/>
      </c>
      <c r="O2219" s="89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8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474"/>
        <v>8</v>
      </c>
      <c r="C2220" s="37">
        <f t="shared" si="476"/>
        <v>41877</v>
      </c>
      <c r="D2220" s="37" t="s">
        <v>1379</v>
      </c>
      <c r="E2220" s="191">
        <v>41877</v>
      </c>
      <c r="F2220" s="192" t="s">
        <v>600</v>
      </c>
      <c r="G2220" s="463" t="s">
        <v>658</v>
      </c>
      <c r="H2220" s="7" t="s">
        <v>1372</v>
      </c>
      <c r="I2220" s="251">
        <v>77</v>
      </c>
      <c r="J2220" s="251">
        <v>10366.964281626329</v>
      </c>
      <c r="K2220" s="563">
        <f t="shared" si="475"/>
        <v>798256</v>
      </c>
      <c r="L2220" s="194" t="s">
        <v>175</v>
      </c>
      <c r="M2220" s="194" t="s">
        <v>169</v>
      </c>
      <c r="N2220" s="52" t="str">
        <f>IF(AND('331-CT'!$E$7=TH!H2220,OR(L2220="331",M2220="331")),"331",IF(AND(OR(L2220="131",M2220="131"),H2220='131-CT'!$E$7),"131",""))</f>
        <v/>
      </c>
      <c r="O2220" s="89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8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474"/>
        <v>8</v>
      </c>
      <c r="C2221" s="37">
        <f t="shared" si="476"/>
        <v>41877</v>
      </c>
      <c r="D2221" s="37" t="s">
        <v>1379</v>
      </c>
      <c r="E2221" s="724">
        <v>41877</v>
      </c>
      <c r="F2221" s="40" t="s">
        <v>623</v>
      </c>
      <c r="G2221" s="40" t="s">
        <v>658</v>
      </c>
      <c r="H2221" s="7" t="s">
        <v>1372</v>
      </c>
      <c r="I2221" s="251">
        <v>2400</v>
      </c>
      <c r="J2221" s="251">
        <v>489.77784007683448</v>
      </c>
      <c r="K2221" s="563">
        <f t="shared" si="475"/>
        <v>1175467</v>
      </c>
      <c r="L2221" s="194" t="s">
        <v>175</v>
      </c>
      <c r="M2221" s="194" t="s">
        <v>169</v>
      </c>
      <c r="N2221" s="52" t="str">
        <f>IF(AND('331-CT'!$E$7=TH!H2221,OR(L2221="331",M2221="331")),"331",IF(AND(OR(L2221="131",M2221="131"),H2221='131-CT'!$E$7),"131",""))</f>
        <v/>
      </c>
      <c r="O2221" s="89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8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474"/>
        <v>8</v>
      </c>
      <c r="C2222" s="37">
        <f t="shared" si="476"/>
        <v>41878</v>
      </c>
      <c r="D2222" s="37" t="s">
        <v>1379</v>
      </c>
      <c r="E2222" s="724">
        <v>41878</v>
      </c>
      <c r="F2222" s="40" t="s">
        <v>515</v>
      </c>
      <c r="G2222" s="40" t="s">
        <v>659</v>
      </c>
      <c r="H2222" s="7" t="s">
        <v>1372</v>
      </c>
      <c r="I2222" s="251">
        <v>981</v>
      </c>
      <c r="J2222" s="251">
        <v>9387.4086014726599</v>
      </c>
      <c r="K2222" s="563">
        <f t="shared" si="475"/>
        <v>9209048</v>
      </c>
      <c r="L2222" s="194" t="s">
        <v>175</v>
      </c>
      <c r="M2222" s="194" t="s">
        <v>169</v>
      </c>
      <c r="N2222" s="52" t="str">
        <f>IF(AND('331-CT'!$E$7=TH!H2222,OR(L2222="331",M2222="331")),"331",IF(AND(OR(L2222="131",M2222="131"),H2222='131-CT'!$E$7),"131",""))</f>
        <v/>
      </c>
      <c r="O2222" s="89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8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474"/>
        <v>8</v>
      </c>
      <c r="C2223" s="37">
        <f t="shared" si="476"/>
        <v>41879</v>
      </c>
      <c r="D2223" s="37" t="s">
        <v>1379</v>
      </c>
      <c r="E2223" s="724">
        <v>41879</v>
      </c>
      <c r="F2223" s="40" t="s">
        <v>1199</v>
      </c>
      <c r="G2223" s="40" t="s">
        <v>660</v>
      </c>
      <c r="H2223" s="7" t="s">
        <v>1372</v>
      </c>
      <c r="I2223" s="251">
        <v>1200</v>
      </c>
      <c r="J2223" s="251">
        <v>1306.074240204892</v>
      </c>
      <c r="K2223" s="563">
        <f t="shared" si="475"/>
        <v>1567289</v>
      </c>
      <c r="L2223" s="194" t="s">
        <v>175</v>
      </c>
      <c r="M2223" s="194" t="s">
        <v>169</v>
      </c>
      <c r="N2223" s="52" t="str">
        <f>IF(AND('331-CT'!$E$7=TH!H2223,OR(L2223="331",M2223="331")),"331",IF(AND(OR(L2223="131",M2223="131"),H2223='131-CT'!$E$7),"131",""))</f>
        <v/>
      </c>
      <c r="O2223" s="89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8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474"/>
        <v>8</v>
      </c>
      <c r="C2224" s="37">
        <f t="shared" si="476"/>
        <v>41879</v>
      </c>
      <c r="D2224" s="37" t="s">
        <v>1379</v>
      </c>
      <c r="E2224" s="724">
        <v>41879</v>
      </c>
      <c r="F2224" s="40" t="s">
        <v>1200</v>
      </c>
      <c r="G2224" s="40" t="s">
        <v>660</v>
      </c>
      <c r="H2224" s="7" t="s">
        <v>1372</v>
      </c>
      <c r="I2224" s="251">
        <v>400</v>
      </c>
      <c r="J2224" s="251">
        <v>3836.59308060187</v>
      </c>
      <c r="K2224" s="563">
        <f t="shared" si="475"/>
        <v>1534637</v>
      </c>
      <c r="L2224" s="194" t="s">
        <v>175</v>
      </c>
      <c r="M2224" s="194" t="s">
        <v>169</v>
      </c>
      <c r="N2224" s="52" t="str">
        <f>IF(AND('331-CT'!$E$7=TH!H2224,OR(L2224="331",M2224="331")),"331",IF(AND(OR(L2224="131",M2224="131"),H2224='131-CT'!$E$7),"131",""))</f>
        <v/>
      </c>
      <c r="O2224" s="89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8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474"/>
        <v>9</v>
      </c>
      <c r="C2225" s="37">
        <f t="shared" si="476"/>
        <v>41883</v>
      </c>
      <c r="D2225" s="37" t="s">
        <v>1379</v>
      </c>
      <c r="E2225" s="724">
        <v>41883</v>
      </c>
      <c r="F2225" s="40" t="s">
        <v>664</v>
      </c>
      <c r="G2225" s="40" t="s">
        <v>665</v>
      </c>
      <c r="H2225" s="7" t="s">
        <v>1372</v>
      </c>
      <c r="I2225" s="251">
        <v>509</v>
      </c>
      <c r="J2225" s="251">
        <v>6367.1119209988483</v>
      </c>
      <c r="K2225" s="563">
        <f t="shared" si="475"/>
        <v>3240860</v>
      </c>
      <c r="L2225" s="194" t="s">
        <v>175</v>
      </c>
      <c r="M2225" s="194" t="s">
        <v>169</v>
      </c>
      <c r="N2225" s="52" t="str">
        <f>IF(AND('331-CT'!$E$7=TH!H2225,OR(L2225="331",M2225="331")),"331",IF(AND(OR(L2225="131",M2225="131"),H2225='131-CT'!$E$7),"131",""))</f>
        <v/>
      </c>
      <c r="O2225" s="89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8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474"/>
        <v>9</v>
      </c>
      <c r="C2226" s="37">
        <f t="shared" si="476"/>
        <v>41883</v>
      </c>
      <c r="D2226" s="37" t="s">
        <v>1379</v>
      </c>
      <c r="E2226" s="724">
        <v>41883</v>
      </c>
      <c r="F2226" s="40" t="s">
        <v>666</v>
      </c>
      <c r="G2226" s="40" t="s">
        <v>665</v>
      </c>
      <c r="H2226" s="7" t="s">
        <v>1372</v>
      </c>
      <c r="I2226" s="251">
        <v>210</v>
      </c>
      <c r="J2226" s="251">
        <v>6040.5933609476251</v>
      </c>
      <c r="K2226" s="563">
        <f t="shared" si="475"/>
        <v>1268525</v>
      </c>
      <c r="L2226" s="194" t="s">
        <v>175</v>
      </c>
      <c r="M2226" s="194" t="s">
        <v>169</v>
      </c>
      <c r="N2226" s="52" t="str">
        <f>IF(AND('331-CT'!$E$7=TH!H2226,OR(L2226="331",M2226="331")),"331",IF(AND(OR(L2226="131",M2226="131"),H2226='131-CT'!$E$7),"131",""))</f>
        <v/>
      </c>
      <c r="O2226" s="89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8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474"/>
        <v>9</v>
      </c>
      <c r="C2227" s="37">
        <f t="shared" si="476"/>
        <v>41883</v>
      </c>
      <c r="D2227" s="37" t="s">
        <v>1379</v>
      </c>
      <c r="E2227" s="724">
        <v>41883</v>
      </c>
      <c r="F2227" s="40" t="s">
        <v>600</v>
      </c>
      <c r="G2227" s="40" t="s">
        <v>667</v>
      </c>
      <c r="H2227" s="7" t="s">
        <v>1372</v>
      </c>
      <c r="I2227" s="251">
        <v>1116</v>
      </c>
      <c r="J2227" s="251">
        <v>10366.964281626329</v>
      </c>
      <c r="K2227" s="563">
        <f t="shared" si="475"/>
        <v>11569532</v>
      </c>
      <c r="L2227" s="194" t="s">
        <v>175</v>
      </c>
      <c r="M2227" s="194" t="s">
        <v>169</v>
      </c>
      <c r="N2227" s="52" t="str">
        <f>IF(AND('331-CT'!$E$7=TH!H2227,OR(L2227="331",M2227="331")),"331",IF(AND(OR(L2227="131",M2227="131"),H2227='131-CT'!$E$7),"131",""))</f>
        <v/>
      </c>
      <c r="O2227" s="89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8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474"/>
        <v>9</v>
      </c>
      <c r="C2228" s="37">
        <f t="shared" si="476"/>
        <v>41883</v>
      </c>
      <c r="D2228" s="37" t="s">
        <v>1379</v>
      </c>
      <c r="E2228" s="724">
        <v>41883</v>
      </c>
      <c r="F2228" s="40" t="s">
        <v>662</v>
      </c>
      <c r="G2228" s="40" t="s">
        <v>667</v>
      </c>
      <c r="H2228" s="7" t="s">
        <v>1372</v>
      </c>
      <c r="I2228" s="251">
        <v>1273</v>
      </c>
      <c r="J2228" s="251">
        <v>7836.4454412293517</v>
      </c>
      <c r="K2228" s="563">
        <f t="shared" si="475"/>
        <v>9975795</v>
      </c>
      <c r="L2228" s="194" t="s">
        <v>175</v>
      </c>
      <c r="M2228" s="194" t="s">
        <v>169</v>
      </c>
      <c r="N2228" s="52" t="str">
        <f>IF(AND('331-CT'!$E$7=TH!H2228,OR(L2228="331",M2228="331")),"331",IF(AND(OR(L2228="131",M2228="131"),H2228='131-CT'!$E$7),"131",""))</f>
        <v/>
      </c>
      <c r="O2228" s="89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8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474"/>
        <v>9</v>
      </c>
      <c r="C2229" s="37">
        <f t="shared" si="476"/>
        <v>41883</v>
      </c>
      <c r="D2229" s="37" t="s">
        <v>1379</v>
      </c>
      <c r="E2229" s="724">
        <v>41883</v>
      </c>
      <c r="F2229" s="40" t="s">
        <v>603</v>
      </c>
      <c r="G2229" s="40" t="s">
        <v>667</v>
      </c>
      <c r="H2229" s="7" t="s">
        <v>1372</v>
      </c>
      <c r="I2229" s="251">
        <v>373</v>
      </c>
      <c r="J2229" s="251">
        <v>9469.0382414854666</v>
      </c>
      <c r="K2229" s="563">
        <f t="shared" si="475"/>
        <v>3531951</v>
      </c>
      <c r="L2229" s="194" t="s">
        <v>175</v>
      </c>
      <c r="M2229" s="194" t="s">
        <v>169</v>
      </c>
      <c r="N2229" s="52" t="str">
        <f>IF(AND('331-CT'!$E$7=TH!H2229,OR(L2229="331",M2229="331")),"331",IF(AND(OR(L2229="131",M2229="131"),H2229='131-CT'!$E$7),"131",""))</f>
        <v/>
      </c>
      <c r="O2229" s="89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8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474"/>
        <v>9</v>
      </c>
      <c r="C2230" s="37">
        <f t="shared" si="476"/>
        <v>41883</v>
      </c>
      <c r="D2230" s="37" t="s">
        <v>1379</v>
      </c>
      <c r="E2230" s="724">
        <v>41883</v>
      </c>
      <c r="F2230" s="40" t="s">
        <v>663</v>
      </c>
      <c r="G2230" s="40" t="s">
        <v>667</v>
      </c>
      <c r="H2230" s="7" t="s">
        <v>1372</v>
      </c>
      <c r="I2230" s="251">
        <v>176</v>
      </c>
      <c r="J2230" s="251">
        <v>10856.742121703164</v>
      </c>
      <c r="K2230" s="563">
        <f t="shared" si="475"/>
        <v>1910787</v>
      </c>
      <c r="L2230" s="194" t="s">
        <v>175</v>
      </c>
      <c r="M2230" s="194" t="s">
        <v>169</v>
      </c>
      <c r="N2230" s="52" t="str">
        <f>IF(AND('331-CT'!$E$7=TH!H2230,OR(L2230="331",M2230="331")),"331",IF(AND(OR(L2230="131",M2230="131"),H2230='131-CT'!$E$7),"131",""))</f>
        <v/>
      </c>
      <c r="O2230" s="89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8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474"/>
        <v>9</v>
      </c>
      <c r="C2231" s="37">
        <f t="shared" si="476"/>
        <v>41883</v>
      </c>
      <c r="D2231" s="37" t="s">
        <v>1379</v>
      </c>
      <c r="E2231" s="724">
        <v>41883</v>
      </c>
      <c r="F2231" s="40" t="s">
        <v>623</v>
      </c>
      <c r="G2231" s="40" t="s">
        <v>667</v>
      </c>
      <c r="H2231" s="7" t="s">
        <v>1372</v>
      </c>
      <c r="I2231" s="251">
        <v>4500</v>
      </c>
      <c r="J2231" s="251">
        <v>489.77784007683448</v>
      </c>
      <c r="K2231" s="563">
        <f t="shared" si="475"/>
        <v>2204000</v>
      </c>
      <c r="L2231" s="194" t="s">
        <v>175</v>
      </c>
      <c r="M2231" s="194" t="s">
        <v>169</v>
      </c>
      <c r="N2231" s="52" t="str">
        <f>IF(AND('331-CT'!$E$7=TH!H2231,OR(L2231="331",M2231="331")),"331",IF(AND(OR(L2231="131",M2231="131"),H2231='131-CT'!$E$7),"131",""))</f>
        <v/>
      </c>
      <c r="O2231" s="89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8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474"/>
        <v>9</v>
      </c>
      <c r="C2232" s="37">
        <f t="shared" si="476"/>
        <v>41883</v>
      </c>
      <c r="D2232" s="37" t="s">
        <v>1379</v>
      </c>
      <c r="E2232" s="724">
        <v>41883</v>
      </c>
      <c r="F2232" s="40" t="s">
        <v>668</v>
      </c>
      <c r="G2232" s="40" t="s">
        <v>669</v>
      </c>
      <c r="H2232" s="7" t="s">
        <v>1372</v>
      </c>
      <c r="I2232" s="251">
        <v>500</v>
      </c>
      <c r="J2232" s="251">
        <v>5550.8155208707913</v>
      </c>
      <c r="K2232" s="563">
        <f t="shared" si="475"/>
        <v>2775408</v>
      </c>
      <c r="L2232" s="194" t="s">
        <v>175</v>
      </c>
      <c r="M2232" s="194" t="s">
        <v>169</v>
      </c>
      <c r="N2232" s="52" t="str">
        <f>IF(AND('331-CT'!$E$7=TH!H2232,OR(L2232="331",M2232="331")),"331",IF(AND(OR(L2232="131",M2232="131"),H2232='131-CT'!$E$7),"131",""))</f>
        <v/>
      </c>
      <c r="O2232" s="89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8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474"/>
        <v>9</v>
      </c>
      <c r="C2233" s="37">
        <f t="shared" si="476"/>
        <v>41886</v>
      </c>
      <c r="D2233" s="37" t="s">
        <v>1379</v>
      </c>
      <c r="E2233" s="724">
        <v>41886</v>
      </c>
      <c r="F2233" s="40" t="s">
        <v>670</v>
      </c>
      <c r="G2233" s="40" t="s">
        <v>671</v>
      </c>
      <c r="H2233" s="7" t="s">
        <v>1372</v>
      </c>
      <c r="I2233" s="251">
        <v>711</v>
      </c>
      <c r="J2233" s="251">
        <v>7346.6676011525178</v>
      </c>
      <c r="K2233" s="563">
        <f t="shared" si="475"/>
        <v>5223481</v>
      </c>
      <c r="L2233" s="194" t="s">
        <v>175</v>
      </c>
      <c r="M2233" s="194" t="s">
        <v>169</v>
      </c>
      <c r="N2233" s="52" t="str">
        <f>IF(AND('331-CT'!$E$7=TH!H2233,OR(L2233="331",M2233="331")),"331",IF(AND(OR(L2233="131",M2233="131"),H2233='131-CT'!$E$7),"131",""))</f>
        <v/>
      </c>
      <c r="O2233" s="89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8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474"/>
        <v>9</v>
      </c>
      <c r="C2234" s="37">
        <f t="shared" si="476"/>
        <v>41886</v>
      </c>
      <c r="D2234" s="37" t="s">
        <v>1379</v>
      </c>
      <c r="E2234" s="724">
        <v>41886</v>
      </c>
      <c r="F2234" s="40" t="s">
        <v>483</v>
      </c>
      <c r="G2234" s="40" t="s">
        <v>673</v>
      </c>
      <c r="H2234" s="7" t="s">
        <v>1372</v>
      </c>
      <c r="I2234" s="251">
        <v>197</v>
      </c>
      <c r="J2234" s="251">
        <v>10938.371761715971</v>
      </c>
      <c r="K2234" s="563">
        <f t="shared" si="475"/>
        <v>2154859</v>
      </c>
      <c r="L2234" s="194" t="s">
        <v>175</v>
      </c>
      <c r="M2234" s="194" t="s">
        <v>169</v>
      </c>
      <c r="N2234" s="52" t="str">
        <f>IF(AND('331-CT'!$E$7=TH!H2234,OR(L2234="331",M2234="331")),"331",IF(AND(OR(L2234="131",M2234="131"),H2234='131-CT'!$E$7),"131",""))</f>
        <v/>
      </c>
      <c r="O2234" s="89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8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474"/>
        <v>9</v>
      </c>
      <c r="C2235" s="37">
        <f t="shared" si="476"/>
        <v>41886</v>
      </c>
      <c r="D2235" s="37" t="s">
        <v>1379</v>
      </c>
      <c r="E2235" s="724">
        <v>41886</v>
      </c>
      <c r="F2235" s="40" t="s">
        <v>486</v>
      </c>
      <c r="G2235" s="40" t="s">
        <v>673</v>
      </c>
      <c r="H2235" s="7" t="s">
        <v>1372</v>
      </c>
      <c r="I2235" s="251">
        <v>307</v>
      </c>
      <c r="J2235" s="251">
        <v>7265.037961139712</v>
      </c>
      <c r="K2235" s="563">
        <f t="shared" si="475"/>
        <v>2230367</v>
      </c>
      <c r="L2235" s="194" t="s">
        <v>175</v>
      </c>
      <c r="M2235" s="194" t="s">
        <v>169</v>
      </c>
      <c r="N2235" s="52" t="str">
        <f>IF(AND('331-CT'!$E$7=TH!H2235,OR(L2235="331",M2235="331")),"331",IF(AND(OR(L2235="131",M2235="131"),H2235='131-CT'!$E$7),"131",""))</f>
        <v/>
      </c>
      <c r="O2235" s="89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8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474"/>
        <v>9</v>
      </c>
      <c r="C2236" s="37">
        <f t="shared" si="476"/>
        <v>41890</v>
      </c>
      <c r="D2236" s="37" t="s">
        <v>1379</v>
      </c>
      <c r="E2236" s="724">
        <v>41890</v>
      </c>
      <c r="F2236" s="40" t="s">
        <v>674</v>
      </c>
      <c r="G2236" s="40" t="s">
        <v>675</v>
      </c>
      <c r="H2236" s="7" t="s">
        <v>1372</v>
      </c>
      <c r="I2236" s="251">
        <v>860</v>
      </c>
      <c r="J2236" s="251">
        <v>14774.964842317841</v>
      </c>
      <c r="K2236" s="563">
        <f t="shared" si="475"/>
        <v>12706470</v>
      </c>
      <c r="L2236" s="194" t="s">
        <v>175</v>
      </c>
      <c r="M2236" s="194" t="s">
        <v>169</v>
      </c>
      <c r="N2236" s="52" t="str">
        <f>IF(AND('331-CT'!$E$7=TH!H2236,OR(L2236="331",M2236="331")),"331",IF(AND(OR(L2236="131",M2236="131"),H2236='131-CT'!$E$7),"131",""))</f>
        <v/>
      </c>
      <c r="O2236" s="89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8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474"/>
        <v>9</v>
      </c>
      <c r="C2237" s="37">
        <f t="shared" si="476"/>
        <v>41890</v>
      </c>
      <c r="D2237" s="37" t="s">
        <v>1379</v>
      </c>
      <c r="E2237" s="724">
        <v>41890</v>
      </c>
      <c r="F2237" s="40" t="s">
        <v>663</v>
      </c>
      <c r="G2237" s="40" t="s">
        <v>676</v>
      </c>
      <c r="H2237" s="7" t="s">
        <v>1372</v>
      </c>
      <c r="I2237" s="251">
        <v>2153</v>
      </c>
      <c r="J2237" s="251">
        <v>10856.742121703164</v>
      </c>
      <c r="K2237" s="563">
        <f t="shared" si="475"/>
        <v>23374566</v>
      </c>
      <c r="L2237" s="194" t="s">
        <v>175</v>
      </c>
      <c r="M2237" s="194" t="s">
        <v>169</v>
      </c>
      <c r="N2237" s="52" t="str">
        <f>IF(AND('331-CT'!$E$7=TH!H2237,OR(L2237="331",M2237="331")),"331",IF(AND(OR(L2237="131",M2237="131"),H2237='131-CT'!$E$7),"131",""))</f>
        <v/>
      </c>
      <c r="O2237" s="89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8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474"/>
        <v>9</v>
      </c>
      <c r="C2238" s="37">
        <f t="shared" si="476"/>
        <v>41890</v>
      </c>
      <c r="D2238" s="37" t="s">
        <v>1379</v>
      </c>
      <c r="E2238" s="724">
        <v>41890</v>
      </c>
      <c r="F2238" s="40" t="s">
        <v>623</v>
      </c>
      <c r="G2238" s="40" t="s">
        <v>676</v>
      </c>
      <c r="H2238" s="7" t="s">
        <v>1372</v>
      </c>
      <c r="I2238" s="251">
        <v>2000</v>
      </c>
      <c r="J2238" s="251">
        <v>489.77784007683448</v>
      </c>
      <c r="K2238" s="563">
        <f t="shared" si="475"/>
        <v>979556</v>
      </c>
      <c r="L2238" s="194" t="s">
        <v>175</v>
      </c>
      <c r="M2238" s="194" t="s">
        <v>169</v>
      </c>
      <c r="N2238" s="52" t="str">
        <f>IF(AND('331-CT'!$E$7=TH!H2238,OR(L2238="331",M2238="331")),"331",IF(AND(OR(L2238="131",M2238="131"),H2238='131-CT'!$E$7),"131",""))</f>
        <v/>
      </c>
      <c r="O2238" s="89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8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474"/>
        <v>9</v>
      </c>
      <c r="C2239" s="37">
        <f t="shared" si="476"/>
        <v>41890</v>
      </c>
      <c r="D2239" s="37" t="s">
        <v>1379</v>
      </c>
      <c r="E2239" s="724">
        <v>41890</v>
      </c>
      <c r="F2239" s="192" t="s">
        <v>1157</v>
      </c>
      <c r="G2239" s="463" t="s">
        <v>677</v>
      </c>
      <c r="H2239" s="7" t="s">
        <v>1372</v>
      </c>
      <c r="I2239" s="251">
        <v>1000</v>
      </c>
      <c r="J2239" s="251">
        <v>816.29640012805748</v>
      </c>
      <c r="K2239" s="563">
        <f t="shared" si="475"/>
        <v>816296</v>
      </c>
      <c r="L2239" s="194" t="s">
        <v>175</v>
      </c>
      <c r="M2239" s="194" t="s">
        <v>169</v>
      </c>
      <c r="N2239" s="52" t="str">
        <f>IF(AND('331-CT'!$E$7=TH!H2239,OR(L2239="331",M2239="331")),"331",IF(AND(OR(L2239="131",M2239="131"),H2239='131-CT'!$E$7),"131",""))</f>
        <v/>
      </c>
      <c r="O2239" s="89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8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474"/>
        <v>9</v>
      </c>
      <c r="C2240" s="37">
        <f t="shared" si="476"/>
        <v>41894</v>
      </c>
      <c r="D2240" s="37" t="s">
        <v>1379</v>
      </c>
      <c r="E2240" s="722">
        <v>41894</v>
      </c>
      <c r="F2240" s="774" t="s">
        <v>593</v>
      </c>
      <c r="G2240" s="463" t="s">
        <v>679</v>
      </c>
      <c r="H2240" s="7" t="s">
        <v>1372</v>
      </c>
      <c r="I2240" s="251">
        <v>210</v>
      </c>
      <c r="J2240" s="251">
        <v>24407.262363828919</v>
      </c>
      <c r="K2240" s="563">
        <f t="shared" si="475"/>
        <v>5125525</v>
      </c>
      <c r="L2240" s="194" t="s">
        <v>175</v>
      </c>
      <c r="M2240" s="194" t="s">
        <v>169</v>
      </c>
      <c r="N2240" s="52" t="str">
        <f>IF(AND('331-CT'!$E$7=TH!H2240,OR(L2240="331",M2240="331")),"331",IF(AND(OR(L2240="131",M2240="131"),H2240='131-CT'!$E$7),"131",""))</f>
        <v/>
      </c>
      <c r="O2240" s="89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8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474"/>
        <v>9</v>
      </c>
      <c r="C2241" s="37">
        <f t="shared" si="476"/>
        <v>41895</v>
      </c>
      <c r="D2241" s="37" t="s">
        <v>1379</v>
      </c>
      <c r="E2241" s="722">
        <v>41895</v>
      </c>
      <c r="F2241" s="774" t="s">
        <v>1206</v>
      </c>
      <c r="G2241" s="463" t="s">
        <v>680</v>
      </c>
      <c r="H2241" s="7" t="s">
        <v>1372</v>
      </c>
      <c r="I2241" s="251">
        <v>200</v>
      </c>
      <c r="J2241" s="251">
        <v>9305.7789614598551</v>
      </c>
      <c r="K2241" s="563">
        <f t="shared" si="475"/>
        <v>1861156</v>
      </c>
      <c r="L2241" s="194" t="s">
        <v>175</v>
      </c>
      <c r="M2241" s="194" t="s">
        <v>169</v>
      </c>
      <c r="N2241" s="52" t="str">
        <f>IF(AND('331-CT'!$E$7=TH!H2241,OR(L2241="331",M2241="331")),"331",IF(AND(OR(L2241="131",M2241="131"),H2241='131-CT'!$E$7),"131",""))</f>
        <v/>
      </c>
      <c r="O2241" s="89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8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474"/>
        <v>9</v>
      </c>
      <c r="C2242" s="37">
        <f t="shared" si="476"/>
        <v>41895</v>
      </c>
      <c r="D2242" s="37" t="s">
        <v>1379</v>
      </c>
      <c r="E2242" s="722">
        <v>41895</v>
      </c>
      <c r="F2242" s="192" t="s">
        <v>1206</v>
      </c>
      <c r="G2242" s="463" t="s">
        <v>680</v>
      </c>
      <c r="H2242" s="7" t="s">
        <v>1372</v>
      </c>
      <c r="I2242" s="251">
        <v>989</v>
      </c>
      <c r="J2242" s="251">
        <v>9305.7789614598551</v>
      </c>
      <c r="K2242" s="563">
        <f t="shared" si="475"/>
        <v>9203415</v>
      </c>
      <c r="L2242" s="194" t="s">
        <v>175</v>
      </c>
      <c r="M2242" s="194" t="s">
        <v>169</v>
      </c>
      <c r="N2242" s="52" t="str">
        <f>IF(AND('331-CT'!$E$7=TH!H2242,OR(L2242="331",M2242="331")),"331",IF(AND(OR(L2242="131",M2242="131"),H2242='131-CT'!$E$7),"131",""))</f>
        <v/>
      </c>
      <c r="O2242" s="89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8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474"/>
        <v>9</v>
      </c>
      <c r="C2243" s="37">
        <f t="shared" si="476"/>
        <v>41895</v>
      </c>
      <c r="D2243" s="37" t="s">
        <v>1379</v>
      </c>
      <c r="E2243" s="722">
        <v>41895</v>
      </c>
      <c r="F2243" s="192" t="s">
        <v>445</v>
      </c>
      <c r="G2243" s="463" t="s">
        <v>680</v>
      </c>
      <c r="H2243" s="7" t="s">
        <v>1372</v>
      </c>
      <c r="I2243" s="251">
        <v>2400</v>
      </c>
      <c r="J2243" s="251">
        <v>816.29640012805748</v>
      </c>
      <c r="K2243" s="563">
        <f t="shared" si="475"/>
        <v>1959111</v>
      </c>
      <c r="L2243" s="194" t="s">
        <v>175</v>
      </c>
      <c r="M2243" s="194" t="s">
        <v>169</v>
      </c>
      <c r="N2243" s="52" t="str">
        <f>IF(AND('331-CT'!$E$7=TH!H2243,OR(L2243="331",M2243="331")),"331",IF(AND(OR(L2243="131",M2243="131"),H2243='131-CT'!$E$7),"131",""))</f>
        <v/>
      </c>
      <c r="O2243" s="89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8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474"/>
        <v>9</v>
      </c>
      <c r="C2244" s="37">
        <f t="shared" si="476"/>
        <v>41897</v>
      </c>
      <c r="D2244" s="37" t="s">
        <v>1379</v>
      </c>
      <c r="E2244" s="724">
        <v>41897</v>
      </c>
      <c r="F2244" s="192" t="s">
        <v>436</v>
      </c>
      <c r="G2244" s="463" t="s">
        <v>681</v>
      </c>
      <c r="H2244" s="7" t="s">
        <v>1372</v>
      </c>
      <c r="I2244" s="251">
        <v>495</v>
      </c>
      <c r="J2244" s="251">
        <v>7754.8158012165459</v>
      </c>
      <c r="K2244" s="563">
        <f t="shared" si="475"/>
        <v>3838634</v>
      </c>
      <c r="L2244" s="194" t="s">
        <v>175</v>
      </c>
      <c r="M2244" s="194" t="s">
        <v>169</v>
      </c>
      <c r="N2244" s="52" t="str">
        <f>IF(AND('331-CT'!$E$7=TH!H2244,OR(L2244="331",M2244="331")),"331",IF(AND(OR(L2244="131",M2244="131"),H2244='131-CT'!$E$7),"131",""))</f>
        <v/>
      </c>
      <c r="O2244" s="89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8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474"/>
        <v>9</v>
      </c>
      <c r="C2245" s="37">
        <f t="shared" si="476"/>
        <v>41898</v>
      </c>
      <c r="D2245" s="37" t="s">
        <v>1379</v>
      </c>
      <c r="E2245" s="724">
        <v>41898</v>
      </c>
      <c r="F2245" s="192" t="s">
        <v>682</v>
      </c>
      <c r="G2245" s="463" t="s">
        <v>683</v>
      </c>
      <c r="H2245" s="7" t="s">
        <v>1372</v>
      </c>
      <c r="I2245" s="251">
        <v>451</v>
      </c>
      <c r="J2245" s="251">
        <v>24897.040203905752</v>
      </c>
      <c r="K2245" s="563">
        <f t="shared" si="475"/>
        <v>11228565</v>
      </c>
      <c r="L2245" s="194" t="s">
        <v>175</v>
      </c>
      <c r="M2245" s="194" t="s">
        <v>169</v>
      </c>
      <c r="N2245" s="52" t="str">
        <f>IF(AND('331-CT'!$E$7=TH!H2245,OR(L2245="331",M2245="331")),"331",IF(AND(OR(L2245="131",M2245="131"),H2245='131-CT'!$E$7),"131",""))</f>
        <v/>
      </c>
      <c r="O2245" s="89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8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474"/>
        <v>9</v>
      </c>
      <c r="C2246" s="37">
        <f t="shared" si="476"/>
        <v>41898</v>
      </c>
      <c r="D2246" s="37" t="s">
        <v>1379</v>
      </c>
      <c r="E2246" s="724">
        <v>41898</v>
      </c>
      <c r="F2246" s="192" t="s">
        <v>746</v>
      </c>
      <c r="G2246" s="463" t="s">
        <v>683</v>
      </c>
      <c r="H2246" s="7" t="s">
        <v>1372</v>
      </c>
      <c r="I2246" s="251">
        <v>902</v>
      </c>
      <c r="J2246" s="251">
        <v>1224.4446001920862</v>
      </c>
      <c r="K2246" s="563">
        <f t="shared" si="475"/>
        <v>1104449</v>
      </c>
      <c r="L2246" s="194" t="s">
        <v>175</v>
      </c>
      <c r="M2246" s="194" t="s">
        <v>169</v>
      </c>
      <c r="N2246" s="52" t="str">
        <f>IF(AND('331-CT'!$E$7=TH!H2246,OR(L2246="331",M2246="331")),"331",IF(AND(OR(L2246="131",M2246="131"),H2246='131-CT'!$E$7),"131",""))</f>
        <v/>
      </c>
      <c r="O2246" s="89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8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474"/>
        <v>9</v>
      </c>
      <c r="C2247" s="37">
        <f t="shared" si="476"/>
        <v>41898</v>
      </c>
      <c r="D2247" s="37" t="s">
        <v>1379</v>
      </c>
      <c r="E2247" s="724">
        <v>41898</v>
      </c>
      <c r="F2247" s="192" t="s">
        <v>663</v>
      </c>
      <c r="G2247" s="463" t="s">
        <v>685</v>
      </c>
      <c r="H2247" s="7" t="s">
        <v>1372</v>
      </c>
      <c r="I2247" s="251">
        <v>175</v>
      </c>
      <c r="J2247" s="251">
        <v>10856.742121703164</v>
      </c>
      <c r="K2247" s="563">
        <f t="shared" si="475"/>
        <v>1899930</v>
      </c>
      <c r="L2247" s="194" t="s">
        <v>175</v>
      </c>
      <c r="M2247" s="194" t="s">
        <v>169</v>
      </c>
      <c r="N2247" s="52" t="str">
        <f>IF(AND('331-CT'!$E$7=TH!H2247,OR(L2247="331",M2247="331")),"331",IF(AND(OR(L2247="131",M2247="131"),H2247='131-CT'!$E$7),"131",""))</f>
        <v/>
      </c>
      <c r="O2247" s="89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8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si="474"/>
        <v>9</v>
      </c>
      <c r="C2248" s="37">
        <f t="shared" si="476"/>
        <v>41898</v>
      </c>
      <c r="D2248" s="37" t="s">
        <v>1379</v>
      </c>
      <c r="E2248" s="724">
        <v>41898</v>
      </c>
      <c r="F2248" s="774" t="s">
        <v>663</v>
      </c>
      <c r="G2248" s="463" t="s">
        <v>685</v>
      </c>
      <c r="H2248" s="7" t="s">
        <v>1372</v>
      </c>
      <c r="I2248" s="251">
        <v>1686</v>
      </c>
      <c r="J2248" s="251">
        <v>10856.742121703164</v>
      </c>
      <c r="K2248" s="563">
        <f t="shared" si="475"/>
        <v>18304467</v>
      </c>
      <c r="L2248" s="194" t="s">
        <v>175</v>
      </c>
      <c r="M2248" s="194" t="s">
        <v>169</v>
      </c>
      <c r="N2248" s="52" t="str">
        <f>IF(AND('331-CT'!$E$7=TH!H2248,OR(L2248="331",M2248="331")),"331",IF(AND(OR(L2248="131",M2248="131"),H2248='131-CT'!$E$7),"131",""))</f>
        <v/>
      </c>
      <c r="O2248" s="89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8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474"/>
        <v>9</v>
      </c>
      <c r="C2249" s="37">
        <f t="shared" si="476"/>
        <v>41898</v>
      </c>
      <c r="D2249" s="37" t="s">
        <v>1379</v>
      </c>
      <c r="E2249" s="724">
        <v>41898</v>
      </c>
      <c r="F2249" s="192" t="s">
        <v>662</v>
      </c>
      <c r="G2249" s="463" t="s">
        <v>685</v>
      </c>
      <c r="H2249" s="7" t="s">
        <v>1372</v>
      </c>
      <c r="I2249" s="251">
        <v>827</v>
      </c>
      <c r="J2249" s="251">
        <v>7836.4454412293517</v>
      </c>
      <c r="K2249" s="563">
        <f t="shared" si="475"/>
        <v>6480740</v>
      </c>
      <c r="L2249" s="194" t="s">
        <v>175</v>
      </c>
      <c r="M2249" s="194" t="s">
        <v>169</v>
      </c>
      <c r="N2249" s="52" t="str">
        <f>IF(AND('331-CT'!$E$7=TH!H2249,OR(L2249="331",M2249="331")),"331",IF(AND(OR(L2249="131",M2249="131"),H2249='131-CT'!$E$7),"131",""))</f>
        <v/>
      </c>
      <c r="O2249" s="89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8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474"/>
        <v>9</v>
      </c>
      <c r="C2250" s="37">
        <f t="shared" si="476"/>
        <v>41898</v>
      </c>
      <c r="D2250" s="37" t="s">
        <v>1379</v>
      </c>
      <c r="E2250" s="724">
        <v>41898</v>
      </c>
      <c r="F2250" s="192" t="s">
        <v>662</v>
      </c>
      <c r="G2250" s="463" t="s">
        <v>685</v>
      </c>
      <c r="H2250" s="7" t="s">
        <v>1372</v>
      </c>
      <c r="I2250" s="251">
        <v>1700</v>
      </c>
      <c r="J2250" s="251">
        <v>7836.4454412293517</v>
      </c>
      <c r="K2250" s="563">
        <f t="shared" si="475"/>
        <v>13321957</v>
      </c>
      <c r="L2250" s="194" t="s">
        <v>175</v>
      </c>
      <c r="M2250" s="194" t="s">
        <v>169</v>
      </c>
      <c r="N2250" s="52" t="str">
        <f>IF(AND('331-CT'!$E$7=TH!H2250,OR(L2250="331",M2250="331")),"331",IF(AND(OR(L2250="131",M2250="131"),H2250='131-CT'!$E$7),"131",""))</f>
        <v/>
      </c>
      <c r="O2250" s="89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8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474"/>
        <v>9</v>
      </c>
      <c r="C2251" s="37">
        <f t="shared" si="476"/>
        <v>41898</v>
      </c>
      <c r="D2251" s="37" t="s">
        <v>1379</v>
      </c>
      <c r="E2251" s="724">
        <v>41898</v>
      </c>
      <c r="F2251" s="192" t="s">
        <v>623</v>
      </c>
      <c r="G2251" s="463" t="s">
        <v>685</v>
      </c>
      <c r="H2251" s="7" t="s">
        <v>1372</v>
      </c>
      <c r="I2251" s="251">
        <v>10500</v>
      </c>
      <c r="J2251" s="251">
        <v>489.77784007683448</v>
      </c>
      <c r="K2251" s="563">
        <f t="shared" si="475"/>
        <v>5142667</v>
      </c>
      <c r="L2251" s="194" t="s">
        <v>175</v>
      </c>
      <c r="M2251" s="194" t="s">
        <v>169</v>
      </c>
      <c r="N2251" s="52" t="str">
        <f>IF(AND('331-CT'!$E$7=TH!H2251,OR(L2251="331",M2251="331")),"331",IF(AND(OR(L2251="131",M2251="131"),H2251='131-CT'!$E$7),"131",""))</f>
        <v/>
      </c>
      <c r="O2251" s="89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8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474"/>
        <v>9</v>
      </c>
      <c r="C2252" s="37">
        <f t="shared" si="476"/>
        <v>41899</v>
      </c>
      <c r="D2252" s="37" t="s">
        <v>1379</v>
      </c>
      <c r="E2252" s="724">
        <v>41899</v>
      </c>
      <c r="F2252" s="192" t="s">
        <v>686</v>
      </c>
      <c r="G2252" s="463" t="s">
        <v>687</v>
      </c>
      <c r="H2252" s="7" t="s">
        <v>1372</v>
      </c>
      <c r="I2252" s="251">
        <v>833</v>
      </c>
      <c r="J2252" s="251">
        <v>19019.706122983738</v>
      </c>
      <c r="K2252" s="563">
        <f t="shared" si="475"/>
        <v>15843415</v>
      </c>
      <c r="L2252" s="194" t="s">
        <v>175</v>
      </c>
      <c r="M2252" s="194" t="s">
        <v>169</v>
      </c>
      <c r="N2252" s="52" t="str">
        <f>IF(AND('331-CT'!$E$7=TH!H2252,OR(L2252="331",M2252="331")),"331",IF(AND(OR(L2252="131",M2252="131"),H2252='131-CT'!$E$7),"131",""))</f>
        <v/>
      </c>
      <c r="O2252" s="89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8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474"/>
        <v>9</v>
      </c>
      <c r="C2253" s="37">
        <f t="shared" si="476"/>
        <v>41900</v>
      </c>
      <c r="D2253" s="37" t="s">
        <v>1379</v>
      </c>
      <c r="E2253" s="724">
        <v>41900</v>
      </c>
      <c r="F2253" s="192" t="s">
        <v>487</v>
      </c>
      <c r="G2253" s="463" t="s">
        <v>689</v>
      </c>
      <c r="H2253" s="7" t="s">
        <v>1372</v>
      </c>
      <c r="I2253" s="251">
        <v>195</v>
      </c>
      <c r="J2253" s="251">
        <v>7591.5565211909352</v>
      </c>
      <c r="K2253" s="563">
        <f t="shared" si="475"/>
        <v>1480354</v>
      </c>
      <c r="L2253" s="194" t="s">
        <v>175</v>
      </c>
      <c r="M2253" s="194" t="s">
        <v>169</v>
      </c>
      <c r="N2253" s="52" t="str">
        <f>IF(AND('331-CT'!$E$7=TH!H2253,OR(L2253="331",M2253="331")),"331",IF(AND(OR(L2253="131",M2253="131"),H2253='131-CT'!$E$7),"131",""))</f>
        <v/>
      </c>
      <c r="O2253" s="89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8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474"/>
        <v>9</v>
      </c>
      <c r="C2254" s="37">
        <f t="shared" si="476"/>
        <v>41900</v>
      </c>
      <c r="D2254" s="37" t="s">
        <v>1379</v>
      </c>
      <c r="E2254" s="724">
        <v>41900</v>
      </c>
      <c r="F2254" s="192" t="s">
        <v>494</v>
      </c>
      <c r="G2254" s="463" t="s">
        <v>689</v>
      </c>
      <c r="H2254" s="7" t="s">
        <v>1372</v>
      </c>
      <c r="I2254" s="251">
        <v>300</v>
      </c>
      <c r="J2254" s="251">
        <v>7101.7786811141004</v>
      </c>
      <c r="K2254" s="563">
        <f t="shared" si="475"/>
        <v>2130534</v>
      </c>
      <c r="L2254" s="194" t="s">
        <v>175</v>
      </c>
      <c r="M2254" s="194" t="s">
        <v>169</v>
      </c>
      <c r="N2254" s="52" t="str">
        <f>IF(AND('331-CT'!$E$7=TH!H2254,OR(L2254="331",M2254="331")),"331",IF(AND(OR(L2254="131",M2254="131"),H2254='131-CT'!$E$7),"131",""))</f>
        <v/>
      </c>
      <c r="O2254" s="89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8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474"/>
        <v>9</v>
      </c>
      <c r="C2255" s="37">
        <f t="shared" si="476"/>
        <v>41904</v>
      </c>
      <c r="D2255" s="37" t="s">
        <v>1379</v>
      </c>
      <c r="E2255" s="724">
        <v>41904</v>
      </c>
      <c r="F2255" s="192" t="s">
        <v>690</v>
      </c>
      <c r="G2255" s="463" t="s">
        <v>691</v>
      </c>
      <c r="H2255" s="7" t="s">
        <v>1372</v>
      </c>
      <c r="I2255" s="251">
        <v>314</v>
      </c>
      <c r="J2255" s="251">
        <v>5958.9637209348193</v>
      </c>
      <c r="K2255" s="563">
        <f t="shared" si="475"/>
        <v>1871115</v>
      </c>
      <c r="L2255" s="194" t="s">
        <v>175</v>
      </c>
      <c r="M2255" s="194" t="s">
        <v>169</v>
      </c>
      <c r="N2255" s="52" t="str">
        <f>IF(AND('331-CT'!$E$7=TH!H2255,OR(L2255="331",M2255="331")),"331",IF(AND(OR(L2255="131",M2255="131"),H2255='131-CT'!$E$7),"131",""))</f>
        <v/>
      </c>
      <c r="O2255" s="89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8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474"/>
        <v>9</v>
      </c>
      <c r="C2256" s="37">
        <f t="shared" si="476"/>
        <v>41904</v>
      </c>
      <c r="D2256" s="37" t="s">
        <v>1379</v>
      </c>
      <c r="E2256" s="724">
        <v>41904</v>
      </c>
      <c r="F2256" s="192" t="s">
        <v>692</v>
      </c>
      <c r="G2256" s="463" t="s">
        <v>691</v>
      </c>
      <c r="H2256" s="7" t="s">
        <v>1372</v>
      </c>
      <c r="I2256" s="251">
        <v>103</v>
      </c>
      <c r="J2256" s="251">
        <v>5305.9266008323739</v>
      </c>
      <c r="K2256" s="563">
        <f t="shared" si="475"/>
        <v>546510</v>
      </c>
      <c r="L2256" s="194" t="s">
        <v>175</v>
      </c>
      <c r="M2256" s="194" t="s">
        <v>169</v>
      </c>
      <c r="N2256" s="52" t="str">
        <f>IF(AND('331-CT'!$E$7=TH!H2256,OR(L2256="331",M2256="331")),"331",IF(AND(OR(L2256="131",M2256="131"),H2256='131-CT'!$E$7),"131",""))</f>
        <v/>
      </c>
      <c r="O2256" s="89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8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474"/>
        <v>9</v>
      </c>
      <c r="C2257" s="37">
        <f t="shared" si="476"/>
        <v>41904</v>
      </c>
      <c r="D2257" s="37" t="s">
        <v>1379</v>
      </c>
      <c r="E2257" s="184">
        <v>41904</v>
      </c>
      <c r="F2257" s="189" t="s">
        <v>693</v>
      </c>
      <c r="G2257" s="565" t="s">
        <v>691</v>
      </c>
      <c r="H2257" s="7" t="s">
        <v>1372</v>
      </c>
      <c r="I2257" s="251">
        <v>497</v>
      </c>
      <c r="J2257" s="251">
        <v>4408.0005606915111</v>
      </c>
      <c r="K2257" s="563">
        <f t="shared" si="475"/>
        <v>2190776</v>
      </c>
      <c r="L2257" s="194" t="s">
        <v>175</v>
      </c>
      <c r="M2257" s="194" t="s">
        <v>169</v>
      </c>
      <c r="N2257" s="52" t="str">
        <f>IF(AND('331-CT'!$E$7=TH!H2257,OR(L2257="331",M2257="331")),"331",IF(AND(OR(L2257="131",M2257="131"),H2257='131-CT'!$E$7),"131",""))</f>
        <v/>
      </c>
      <c r="O2257" s="89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8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474"/>
        <v>9</v>
      </c>
      <c r="C2258" s="37">
        <f t="shared" si="476"/>
        <v>41904</v>
      </c>
      <c r="D2258" s="37" t="s">
        <v>1379</v>
      </c>
      <c r="E2258" s="191">
        <v>41904</v>
      </c>
      <c r="F2258" s="192" t="s">
        <v>694</v>
      </c>
      <c r="G2258" s="463" t="s">
        <v>691</v>
      </c>
      <c r="H2258" s="7" t="s">
        <v>1372</v>
      </c>
      <c r="I2258" s="251">
        <v>300</v>
      </c>
      <c r="J2258" s="251">
        <v>3836.59308060187</v>
      </c>
      <c r="K2258" s="563">
        <f t="shared" si="475"/>
        <v>1150978</v>
      </c>
      <c r="L2258" s="194" t="s">
        <v>175</v>
      </c>
      <c r="M2258" s="194" t="s">
        <v>169</v>
      </c>
      <c r="N2258" s="52" t="str">
        <f>IF(AND('331-CT'!$E$7=TH!H2258,OR(L2258="331",M2258="331")),"331",IF(AND(OR(L2258="131",M2258="131"),H2258='131-CT'!$E$7),"131",""))</f>
        <v/>
      </c>
      <c r="O2258" s="89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8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474"/>
        <v>9</v>
      </c>
      <c r="C2259" s="37">
        <f t="shared" si="476"/>
        <v>41905</v>
      </c>
      <c r="D2259" s="37" t="s">
        <v>1379</v>
      </c>
      <c r="E2259" s="191">
        <v>41905</v>
      </c>
      <c r="F2259" s="192" t="s">
        <v>695</v>
      </c>
      <c r="G2259" s="463" t="s">
        <v>696</v>
      </c>
      <c r="H2259" s="7" t="s">
        <v>1372</v>
      </c>
      <c r="I2259" s="251">
        <v>184</v>
      </c>
      <c r="J2259" s="251">
        <v>19836.002523111798</v>
      </c>
      <c r="K2259" s="563">
        <f t="shared" si="475"/>
        <v>3649824</v>
      </c>
      <c r="L2259" s="194" t="s">
        <v>175</v>
      </c>
      <c r="M2259" s="194" t="s">
        <v>169</v>
      </c>
      <c r="N2259" s="52" t="str">
        <f>IF(AND('331-CT'!$E$7=TH!H2259,OR(L2259="331",M2259="331")),"331",IF(AND(OR(L2259="131",M2259="131"),H2259='131-CT'!$E$7),"131",""))</f>
        <v/>
      </c>
      <c r="O2259" s="89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8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si="474"/>
        <v>9</v>
      </c>
      <c r="C2260" s="37">
        <f t="shared" si="476"/>
        <v>41905</v>
      </c>
      <c r="D2260" s="37" t="s">
        <v>1379</v>
      </c>
      <c r="E2260" s="724">
        <v>41905</v>
      </c>
      <c r="F2260" s="40" t="s">
        <v>746</v>
      </c>
      <c r="G2260" s="40" t="s">
        <v>696</v>
      </c>
      <c r="H2260" s="7" t="s">
        <v>1372</v>
      </c>
      <c r="I2260" s="251">
        <v>368</v>
      </c>
      <c r="J2260" s="251">
        <v>1224.4446001920862</v>
      </c>
      <c r="K2260" s="563">
        <f t="shared" si="475"/>
        <v>450596</v>
      </c>
      <c r="L2260" s="194" t="s">
        <v>175</v>
      </c>
      <c r="M2260" s="194" t="s">
        <v>169</v>
      </c>
      <c r="N2260" s="52" t="str">
        <f>IF(AND('331-CT'!$E$7=TH!H2260,OR(L2260="331",M2260="331")),"331",IF(AND(OR(L2260="131",M2260="131"),H2260='131-CT'!$E$7),"131",""))</f>
        <v/>
      </c>
      <c r="O2260" s="89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8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474"/>
        <v>9</v>
      </c>
      <c r="C2261" s="37">
        <f t="shared" si="476"/>
        <v>41905</v>
      </c>
      <c r="D2261" s="37" t="s">
        <v>1379</v>
      </c>
      <c r="E2261" s="724">
        <v>41905</v>
      </c>
      <c r="F2261" s="40" t="s">
        <v>682</v>
      </c>
      <c r="G2261" s="40" t="s">
        <v>697</v>
      </c>
      <c r="H2261" s="7" t="s">
        <v>1372</v>
      </c>
      <c r="I2261" s="251">
        <v>13</v>
      </c>
      <c r="J2261" s="251">
        <v>24897.040203905752</v>
      </c>
      <c r="K2261" s="563">
        <f t="shared" si="475"/>
        <v>323662</v>
      </c>
      <c r="L2261" s="194" t="s">
        <v>175</v>
      </c>
      <c r="M2261" s="194" t="s">
        <v>169</v>
      </c>
      <c r="N2261" s="52" t="str">
        <f>IF(AND('331-CT'!$E$7=TH!H2261,OR(L2261="331",M2261="331")),"331",IF(AND(OR(L2261="131",M2261="131"),H2261='131-CT'!$E$7),"131",""))</f>
        <v/>
      </c>
      <c r="O2261" s="89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8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474"/>
        <v>9</v>
      </c>
      <c r="C2262" s="37">
        <f t="shared" si="476"/>
        <v>41907</v>
      </c>
      <c r="D2262" s="37" t="s">
        <v>1379</v>
      </c>
      <c r="E2262" s="724">
        <v>41907</v>
      </c>
      <c r="F2262" s="40" t="s">
        <v>515</v>
      </c>
      <c r="G2262" s="40" t="s">
        <v>698</v>
      </c>
      <c r="H2262" s="7" t="s">
        <v>1372</v>
      </c>
      <c r="I2262" s="251">
        <v>994</v>
      </c>
      <c r="J2262" s="251">
        <v>9387.4086014726599</v>
      </c>
      <c r="K2262" s="563">
        <f t="shared" si="475"/>
        <v>9331084</v>
      </c>
      <c r="L2262" s="194" t="s">
        <v>175</v>
      </c>
      <c r="M2262" s="194" t="s">
        <v>169</v>
      </c>
      <c r="N2262" s="52" t="str">
        <f>IF(AND('331-CT'!$E$7=TH!H2262,OR(L2262="331",M2262="331")),"331",IF(AND(OR(L2262="131",M2262="131"),H2262='131-CT'!$E$7),"131",""))</f>
        <v/>
      </c>
      <c r="O2262" s="89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8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si="474"/>
        <v>9</v>
      </c>
      <c r="C2263" s="37">
        <f t="shared" si="476"/>
        <v>41908</v>
      </c>
      <c r="D2263" s="37" t="s">
        <v>1379</v>
      </c>
      <c r="E2263" s="724">
        <v>41908</v>
      </c>
      <c r="F2263" s="189" t="s">
        <v>639</v>
      </c>
      <c r="G2263" s="40" t="s">
        <v>699</v>
      </c>
      <c r="H2263" s="7" t="s">
        <v>1372</v>
      </c>
      <c r="I2263" s="251">
        <v>1500</v>
      </c>
      <c r="J2263" s="251">
        <v>4163.1116406530937</v>
      </c>
      <c r="K2263" s="563">
        <f t="shared" si="475"/>
        <v>6244667</v>
      </c>
      <c r="L2263" s="194" t="s">
        <v>175</v>
      </c>
      <c r="M2263" s="194" t="s">
        <v>169</v>
      </c>
      <c r="N2263" s="52" t="str">
        <f>IF(AND('331-CT'!$E$7=TH!H2263,OR(L2263="331",M2263="331")),"331",IF(AND(OR(L2263="131",M2263="131"),H2263='131-CT'!$E$7),"131",""))</f>
        <v/>
      </c>
      <c r="O2263" s="89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8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474"/>
        <v>9</v>
      </c>
      <c r="C2264" s="37">
        <f t="shared" si="476"/>
        <v>41908</v>
      </c>
      <c r="D2264" s="37" t="s">
        <v>1379</v>
      </c>
      <c r="E2264" s="724">
        <v>41908</v>
      </c>
      <c r="F2264" s="40" t="s">
        <v>500</v>
      </c>
      <c r="G2264" s="40" t="s">
        <v>700</v>
      </c>
      <c r="H2264" s="7" t="s">
        <v>1372</v>
      </c>
      <c r="I2264" s="251">
        <v>399</v>
      </c>
      <c r="J2264" s="251">
        <v>6856.8897610756831</v>
      </c>
      <c r="K2264" s="563">
        <f t="shared" si="475"/>
        <v>2735899</v>
      </c>
      <c r="L2264" s="194" t="s">
        <v>175</v>
      </c>
      <c r="M2264" s="194" t="s">
        <v>169</v>
      </c>
      <c r="N2264" s="52" t="str">
        <f>IF(AND('331-CT'!$E$7=TH!H2264,OR(L2264="331",M2264="331")),"331",IF(AND(OR(L2264="131",M2264="131"),H2264='131-CT'!$E$7),"131",""))</f>
        <v/>
      </c>
      <c r="O2264" s="89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8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si="474"/>
        <v>9</v>
      </c>
      <c r="C2265" s="37">
        <f t="shared" si="476"/>
        <v>41908</v>
      </c>
      <c r="D2265" s="37" t="s">
        <v>1379</v>
      </c>
      <c r="E2265" s="724">
        <v>41908</v>
      </c>
      <c r="F2265" s="40" t="s">
        <v>503</v>
      </c>
      <c r="G2265" s="40" t="s">
        <v>700</v>
      </c>
      <c r="H2265" s="7" t="s">
        <v>1372</v>
      </c>
      <c r="I2265" s="251">
        <v>295</v>
      </c>
      <c r="J2265" s="251">
        <v>7346.6676011525178</v>
      </c>
      <c r="K2265" s="563">
        <f t="shared" si="475"/>
        <v>2167267</v>
      </c>
      <c r="L2265" s="194" t="s">
        <v>175</v>
      </c>
      <c r="M2265" s="194" t="s">
        <v>169</v>
      </c>
      <c r="N2265" s="52" t="str">
        <f>IF(AND('331-CT'!$E$7=TH!H2265,OR(L2265="331",M2265="331")),"331",IF(AND(OR(L2265="131",M2265="131"),H2265='131-CT'!$E$7),"131",""))</f>
        <v/>
      </c>
      <c r="O2265" s="89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8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474"/>
        <v>9</v>
      </c>
      <c r="C2266" s="37">
        <f t="shared" si="476"/>
        <v>41908</v>
      </c>
      <c r="D2266" s="37" t="s">
        <v>1379</v>
      </c>
      <c r="E2266" s="724">
        <v>41908</v>
      </c>
      <c r="F2266" s="40" t="s">
        <v>504</v>
      </c>
      <c r="G2266" s="40" t="s">
        <v>700</v>
      </c>
      <c r="H2266" s="7" t="s">
        <v>1372</v>
      </c>
      <c r="I2266" s="251">
        <v>200</v>
      </c>
      <c r="J2266" s="251">
        <v>7591.5565211909352</v>
      </c>
      <c r="K2266" s="563">
        <f t="shared" si="475"/>
        <v>1518311</v>
      </c>
      <c r="L2266" s="194" t="s">
        <v>175</v>
      </c>
      <c r="M2266" s="194" t="s">
        <v>169</v>
      </c>
      <c r="N2266" s="52" t="str">
        <f>IF(AND('331-CT'!$E$7=TH!H2266,OR(L2266="331",M2266="331")),"331",IF(AND(OR(L2266="131",M2266="131"),H2266='131-CT'!$E$7),"131",""))</f>
        <v/>
      </c>
      <c r="O2266" s="89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8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474"/>
        <v>9</v>
      </c>
      <c r="C2267" s="37">
        <f t="shared" si="476"/>
        <v>41908</v>
      </c>
      <c r="D2267" s="37" t="s">
        <v>1379</v>
      </c>
      <c r="E2267" s="724">
        <v>41908</v>
      </c>
      <c r="F2267" s="189" t="s">
        <v>406</v>
      </c>
      <c r="G2267" s="40" t="s">
        <v>700</v>
      </c>
      <c r="H2267" s="7" t="s">
        <v>1372</v>
      </c>
      <c r="I2267" s="251">
        <v>298</v>
      </c>
      <c r="J2267" s="251">
        <v>8326.2232813061873</v>
      </c>
      <c r="K2267" s="563">
        <f t="shared" si="475"/>
        <v>2481215</v>
      </c>
      <c r="L2267" s="194" t="s">
        <v>175</v>
      </c>
      <c r="M2267" s="194" t="s">
        <v>169</v>
      </c>
      <c r="N2267" s="52" t="str">
        <f>IF(AND('331-CT'!$E$7=TH!H2267,OR(L2267="331",M2267="331")),"331",IF(AND(OR(L2267="131",M2267="131"),H2267='131-CT'!$E$7),"131",""))</f>
        <v/>
      </c>
      <c r="O2267" s="89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8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474"/>
        <v>9</v>
      </c>
      <c r="C2268" s="37">
        <f t="shared" si="476"/>
        <v>41908</v>
      </c>
      <c r="D2268" s="37" t="s">
        <v>1379</v>
      </c>
      <c r="E2268" s="724">
        <v>41908</v>
      </c>
      <c r="F2268" s="189" t="s">
        <v>701</v>
      </c>
      <c r="G2268" s="40" t="s">
        <v>700</v>
      </c>
      <c r="H2268" s="7" t="s">
        <v>1372</v>
      </c>
      <c r="I2268" s="251">
        <v>360</v>
      </c>
      <c r="J2268" s="251">
        <v>5795.7044409092077</v>
      </c>
      <c r="K2268" s="563">
        <f t="shared" si="475"/>
        <v>2086454</v>
      </c>
      <c r="L2268" s="194" t="s">
        <v>175</v>
      </c>
      <c r="M2268" s="194" t="s">
        <v>169</v>
      </c>
      <c r="N2268" s="52" t="str">
        <f>IF(AND('331-CT'!$E$7=TH!H2268,OR(L2268="331",M2268="331")),"331",IF(AND(OR(L2268="131",M2268="131"),H2268='131-CT'!$E$7),"131",""))</f>
        <v/>
      </c>
      <c r="O2268" s="89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8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474"/>
        <v>9</v>
      </c>
      <c r="C2269" s="37">
        <f t="shared" si="476"/>
        <v>41908</v>
      </c>
      <c r="D2269" s="37" t="s">
        <v>1379</v>
      </c>
      <c r="E2269" s="724">
        <v>41908</v>
      </c>
      <c r="F2269" s="189" t="s">
        <v>436</v>
      </c>
      <c r="G2269" s="40" t="s">
        <v>702</v>
      </c>
      <c r="H2269" s="7" t="s">
        <v>1372</v>
      </c>
      <c r="I2269" s="251">
        <v>498</v>
      </c>
      <c r="J2269" s="251">
        <v>7754.8158012165459</v>
      </c>
      <c r="K2269" s="563">
        <f t="shared" si="475"/>
        <v>3861898</v>
      </c>
      <c r="L2269" s="194" t="s">
        <v>175</v>
      </c>
      <c r="M2269" s="194" t="s">
        <v>169</v>
      </c>
      <c r="N2269" s="52" t="str">
        <f>IF(AND('331-CT'!$E$7=TH!H2269,OR(L2269="331",M2269="331")),"331",IF(AND(OR(L2269="131",M2269="131"),H2269='131-CT'!$E$7),"131",""))</f>
        <v/>
      </c>
      <c r="O2269" s="89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8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474"/>
        <v>9</v>
      </c>
      <c r="C2270" s="37">
        <f t="shared" si="476"/>
        <v>41908</v>
      </c>
      <c r="D2270" s="37" t="s">
        <v>1379</v>
      </c>
      <c r="E2270" s="724">
        <v>41908</v>
      </c>
      <c r="F2270" s="189" t="s">
        <v>566</v>
      </c>
      <c r="G2270" s="40" t="s">
        <v>702</v>
      </c>
      <c r="H2270" s="7" t="s">
        <v>1372</v>
      </c>
      <c r="I2270" s="251">
        <v>493</v>
      </c>
      <c r="J2270" s="251">
        <v>7918.0750812421575</v>
      </c>
      <c r="K2270" s="563">
        <f t="shared" si="475"/>
        <v>3903611</v>
      </c>
      <c r="L2270" s="194" t="s">
        <v>175</v>
      </c>
      <c r="M2270" s="194" t="s">
        <v>169</v>
      </c>
      <c r="N2270" s="52" t="str">
        <f>IF(AND('331-CT'!$E$7=TH!H2270,OR(L2270="331",M2270="331")),"331",IF(AND(OR(L2270="131",M2270="131"),H2270='131-CT'!$E$7),"131",""))</f>
        <v/>
      </c>
      <c r="O2270" s="89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8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474"/>
        <v>9</v>
      </c>
      <c r="C2271" s="37">
        <f t="shared" si="476"/>
        <v>41908</v>
      </c>
      <c r="D2271" s="37" t="s">
        <v>1379</v>
      </c>
      <c r="E2271" s="724">
        <v>41908</v>
      </c>
      <c r="F2271" s="189" t="s">
        <v>703</v>
      </c>
      <c r="G2271" s="40" t="s">
        <v>704</v>
      </c>
      <c r="H2271" s="7" t="s">
        <v>1372</v>
      </c>
      <c r="I2271" s="251">
        <v>51</v>
      </c>
      <c r="J2271" s="251">
        <v>7509.9268811781294</v>
      </c>
      <c r="K2271" s="563">
        <f t="shared" si="475"/>
        <v>383006</v>
      </c>
      <c r="L2271" s="194" t="s">
        <v>175</v>
      </c>
      <c r="M2271" s="194" t="s">
        <v>169</v>
      </c>
      <c r="N2271" s="52" t="str">
        <f>IF(AND('331-CT'!$E$7=TH!H2271,OR(L2271="331",M2271="331")),"331",IF(AND(OR(L2271="131",M2271="131"),H2271='131-CT'!$E$7),"131",""))</f>
        <v/>
      </c>
      <c r="O2271" s="89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8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474"/>
        <v>9</v>
      </c>
      <c r="C2272" s="37">
        <f t="shared" si="476"/>
        <v>41908</v>
      </c>
      <c r="D2272" s="37" t="s">
        <v>1379</v>
      </c>
      <c r="E2272" s="724">
        <v>41908</v>
      </c>
      <c r="F2272" s="189" t="s">
        <v>705</v>
      </c>
      <c r="G2272" s="40" t="s">
        <v>704</v>
      </c>
      <c r="H2272" s="7" t="s">
        <v>1372</v>
      </c>
      <c r="I2272" s="251">
        <v>313</v>
      </c>
      <c r="J2272" s="251">
        <v>10530.223561651941</v>
      </c>
      <c r="K2272" s="563">
        <f t="shared" si="475"/>
        <v>3295960</v>
      </c>
      <c r="L2272" s="194" t="s">
        <v>175</v>
      </c>
      <c r="M2272" s="194" t="s">
        <v>169</v>
      </c>
      <c r="N2272" s="52" t="str">
        <f>IF(AND('331-CT'!$E$7=TH!H2272,OR(L2272="331",M2272="331")),"331",IF(AND(OR(L2272="131",M2272="131"),H2272='131-CT'!$E$7),"131",""))</f>
        <v/>
      </c>
      <c r="O2272" s="89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8"/>
    </row>
    <row r="2273" spans="1:30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474"/>
        <v>9</v>
      </c>
      <c r="C2273" s="37">
        <f t="shared" si="476"/>
        <v>41908</v>
      </c>
      <c r="D2273" s="37" t="s">
        <v>1379</v>
      </c>
      <c r="E2273" s="724">
        <v>41908</v>
      </c>
      <c r="F2273" s="189" t="s">
        <v>706</v>
      </c>
      <c r="G2273" s="40" t="s">
        <v>704</v>
      </c>
      <c r="H2273" s="7" t="s">
        <v>1372</v>
      </c>
      <c r="I2273" s="251">
        <v>113</v>
      </c>
      <c r="J2273" s="251">
        <v>7918.0750812421575</v>
      </c>
      <c r="K2273" s="563">
        <f t="shared" si="475"/>
        <v>894742</v>
      </c>
      <c r="L2273" s="194" t="s">
        <v>175</v>
      </c>
      <c r="M2273" s="194" t="s">
        <v>169</v>
      </c>
      <c r="N2273" s="52" t="str">
        <f>IF(AND('331-CT'!$E$7=TH!H2273,OR(L2273="331",M2273="331")),"331",IF(AND(OR(L2273="131",M2273="131"),H2273='131-CT'!$E$7),"131",""))</f>
        <v/>
      </c>
      <c r="O2273" s="89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8"/>
    </row>
    <row r="2274" spans="1:30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474"/>
        <v>9</v>
      </c>
      <c r="C2274" s="37">
        <f t="shared" si="476"/>
        <v>41908</v>
      </c>
      <c r="D2274" s="37" t="s">
        <v>1379</v>
      </c>
      <c r="E2274" s="724">
        <v>41908</v>
      </c>
      <c r="F2274" s="40" t="s">
        <v>707</v>
      </c>
      <c r="G2274" s="40" t="s">
        <v>704</v>
      </c>
      <c r="H2274" s="7" t="s">
        <v>1372</v>
      </c>
      <c r="I2274" s="251">
        <v>21</v>
      </c>
      <c r="J2274" s="251">
        <v>10530.223561651941</v>
      </c>
      <c r="K2274" s="563">
        <f t="shared" si="475"/>
        <v>221135</v>
      </c>
      <c r="L2274" s="194" t="s">
        <v>175</v>
      </c>
      <c r="M2274" s="194" t="s">
        <v>169</v>
      </c>
      <c r="N2274" s="52" t="str">
        <f>IF(AND('331-CT'!$E$7=TH!H2274,OR(L2274="331",M2274="331")),"331",IF(AND(OR(L2274="131",M2274="131"),H2274='131-CT'!$E$7),"131",""))</f>
        <v/>
      </c>
      <c r="O2274" s="89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8"/>
    </row>
    <row r="2275" spans="1:30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474"/>
        <v>9</v>
      </c>
      <c r="C2275" s="37">
        <f t="shared" si="476"/>
        <v>41908</v>
      </c>
      <c r="D2275" s="37" t="s">
        <v>1379</v>
      </c>
      <c r="E2275" s="724">
        <v>41908</v>
      </c>
      <c r="F2275" s="438" t="s">
        <v>708</v>
      </c>
      <c r="G2275" s="40" t="s">
        <v>704</v>
      </c>
      <c r="H2275" s="7" t="s">
        <v>1372</v>
      </c>
      <c r="I2275" s="251">
        <v>35</v>
      </c>
      <c r="J2275" s="251">
        <v>9224.1493214470484</v>
      </c>
      <c r="K2275" s="563">
        <f t="shared" si="475"/>
        <v>322845</v>
      </c>
      <c r="L2275" s="194" t="s">
        <v>175</v>
      </c>
      <c r="M2275" s="194" t="s">
        <v>169</v>
      </c>
      <c r="N2275" s="52" t="str">
        <f>IF(AND('331-CT'!$E$7=TH!H2275,OR(L2275="331",M2275="331")),"331",IF(AND(OR(L2275="131",M2275="131"),H2275='131-CT'!$E$7),"131",""))</f>
        <v/>
      </c>
      <c r="O2275" s="89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8"/>
    </row>
    <row r="2276" spans="1:30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474"/>
        <v>9</v>
      </c>
      <c r="C2276" s="37">
        <f t="shared" si="476"/>
        <v>41908</v>
      </c>
      <c r="D2276" s="37" t="s">
        <v>1379</v>
      </c>
      <c r="E2276" s="724">
        <v>41908</v>
      </c>
      <c r="F2276" s="189" t="s">
        <v>709</v>
      </c>
      <c r="G2276" s="40" t="s">
        <v>704</v>
      </c>
      <c r="H2276" s="7" t="s">
        <v>1372</v>
      </c>
      <c r="I2276" s="251">
        <v>33</v>
      </c>
      <c r="J2276" s="251">
        <v>9713.9271615238831</v>
      </c>
      <c r="K2276" s="563">
        <f t="shared" si="475"/>
        <v>320560</v>
      </c>
      <c r="L2276" s="194" t="s">
        <v>175</v>
      </c>
      <c r="M2276" s="194" t="s">
        <v>169</v>
      </c>
      <c r="N2276" s="52" t="str">
        <f>IF(AND('331-CT'!$E$7=TH!H2276,OR(L2276="331",M2276="331")),"331",IF(AND(OR(L2276="131",M2276="131"),H2276='131-CT'!$E$7),"131",""))</f>
        <v/>
      </c>
      <c r="O2276" s="89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8"/>
    </row>
    <row r="2277" spans="1:30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474"/>
        <v>9</v>
      </c>
      <c r="C2277" s="37">
        <f t="shared" si="476"/>
        <v>41908</v>
      </c>
      <c r="D2277" s="37" t="s">
        <v>1379</v>
      </c>
      <c r="E2277" s="724">
        <v>41908</v>
      </c>
      <c r="F2277" s="40" t="s">
        <v>586</v>
      </c>
      <c r="G2277" s="40" t="s">
        <v>704</v>
      </c>
      <c r="H2277" s="7" t="s">
        <v>1372</v>
      </c>
      <c r="I2277" s="251">
        <v>762</v>
      </c>
      <c r="J2277" s="251">
        <v>10122.075361587913</v>
      </c>
      <c r="K2277" s="563">
        <f t="shared" si="475"/>
        <v>7713021</v>
      </c>
      <c r="L2277" s="194" t="s">
        <v>175</v>
      </c>
      <c r="M2277" s="194" t="s">
        <v>169</v>
      </c>
      <c r="N2277" s="52" t="str">
        <f>IF(AND('331-CT'!$E$7=TH!H2277,OR(L2277="331",M2277="331")),"331",IF(AND(OR(L2277="131",M2277="131"),H2277='131-CT'!$E$7),"131",""))</f>
        <v/>
      </c>
      <c r="O2277" s="89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8"/>
    </row>
    <row r="2278" spans="1:30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474"/>
        <v>9</v>
      </c>
      <c r="C2278" s="37">
        <f t="shared" si="476"/>
        <v>41908</v>
      </c>
      <c r="D2278" s="37" t="s">
        <v>1379</v>
      </c>
      <c r="E2278" s="724">
        <v>41908</v>
      </c>
      <c r="F2278" s="189" t="s">
        <v>710</v>
      </c>
      <c r="G2278" s="40" t="s">
        <v>704</v>
      </c>
      <c r="H2278" s="7" t="s">
        <v>1372</v>
      </c>
      <c r="I2278" s="251">
        <v>145</v>
      </c>
      <c r="J2278" s="251">
        <v>10530.223561651941</v>
      </c>
      <c r="K2278" s="563">
        <f t="shared" si="475"/>
        <v>1526882</v>
      </c>
      <c r="L2278" s="194" t="s">
        <v>175</v>
      </c>
      <c r="M2278" s="194" t="s">
        <v>169</v>
      </c>
      <c r="N2278" s="52" t="str">
        <f>IF(AND('331-CT'!$E$7=TH!H2278,OR(L2278="331",M2278="331")),"331",IF(AND(OR(L2278="131",M2278="131"),H2278='131-CT'!$E$7),"131",""))</f>
        <v/>
      </c>
      <c r="O2278" s="89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8"/>
    </row>
    <row r="2279" spans="1:30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ref="B2279:B2342" si="477">IF(C2279&lt;&gt;"",MONTH(C2279),"")</f>
        <v>9</v>
      </c>
      <c r="C2279" s="37">
        <f t="shared" si="476"/>
        <v>41909</v>
      </c>
      <c r="D2279" s="37" t="s">
        <v>1379</v>
      </c>
      <c r="E2279" s="724">
        <v>41909</v>
      </c>
      <c r="F2279" s="189" t="s">
        <v>459</v>
      </c>
      <c r="G2279" s="40" t="s">
        <v>711</v>
      </c>
      <c r="H2279" s="7" t="s">
        <v>1372</v>
      </c>
      <c r="I2279" s="251">
        <v>1007</v>
      </c>
      <c r="J2279" s="251">
        <v>7509.9268811781294</v>
      </c>
      <c r="K2279" s="563">
        <f t="shared" ref="K2279:K2342" si="478">ROUND(I2279*J2279,0)</f>
        <v>7562496</v>
      </c>
      <c r="L2279" s="194" t="s">
        <v>175</v>
      </c>
      <c r="M2279" s="194" t="s">
        <v>169</v>
      </c>
      <c r="N2279" s="52" t="str">
        <f>IF(AND('331-CT'!$E$7=TH!H2279,OR(L2279="331",M2279="331")),"331",IF(AND(OR(L2279="131",M2279="131"),H2279='131-CT'!$E$7),"131",""))</f>
        <v/>
      </c>
      <c r="O2279" s="89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8"/>
    </row>
    <row r="2280" spans="1:30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477"/>
        <v>9</v>
      </c>
      <c r="C2280" s="37">
        <f t="shared" ref="C2280:C2343" si="479">E2280</f>
        <v>41912</v>
      </c>
      <c r="D2280" s="37" t="s">
        <v>1379</v>
      </c>
      <c r="E2280" s="724">
        <v>41912</v>
      </c>
      <c r="F2280" s="189" t="s">
        <v>712</v>
      </c>
      <c r="G2280" s="40" t="s">
        <v>713</v>
      </c>
      <c r="H2280" s="7" t="s">
        <v>1372</v>
      </c>
      <c r="I2280" s="251">
        <v>264</v>
      </c>
      <c r="J2280" s="251">
        <v>9877.1864415494947</v>
      </c>
      <c r="K2280" s="563">
        <f t="shared" si="478"/>
        <v>2607577</v>
      </c>
      <c r="L2280" s="194" t="s">
        <v>175</v>
      </c>
      <c r="M2280" s="194" t="s">
        <v>169</v>
      </c>
      <c r="N2280" s="52" t="str">
        <f>IF(AND('331-CT'!$E$7=TH!H2280,OR(L2280="331",M2280="331")),"331",IF(AND(OR(L2280="131",M2280="131"),H2280='131-CT'!$E$7),"131",""))</f>
        <v/>
      </c>
      <c r="O2280" s="89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8"/>
    </row>
    <row r="2281" spans="1:30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477"/>
        <v>9</v>
      </c>
      <c r="C2281" s="37">
        <f t="shared" si="479"/>
        <v>41912</v>
      </c>
      <c r="D2281" s="37" t="s">
        <v>1379</v>
      </c>
      <c r="E2281" s="724">
        <v>41912</v>
      </c>
      <c r="F2281" s="40" t="s">
        <v>712</v>
      </c>
      <c r="G2281" s="40" t="s">
        <v>713</v>
      </c>
      <c r="H2281" s="7" t="s">
        <v>1372</v>
      </c>
      <c r="I2281" s="251">
        <v>169</v>
      </c>
      <c r="J2281" s="251">
        <v>9877.1864415494947</v>
      </c>
      <c r="K2281" s="563">
        <f t="shared" si="478"/>
        <v>1669245</v>
      </c>
      <c r="L2281" s="194" t="s">
        <v>175</v>
      </c>
      <c r="M2281" s="194" t="s">
        <v>169</v>
      </c>
      <c r="N2281" s="52" t="str">
        <f>IF(AND('331-CT'!$E$7=TH!H2281,OR(L2281="331",M2281="331")),"331",IF(AND(OR(L2281="131",M2281="131"),H2281='131-CT'!$E$7),"131",""))</f>
        <v/>
      </c>
      <c r="O2281" s="89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8"/>
    </row>
    <row r="2282" spans="1:30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477"/>
        <v>9</v>
      </c>
      <c r="C2282" s="37">
        <f t="shared" si="479"/>
        <v>41912</v>
      </c>
      <c r="D2282" s="37" t="s">
        <v>1379</v>
      </c>
      <c r="E2282" s="724">
        <v>41912</v>
      </c>
      <c r="F2282" s="40" t="s">
        <v>670</v>
      </c>
      <c r="G2282" s="40" t="s">
        <v>715</v>
      </c>
      <c r="H2282" s="7" t="s">
        <v>1372</v>
      </c>
      <c r="I2282" s="251">
        <v>993</v>
      </c>
      <c r="J2282" s="251">
        <v>7346.6676011525178</v>
      </c>
      <c r="K2282" s="563">
        <f t="shared" si="478"/>
        <v>7295241</v>
      </c>
      <c r="L2282" s="194" t="s">
        <v>175</v>
      </c>
      <c r="M2282" s="194" t="s">
        <v>169</v>
      </c>
      <c r="N2282" s="52" t="str">
        <f>IF(AND('331-CT'!$E$7=TH!H2282,OR(L2282="331",M2282="331")),"331",IF(AND(OR(L2282="131",M2282="131"),H2282='131-CT'!$E$7),"131",""))</f>
        <v/>
      </c>
      <c r="O2282" s="89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8"/>
    </row>
    <row r="2283" spans="1:30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477"/>
        <v>9</v>
      </c>
      <c r="C2283" s="37">
        <f t="shared" si="479"/>
        <v>41912</v>
      </c>
      <c r="D2283" s="37" t="s">
        <v>1379</v>
      </c>
      <c r="E2283" s="724">
        <v>41912</v>
      </c>
      <c r="F2283" s="40" t="s">
        <v>716</v>
      </c>
      <c r="G2283" s="40" t="s">
        <v>717</v>
      </c>
      <c r="H2283" s="7" t="s">
        <v>1372</v>
      </c>
      <c r="I2283" s="251">
        <v>247</v>
      </c>
      <c r="J2283" s="251">
        <v>21305.3360433423</v>
      </c>
      <c r="K2283" s="563">
        <f t="shared" si="478"/>
        <v>5262418</v>
      </c>
      <c r="L2283" s="194" t="s">
        <v>175</v>
      </c>
      <c r="M2283" s="194" t="s">
        <v>169</v>
      </c>
      <c r="N2283" s="52" t="str">
        <f>IF(AND('331-CT'!$E$7=TH!H2283,OR(L2283="331",M2283="331")),"331",IF(AND(OR(L2283="131",M2283="131"),H2283='131-CT'!$E$7),"131",""))</f>
        <v/>
      </c>
      <c r="O2283" s="89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8"/>
    </row>
    <row r="2284" spans="1:30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477"/>
        <v>9</v>
      </c>
      <c r="C2284" s="37">
        <f t="shared" si="479"/>
        <v>41912</v>
      </c>
      <c r="D2284" s="37" t="s">
        <v>1379</v>
      </c>
      <c r="E2284" s="724">
        <v>41912</v>
      </c>
      <c r="F2284" s="40" t="s">
        <v>692</v>
      </c>
      <c r="G2284" s="40" t="s">
        <v>718</v>
      </c>
      <c r="H2284" s="7" t="s">
        <v>1372</v>
      </c>
      <c r="I2284" s="251">
        <v>498</v>
      </c>
      <c r="J2284" s="251">
        <v>5305.9266008323739</v>
      </c>
      <c r="K2284" s="563">
        <f t="shared" si="478"/>
        <v>2642351</v>
      </c>
      <c r="L2284" s="194" t="s">
        <v>175</v>
      </c>
      <c r="M2284" s="194" t="s">
        <v>169</v>
      </c>
      <c r="N2284" s="52" t="str">
        <f>IF(AND('331-CT'!$E$7=TH!H2284,OR(L2284="331",M2284="331")),"331",IF(AND(OR(L2284="131",M2284="131"),H2284='131-CT'!$E$7),"131",""))</f>
        <v/>
      </c>
      <c r="O2284" s="89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8"/>
    </row>
    <row r="2285" spans="1:30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477"/>
        <v>9</v>
      </c>
      <c r="C2285" s="37">
        <f t="shared" si="479"/>
        <v>41912</v>
      </c>
      <c r="D2285" s="37" t="s">
        <v>1379</v>
      </c>
      <c r="E2285" s="724">
        <v>41912</v>
      </c>
      <c r="F2285" s="40" t="s">
        <v>693</v>
      </c>
      <c r="G2285" s="40" t="s">
        <v>718</v>
      </c>
      <c r="H2285" s="7" t="s">
        <v>1372</v>
      </c>
      <c r="I2285" s="251">
        <v>500</v>
      </c>
      <c r="J2285" s="251">
        <v>4408.0005606915111</v>
      </c>
      <c r="K2285" s="563">
        <f t="shared" si="478"/>
        <v>2204000</v>
      </c>
      <c r="L2285" s="194" t="s">
        <v>175</v>
      </c>
      <c r="M2285" s="194" t="s">
        <v>169</v>
      </c>
      <c r="N2285" s="52" t="str">
        <f>IF(AND('331-CT'!$E$7=TH!H2285,OR(L2285="331",M2285="331")),"331",IF(AND(OR(L2285="131",M2285="131"),H2285='131-CT'!$E$7),"131",""))</f>
        <v/>
      </c>
      <c r="O2285" s="89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8"/>
    </row>
    <row r="2286" spans="1:30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477"/>
        <v>9</v>
      </c>
      <c r="C2286" s="37">
        <f t="shared" si="479"/>
        <v>41912</v>
      </c>
      <c r="D2286" s="37" t="s">
        <v>1379</v>
      </c>
      <c r="E2286" s="724">
        <v>41912</v>
      </c>
      <c r="F2286" s="40" t="s">
        <v>719</v>
      </c>
      <c r="G2286" s="40" t="s">
        <v>720</v>
      </c>
      <c r="H2286" s="7" t="s">
        <v>1372</v>
      </c>
      <c r="I2286" s="251">
        <v>1000</v>
      </c>
      <c r="J2286" s="251">
        <v>12734.223841997697</v>
      </c>
      <c r="K2286" s="563">
        <f t="shared" si="478"/>
        <v>12734224</v>
      </c>
      <c r="L2286" s="194" t="s">
        <v>175</v>
      </c>
      <c r="M2286" s="194" t="s">
        <v>169</v>
      </c>
      <c r="N2286" s="52" t="str">
        <f>IF(AND('331-CT'!$E$7=TH!H2286,OR(L2286="331",M2286="331")),"331",IF(AND(OR(L2286="131",M2286="131"),H2286='131-CT'!$E$7),"131",""))</f>
        <v/>
      </c>
      <c r="O2286" s="89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8"/>
    </row>
    <row r="2287" spans="1:30" s="850" customFormat="1" ht="15.75" customHeight="1">
      <c r="A2287" s="838" t="str">
        <f>IF(B2287&lt;&gt;"",IF(AND(B2287&gt;=_TM1,B2287&lt;=_TM2,OR(TH!L2287="1111",TH!M2287="1111")),TH!D2287,""),"")</f>
        <v/>
      </c>
      <c r="B2287" s="839">
        <f t="shared" si="477"/>
        <v>10</v>
      </c>
      <c r="C2287" s="927">
        <f t="shared" si="479"/>
        <v>41918</v>
      </c>
      <c r="D2287" s="37" t="s">
        <v>1379</v>
      </c>
      <c r="E2287" s="840">
        <v>41918</v>
      </c>
      <c r="F2287" s="842" t="s">
        <v>722</v>
      </c>
      <c r="G2287" s="843" t="s">
        <v>723</v>
      </c>
      <c r="H2287" s="844" t="s">
        <v>1372</v>
      </c>
      <c r="I2287" s="845">
        <v>218</v>
      </c>
      <c r="J2287" s="845">
        <v>19576.720447858519</v>
      </c>
      <c r="K2287" s="846">
        <f t="shared" si="478"/>
        <v>4267725</v>
      </c>
      <c r="L2287" s="928" t="s">
        <v>175</v>
      </c>
      <c r="M2287" s="928" t="s">
        <v>169</v>
      </c>
      <c r="N2287" s="52" t="str">
        <f>IF(AND('331-CT'!$E$7=TH!H2287,OR(L2287="331",M2287="331")),"331",IF(AND(OR(L2287="131",M2287="131"),H2287='131-CT'!$E$7),"131",""))</f>
        <v/>
      </c>
      <c r="O2287" s="89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8"/>
    </row>
    <row r="2288" spans="1:30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477"/>
        <v>10</v>
      </c>
      <c r="C2288" s="37">
        <f t="shared" si="479"/>
        <v>41918</v>
      </c>
      <c r="D2288" s="37" t="s">
        <v>1379</v>
      </c>
      <c r="E2288" s="191">
        <v>41918</v>
      </c>
      <c r="F2288" s="192" t="s">
        <v>746</v>
      </c>
      <c r="G2288" s="463" t="s">
        <v>723</v>
      </c>
      <c r="H2288" s="7" t="s">
        <v>1372</v>
      </c>
      <c r="I2288" s="251">
        <v>436</v>
      </c>
      <c r="J2288" s="251">
        <v>1233.8256880733945</v>
      </c>
      <c r="K2288" s="563">
        <f t="shared" si="478"/>
        <v>537948</v>
      </c>
      <c r="L2288" s="194" t="s">
        <v>175</v>
      </c>
      <c r="M2288" s="194" t="s">
        <v>169</v>
      </c>
      <c r="N2288" s="52" t="str">
        <f>IF(AND('331-CT'!$E$7=TH!H2288,OR(L2288="331",M2288="331")),"331",IF(AND(OR(L2288="131",M2288="131"),H2288='131-CT'!$E$7),"131",""))</f>
        <v/>
      </c>
      <c r="O2288" s="89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8"/>
      <c r="AD2288" s="943">
        <f>K2288/I2288</f>
        <v>1233.8256880733945</v>
      </c>
    </row>
    <row r="2289" spans="1:30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477"/>
        <v>10</v>
      </c>
      <c r="C2289" s="37">
        <f t="shared" si="479"/>
        <v>41918</v>
      </c>
      <c r="D2289" s="37" t="s">
        <v>1379</v>
      </c>
      <c r="E2289" s="191">
        <v>41918</v>
      </c>
      <c r="F2289" s="192" t="s">
        <v>724</v>
      </c>
      <c r="G2289" s="463" t="s">
        <v>725</v>
      </c>
      <c r="H2289" s="7" t="s">
        <v>1372</v>
      </c>
      <c r="I2289" s="251">
        <v>267</v>
      </c>
      <c r="J2289" s="251">
        <v>3948.2434456928841</v>
      </c>
      <c r="K2289" s="563">
        <f t="shared" si="478"/>
        <v>1054181</v>
      </c>
      <c r="L2289" s="194" t="s">
        <v>175</v>
      </c>
      <c r="M2289" s="194" t="s">
        <v>169</v>
      </c>
      <c r="N2289" s="52" t="str">
        <f>IF(AND('331-CT'!$E$7=TH!H2289,OR(L2289="331",M2289="331")),"331",IF(AND(OR(L2289="131",M2289="131"),H2289='131-CT'!$E$7),"131",""))</f>
        <v/>
      </c>
      <c r="O2289" s="89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8"/>
      <c r="AD2289" s="943">
        <f t="shared" ref="AD2289:AD2291" si="480">K2289/I2289</f>
        <v>3948.2434456928841</v>
      </c>
    </row>
    <row r="2290" spans="1:30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477"/>
        <v>10</v>
      </c>
      <c r="C2290" s="37">
        <f t="shared" si="479"/>
        <v>41918</v>
      </c>
      <c r="D2290" s="37" t="s">
        <v>1379</v>
      </c>
      <c r="E2290" s="191">
        <v>41918</v>
      </c>
      <c r="F2290" s="192" t="s">
        <v>726</v>
      </c>
      <c r="G2290" s="463" t="s">
        <v>725</v>
      </c>
      <c r="H2290" s="7" t="s">
        <v>1372</v>
      </c>
      <c r="I2290" s="251">
        <v>120</v>
      </c>
      <c r="J2290" s="251">
        <v>6251.3833333333332</v>
      </c>
      <c r="K2290" s="563">
        <f t="shared" si="478"/>
        <v>750166</v>
      </c>
      <c r="L2290" s="194" t="s">
        <v>175</v>
      </c>
      <c r="M2290" s="194" t="s">
        <v>169</v>
      </c>
      <c r="N2290" s="52" t="str">
        <f>IF(AND('331-CT'!$E$7=TH!H2290,OR(L2290="331",M2290="331")),"331",IF(AND(OR(L2290="131",M2290="131"),H2290='131-CT'!$E$7),"131",""))</f>
        <v/>
      </c>
      <c r="O2290" s="89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8"/>
      <c r="AD2290" s="943">
        <f t="shared" si="480"/>
        <v>6251.3833333333332</v>
      </c>
    </row>
    <row r="2291" spans="1:30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477"/>
        <v>10</v>
      </c>
      <c r="C2291" s="37">
        <f t="shared" si="479"/>
        <v>41918</v>
      </c>
      <c r="D2291" s="37" t="s">
        <v>1379</v>
      </c>
      <c r="E2291" s="191">
        <v>41918</v>
      </c>
      <c r="F2291" s="192" t="s">
        <v>727</v>
      </c>
      <c r="G2291" s="463" t="s">
        <v>725</v>
      </c>
      <c r="H2291" s="7" t="s">
        <v>1372</v>
      </c>
      <c r="I2291" s="251">
        <v>230</v>
      </c>
      <c r="J2291" s="251">
        <v>5428.8347826086956</v>
      </c>
      <c r="K2291" s="563">
        <f t="shared" si="478"/>
        <v>1248632</v>
      </c>
      <c r="L2291" s="194" t="s">
        <v>175</v>
      </c>
      <c r="M2291" s="194" t="s">
        <v>169</v>
      </c>
      <c r="N2291" s="52" t="str">
        <f>IF(AND('331-CT'!$E$7=TH!H2291,OR(L2291="331",M2291="331")),"331",IF(AND(OR(L2291="131",M2291="131"),H2291='131-CT'!$E$7),"131",""))</f>
        <v/>
      </c>
      <c r="O2291" s="89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8"/>
      <c r="AD2291" s="943">
        <f t="shared" si="480"/>
        <v>5428.8347826086956</v>
      </c>
    </row>
    <row r="2292" spans="1:30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477"/>
        <v>10</v>
      </c>
      <c r="C2292" s="37">
        <f t="shared" si="479"/>
        <v>41918</v>
      </c>
      <c r="D2292" s="37" t="s">
        <v>1379</v>
      </c>
      <c r="E2292" s="191">
        <v>41918</v>
      </c>
      <c r="F2292" s="192" t="s">
        <v>728</v>
      </c>
      <c r="G2292" s="463" t="s">
        <v>725</v>
      </c>
      <c r="H2292" s="7" t="s">
        <v>1372</v>
      </c>
      <c r="I2292" s="251">
        <v>230</v>
      </c>
      <c r="J2292" s="251">
        <v>3865.9910128123965</v>
      </c>
      <c r="K2292" s="563">
        <f t="shared" si="478"/>
        <v>889178</v>
      </c>
      <c r="L2292" s="194" t="s">
        <v>175</v>
      </c>
      <c r="M2292" s="194" t="s">
        <v>169</v>
      </c>
      <c r="N2292" s="52" t="str">
        <f>IF(AND('331-CT'!$E$7=TH!H2292,OR(L2292="331",M2292="331")),"331",IF(AND(OR(L2292="131",M2292="131"),H2292='131-CT'!$E$7),"131",""))</f>
        <v/>
      </c>
      <c r="O2292" s="89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8"/>
    </row>
    <row r="2293" spans="1:30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477"/>
        <v>10</v>
      </c>
      <c r="C2293" s="37">
        <f t="shared" si="479"/>
        <v>41922</v>
      </c>
      <c r="D2293" s="37" t="s">
        <v>1379</v>
      </c>
      <c r="E2293" s="191">
        <v>41922</v>
      </c>
      <c r="F2293" s="192" t="s">
        <v>515</v>
      </c>
      <c r="G2293" s="463" t="s">
        <v>730</v>
      </c>
      <c r="H2293" s="7" t="s">
        <v>1372</v>
      </c>
      <c r="I2293" s="251">
        <v>1996</v>
      </c>
      <c r="J2293" s="251">
        <v>9459.3397122005445</v>
      </c>
      <c r="K2293" s="563">
        <f t="shared" si="478"/>
        <v>18880842</v>
      </c>
      <c r="L2293" s="194" t="s">
        <v>175</v>
      </c>
      <c r="M2293" s="194" t="s">
        <v>169</v>
      </c>
      <c r="N2293" s="52" t="str">
        <f>IF(AND('331-CT'!$E$7=TH!H2293,OR(L2293="331",M2293="331")),"331",IF(AND(OR(L2293="131",M2293="131"),H2293='131-CT'!$E$7),"131",""))</f>
        <v/>
      </c>
      <c r="O2293" s="89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8"/>
    </row>
    <row r="2294" spans="1:30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477"/>
        <v>10</v>
      </c>
      <c r="C2294" s="37">
        <f t="shared" si="479"/>
        <v>41922</v>
      </c>
      <c r="D2294" s="37" t="s">
        <v>1379</v>
      </c>
      <c r="E2294" s="191">
        <v>41922</v>
      </c>
      <c r="F2294" s="192" t="s">
        <v>731</v>
      </c>
      <c r="G2294" s="463" t="s">
        <v>732</v>
      </c>
      <c r="H2294" s="7" t="s">
        <v>1372</v>
      </c>
      <c r="I2294" s="251">
        <v>600</v>
      </c>
      <c r="J2294" s="251">
        <v>8225.5127932178657</v>
      </c>
      <c r="K2294" s="563">
        <f t="shared" si="478"/>
        <v>4935308</v>
      </c>
      <c r="L2294" s="194" t="s">
        <v>175</v>
      </c>
      <c r="M2294" s="194" t="s">
        <v>169</v>
      </c>
      <c r="N2294" s="52" t="str">
        <f>IF(AND('331-CT'!$E$7=TH!H2294,OR(L2294="331",M2294="331")),"331",IF(AND(OR(L2294="131",M2294="131"),H2294='131-CT'!$E$7),"131",""))</f>
        <v/>
      </c>
      <c r="O2294" s="89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8"/>
    </row>
    <row r="2295" spans="1:30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477"/>
        <v>10</v>
      </c>
      <c r="C2295" s="37">
        <f t="shared" si="479"/>
        <v>41922</v>
      </c>
      <c r="D2295" s="37" t="s">
        <v>1379</v>
      </c>
      <c r="E2295" s="191">
        <v>41922</v>
      </c>
      <c r="F2295" s="192" t="s">
        <v>662</v>
      </c>
      <c r="G2295" s="463" t="s">
        <v>734</v>
      </c>
      <c r="H2295" s="7" t="s">
        <v>1372</v>
      </c>
      <c r="I2295" s="251">
        <v>1932</v>
      </c>
      <c r="J2295" s="251">
        <v>7896.4922814891506</v>
      </c>
      <c r="K2295" s="563">
        <f t="shared" si="478"/>
        <v>15256023</v>
      </c>
      <c r="L2295" s="194" t="s">
        <v>175</v>
      </c>
      <c r="M2295" s="194" t="s">
        <v>169</v>
      </c>
      <c r="N2295" s="52" t="str">
        <f>IF(AND('331-CT'!$E$7=TH!H2295,OR(L2295="331",M2295="331")),"331",IF(AND(OR(L2295="131",M2295="131"),H2295='131-CT'!$E$7),"131",""))</f>
        <v/>
      </c>
      <c r="O2295" s="89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8"/>
    </row>
    <row r="2296" spans="1:30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477"/>
        <v>10</v>
      </c>
      <c r="C2296" s="37">
        <f t="shared" si="479"/>
        <v>41922</v>
      </c>
      <c r="D2296" s="37" t="s">
        <v>1379</v>
      </c>
      <c r="E2296" s="191">
        <v>41922</v>
      </c>
      <c r="F2296" s="192" t="s">
        <v>662</v>
      </c>
      <c r="G2296" s="463" t="s">
        <v>734</v>
      </c>
      <c r="H2296" s="7" t="s">
        <v>1372</v>
      </c>
      <c r="I2296" s="251">
        <v>593</v>
      </c>
      <c r="J2296" s="251">
        <v>7896.4922814891506</v>
      </c>
      <c r="K2296" s="563">
        <f t="shared" si="478"/>
        <v>4682620</v>
      </c>
      <c r="L2296" s="194" t="s">
        <v>175</v>
      </c>
      <c r="M2296" s="194" t="s">
        <v>169</v>
      </c>
      <c r="N2296" s="52" t="str">
        <f>IF(AND('331-CT'!$E$7=TH!H2296,OR(L2296="331",M2296="331")),"331",IF(AND(OR(L2296="131",M2296="131"),H2296='131-CT'!$E$7),"131",""))</f>
        <v/>
      </c>
      <c r="O2296" s="89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8"/>
    </row>
    <row r="2297" spans="1:30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477"/>
        <v>10</v>
      </c>
      <c r="C2297" s="37">
        <f t="shared" si="479"/>
        <v>41922</v>
      </c>
      <c r="D2297" s="37" t="s">
        <v>1379</v>
      </c>
      <c r="E2297" s="191">
        <v>41922</v>
      </c>
      <c r="F2297" s="192" t="s">
        <v>735</v>
      </c>
      <c r="G2297" s="463" t="s">
        <v>734</v>
      </c>
      <c r="H2297" s="7" t="s">
        <v>1372</v>
      </c>
      <c r="I2297" s="251">
        <v>314</v>
      </c>
      <c r="J2297" s="251">
        <v>6662.6653625064719</v>
      </c>
      <c r="K2297" s="563">
        <f t="shared" si="478"/>
        <v>2092077</v>
      </c>
      <c r="L2297" s="194" t="s">
        <v>175</v>
      </c>
      <c r="M2297" s="194" t="s">
        <v>169</v>
      </c>
      <c r="N2297" s="52" t="str">
        <f>IF(AND('331-CT'!$E$7=TH!H2297,OR(L2297="331",M2297="331")),"331",IF(AND(OR(L2297="131",M2297="131"),H2297='131-CT'!$E$7),"131",""))</f>
        <v/>
      </c>
      <c r="O2297" s="89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8"/>
    </row>
    <row r="2298" spans="1:30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477"/>
        <v>10</v>
      </c>
      <c r="C2298" s="37">
        <f t="shared" si="479"/>
        <v>41922</v>
      </c>
      <c r="D2298" s="37" t="s">
        <v>1379</v>
      </c>
      <c r="E2298" s="191">
        <v>41922</v>
      </c>
      <c r="F2298" s="192" t="s">
        <v>662</v>
      </c>
      <c r="G2298" s="463" t="s">
        <v>734</v>
      </c>
      <c r="H2298" s="7" t="s">
        <v>1372</v>
      </c>
      <c r="I2298" s="251">
        <v>173</v>
      </c>
      <c r="J2298" s="251">
        <v>7896.4922814891506</v>
      </c>
      <c r="K2298" s="563">
        <f t="shared" si="478"/>
        <v>1366093</v>
      </c>
      <c r="L2298" s="194" t="s">
        <v>175</v>
      </c>
      <c r="M2298" s="194" t="s">
        <v>169</v>
      </c>
      <c r="N2298" s="52" t="str">
        <f>IF(AND('331-CT'!$E$7=TH!H2298,OR(L2298="331",M2298="331")),"331",IF(AND(OR(L2298="131",M2298="131"),H2298='131-CT'!$E$7),"131",""))</f>
        <v/>
      </c>
      <c r="O2298" s="89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8"/>
    </row>
    <row r="2299" spans="1:30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477"/>
        <v>10</v>
      </c>
      <c r="C2299" s="37">
        <f t="shared" si="479"/>
        <v>41922</v>
      </c>
      <c r="D2299" s="37" t="s">
        <v>1379</v>
      </c>
      <c r="E2299" s="191">
        <v>41922</v>
      </c>
      <c r="F2299" s="192" t="s">
        <v>662</v>
      </c>
      <c r="G2299" s="463" t="s">
        <v>734</v>
      </c>
      <c r="H2299" s="7" t="s">
        <v>1372</v>
      </c>
      <c r="I2299" s="251">
        <v>287</v>
      </c>
      <c r="J2299" s="251">
        <v>7896.4922814891506</v>
      </c>
      <c r="K2299" s="563">
        <f t="shared" si="478"/>
        <v>2266293</v>
      </c>
      <c r="L2299" s="194" t="s">
        <v>175</v>
      </c>
      <c r="M2299" s="194" t="s">
        <v>169</v>
      </c>
      <c r="N2299" s="52" t="str">
        <f>IF(AND('331-CT'!$E$7=TH!H2299,OR(L2299="331",M2299="331")),"331",IF(AND(OR(L2299="131",M2299="131"),H2299='131-CT'!$E$7),"131",""))</f>
        <v/>
      </c>
      <c r="O2299" s="89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8"/>
    </row>
    <row r="2300" spans="1:30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477"/>
        <v>10</v>
      </c>
      <c r="C2300" s="37">
        <f t="shared" si="479"/>
        <v>41922</v>
      </c>
      <c r="D2300" s="37" t="s">
        <v>1379</v>
      </c>
      <c r="E2300" s="191">
        <v>41922</v>
      </c>
      <c r="F2300" s="189" t="s">
        <v>735</v>
      </c>
      <c r="G2300" s="463" t="s">
        <v>734</v>
      </c>
      <c r="H2300" s="7" t="s">
        <v>1372</v>
      </c>
      <c r="I2300" s="251">
        <v>454</v>
      </c>
      <c r="J2300" s="251">
        <v>6662.6653625064719</v>
      </c>
      <c r="K2300" s="563">
        <f t="shared" si="478"/>
        <v>3024850</v>
      </c>
      <c r="L2300" s="194" t="s">
        <v>175</v>
      </c>
      <c r="M2300" s="194" t="s">
        <v>169</v>
      </c>
      <c r="N2300" s="52" t="str">
        <f>IF(AND('331-CT'!$E$7=TH!H2300,OR(L2300="331",M2300="331")),"331",IF(AND(OR(L2300="131",M2300="131"),H2300='131-CT'!$E$7),"131",""))</f>
        <v/>
      </c>
      <c r="O2300" s="89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8"/>
    </row>
    <row r="2301" spans="1:30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477"/>
        <v>10</v>
      </c>
      <c r="C2301" s="37">
        <f t="shared" si="479"/>
        <v>41922</v>
      </c>
      <c r="D2301" s="37" t="s">
        <v>1379</v>
      </c>
      <c r="E2301" s="191">
        <v>41922</v>
      </c>
      <c r="F2301" s="192" t="s">
        <v>735</v>
      </c>
      <c r="G2301" s="463" t="s">
        <v>734</v>
      </c>
      <c r="H2301" s="7" t="s">
        <v>1372</v>
      </c>
      <c r="I2301" s="251">
        <v>160</v>
      </c>
      <c r="J2301" s="251">
        <v>6662.6653625064719</v>
      </c>
      <c r="K2301" s="563">
        <f t="shared" si="478"/>
        <v>1066026</v>
      </c>
      <c r="L2301" s="194" t="s">
        <v>175</v>
      </c>
      <c r="M2301" s="194" t="s">
        <v>169</v>
      </c>
      <c r="N2301" s="52" t="str">
        <f>IF(AND('331-CT'!$E$7=TH!H2301,OR(L2301="331",M2301="331")),"331",IF(AND(OR(L2301="131",M2301="131"),H2301='131-CT'!$E$7),"131",""))</f>
        <v/>
      </c>
      <c r="O2301" s="89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8"/>
    </row>
    <row r="2302" spans="1:30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477"/>
        <v>10</v>
      </c>
      <c r="C2302" s="37">
        <f t="shared" si="479"/>
        <v>41922</v>
      </c>
      <c r="D2302" s="37" t="s">
        <v>1379</v>
      </c>
      <c r="E2302" s="191">
        <v>41922</v>
      </c>
      <c r="F2302" s="192" t="s">
        <v>623</v>
      </c>
      <c r="G2302" s="463" t="s">
        <v>734</v>
      </c>
      <c r="H2302" s="7" t="s">
        <v>1372</v>
      </c>
      <c r="I2302" s="251">
        <v>4800</v>
      </c>
      <c r="J2302" s="251">
        <v>493.53076759307191</v>
      </c>
      <c r="K2302" s="563">
        <f t="shared" si="478"/>
        <v>2368948</v>
      </c>
      <c r="L2302" s="194" t="s">
        <v>175</v>
      </c>
      <c r="M2302" s="194" t="s">
        <v>169</v>
      </c>
      <c r="N2302" s="52" t="str">
        <f>IF(AND('331-CT'!$E$7=TH!H2302,OR(L2302="331",M2302="331")),"331",IF(AND(OR(L2302="131",M2302="131"),H2302='131-CT'!$E$7),"131",""))</f>
        <v/>
      </c>
      <c r="O2302" s="89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8"/>
    </row>
    <row r="2303" spans="1:30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477"/>
        <v>10</v>
      </c>
      <c r="C2303" s="37">
        <f t="shared" si="479"/>
        <v>41926</v>
      </c>
      <c r="D2303" s="37" t="s">
        <v>1379</v>
      </c>
      <c r="E2303" s="191">
        <v>41926</v>
      </c>
      <c r="F2303" s="192" t="s">
        <v>706</v>
      </c>
      <c r="G2303" s="463" t="s">
        <v>736</v>
      </c>
      <c r="H2303" s="7" t="s">
        <v>1372</v>
      </c>
      <c r="I2303" s="251">
        <v>1635</v>
      </c>
      <c r="J2303" s="251">
        <v>7978.7474094213294</v>
      </c>
      <c r="K2303" s="563">
        <f t="shared" si="478"/>
        <v>13045252</v>
      </c>
      <c r="L2303" s="194" t="s">
        <v>175</v>
      </c>
      <c r="M2303" s="194" t="s">
        <v>169</v>
      </c>
      <c r="N2303" s="52" t="str">
        <f>IF(AND('331-CT'!$E$7=TH!H2303,OR(L2303="331",M2303="331")),"331",IF(AND(OR(L2303="131",M2303="131"),H2303='131-CT'!$E$7),"131",""))</f>
        <v/>
      </c>
      <c r="O2303" s="89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8"/>
    </row>
    <row r="2304" spans="1:30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477"/>
        <v>10</v>
      </c>
      <c r="C2304" s="37">
        <f t="shared" si="479"/>
        <v>41926</v>
      </c>
      <c r="D2304" s="37" t="s">
        <v>1379</v>
      </c>
      <c r="E2304" s="191">
        <v>41926</v>
      </c>
      <c r="F2304" s="192" t="s">
        <v>494</v>
      </c>
      <c r="G2304" s="463" t="s">
        <v>737</v>
      </c>
      <c r="H2304" s="7" t="s">
        <v>1372</v>
      </c>
      <c r="I2304" s="251">
        <v>197</v>
      </c>
      <c r="J2304" s="251">
        <v>6744.9204904386497</v>
      </c>
      <c r="K2304" s="563">
        <f t="shared" si="478"/>
        <v>1328749</v>
      </c>
      <c r="L2304" s="194" t="s">
        <v>175</v>
      </c>
      <c r="M2304" s="194" t="s">
        <v>169</v>
      </c>
      <c r="N2304" s="52" t="str">
        <f>IF(AND('331-CT'!$E$7=TH!H2304,OR(L2304="331",M2304="331")),"331",IF(AND(OR(L2304="131",M2304="131"),H2304='131-CT'!$E$7),"131",""))</f>
        <v/>
      </c>
      <c r="O2304" s="89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8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477"/>
        <v>10</v>
      </c>
      <c r="C2305" s="37">
        <f t="shared" si="479"/>
        <v>41926</v>
      </c>
      <c r="D2305" s="37" t="s">
        <v>1379</v>
      </c>
      <c r="E2305" s="191">
        <v>41926</v>
      </c>
      <c r="F2305" s="192" t="s">
        <v>512</v>
      </c>
      <c r="G2305" s="463" t="s">
        <v>737</v>
      </c>
      <c r="H2305" s="7" t="s">
        <v>1372</v>
      </c>
      <c r="I2305" s="251">
        <v>300</v>
      </c>
      <c r="J2305" s="251">
        <v>5757.8589552525054</v>
      </c>
      <c r="K2305" s="563">
        <f t="shared" si="478"/>
        <v>1727358</v>
      </c>
      <c r="L2305" s="194" t="s">
        <v>175</v>
      </c>
      <c r="M2305" s="194" t="s">
        <v>169</v>
      </c>
      <c r="N2305" s="52" t="str">
        <f>IF(AND('331-CT'!$E$7=TH!H2305,OR(L2305="331",M2305="331")),"331",IF(AND(OR(L2305="131",M2305="131"),H2305='131-CT'!$E$7),"131",""))</f>
        <v/>
      </c>
      <c r="O2305" s="89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8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477"/>
        <v>10</v>
      </c>
      <c r="C2306" s="37">
        <f t="shared" si="479"/>
        <v>41926</v>
      </c>
      <c r="D2306" s="37" t="s">
        <v>1379</v>
      </c>
      <c r="E2306" s="191">
        <v>41926</v>
      </c>
      <c r="F2306" s="192" t="s">
        <v>738</v>
      </c>
      <c r="G2306" s="463" t="s">
        <v>737</v>
      </c>
      <c r="H2306" s="7" t="s">
        <v>1372</v>
      </c>
      <c r="I2306" s="251">
        <v>42</v>
      </c>
      <c r="J2306" s="251">
        <v>1151.5717910505014</v>
      </c>
      <c r="K2306" s="563">
        <f t="shared" si="478"/>
        <v>48366</v>
      </c>
      <c r="L2306" s="194" t="s">
        <v>175</v>
      </c>
      <c r="M2306" s="194" t="s">
        <v>169</v>
      </c>
      <c r="N2306" s="52" t="str">
        <f>IF(AND('331-CT'!$E$7=TH!H2306,OR(L2306="331",M2306="331")),"331",IF(AND(OR(L2306="131",M2306="131"),H2306='131-CT'!$E$7),"131",""))</f>
        <v/>
      </c>
      <c r="O2306" s="89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8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477"/>
        <v>10</v>
      </c>
      <c r="C2307" s="37">
        <f t="shared" si="479"/>
        <v>41926</v>
      </c>
      <c r="D2307" s="37" t="s">
        <v>1379</v>
      </c>
      <c r="E2307" s="191">
        <v>41926</v>
      </c>
      <c r="F2307" s="192" t="s">
        <v>486</v>
      </c>
      <c r="G2307" s="463" t="s">
        <v>737</v>
      </c>
      <c r="H2307" s="7" t="s">
        <v>1372</v>
      </c>
      <c r="I2307" s="251">
        <v>297</v>
      </c>
      <c r="J2307" s="251">
        <v>7320.7063859639002</v>
      </c>
      <c r="K2307" s="563">
        <f t="shared" si="478"/>
        <v>2174250</v>
      </c>
      <c r="L2307" s="194" t="s">
        <v>175</v>
      </c>
      <c r="M2307" s="194" t="s">
        <v>169</v>
      </c>
      <c r="N2307" s="52" t="str">
        <f>IF(AND('331-CT'!$E$7=TH!H2307,OR(L2307="331",M2307="331")),"331",IF(AND(OR(L2307="131",M2307="131"),H2307='131-CT'!$E$7),"131",""))</f>
        <v/>
      </c>
      <c r="O2307" s="89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8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477"/>
        <v>10</v>
      </c>
      <c r="C2308" s="37">
        <f t="shared" si="479"/>
        <v>41926</v>
      </c>
      <c r="D2308" s="37" t="s">
        <v>1379</v>
      </c>
      <c r="E2308" s="191">
        <v>41926</v>
      </c>
      <c r="F2308" s="192" t="s">
        <v>739</v>
      </c>
      <c r="G2308" s="463" t="s">
        <v>740</v>
      </c>
      <c r="H2308" s="7" t="s">
        <v>1372</v>
      </c>
      <c r="I2308" s="251">
        <v>135</v>
      </c>
      <c r="J2308" s="251">
        <v>8472.2781770144011</v>
      </c>
      <c r="K2308" s="563">
        <f t="shared" si="478"/>
        <v>1143758</v>
      </c>
      <c r="L2308" s="194" t="s">
        <v>175</v>
      </c>
      <c r="M2308" s="194" t="s">
        <v>169</v>
      </c>
      <c r="N2308" s="52" t="str">
        <f>IF(AND('331-CT'!$E$7=TH!H2308,OR(L2308="331",M2308="331")),"331",IF(AND(OR(L2308="131",M2308="131"),H2308='131-CT'!$E$7),"131",""))</f>
        <v/>
      </c>
      <c r="O2308" s="89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8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477"/>
        <v>10</v>
      </c>
      <c r="C2309" s="37">
        <f t="shared" si="479"/>
        <v>41926</v>
      </c>
      <c r="D2309" s="37" t="s">
        <v>1379</v>
      </c>
      <c r="E2309" s="191">
        <v>41926</v>
      </c>
      <c r="F2309" s="192" t="s">
        <v>739</v>
      </c>
      <c r="G2309" s="463" t="s">
        <v>740</v>
      </c>
      <c r="H2309" s="7" t="s">
        <v>1372</v>
      </c>
      <c r="I2309" s="251">
        <v>280</v>
      </c>
      <c r="J2309" s="251">
        <v>8472.2781770144011</v>
      </c>
      <c r="K2309" s="563">
        <f t="shared" si="478"/>
        <v>2372238</v>
      </c>
      <c r="L2309" s="194" t="s">
        <v>175</v>
      </c>
      <c r="M2309" s="194" t="s">
        <v>169</v>
      </c>
      <c r="N2309" s="52" t="str">
        <f>IF(AND('331-CT'!$E$7=TH!H2309,OR(L2309="331",M2309="331")),"331",IF(AND(OR(L2309="131",M2309="131"),H2309='131-CT'!$E$7),"131",""))</f>
        <v/>
      </c>
      <c r="O2309" s="89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8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477"/>
        <v>10</v>
      </c>
      <c r="C2310" s="37">
        <f t="shared" si="479"/>
        <v>41928</v>
      </c>
      <c r="D2310" s="37" t="s">
        <v>1379</v>
      </c>
      <c r="E2310" s="191">
        <v>41928</v>
      </c>
      <c r="F2310" s="192" t="s">
        <v>741</v>
      </c>
      <c r="G2310" s="463" t="s">
        <v>742</v>
      </c>
      <c r="H2310" s="7" t="s">
        <v>1372</v>
      </c>
      <c r="I2310" s="251">
        <v>2960</v>
      </c>
      <c r="J2310" s="251">
        <v>5593.3486993881488</v>
      </c>
      <c r="K2310" s="563">
        <f t="shared" si="478"/>
        <v>16556312</v>
      </c>
      <c r="L2310" s="194" t="s">
        <v>175</v>
      </c>
      <c r="M2310" s="194" t="s">
        <v>169</v>
      </c>
      <c r="N2310" s="52" t="str">
        <f>IF(AND('331-CT'!$E$7=TH!H2310,OR(L2310="331",M2310="331")),"331",IF(AND(OR(L2310="131",M2310="131"),H2310='131-CT'!$E$7),"131",""))</f>
        <v/>
      </c>
      <c r="O2310" s="89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8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477"/>
        <v>10</v>
      </c>
      <c r="C2311" s="37">
        <f t="shared" si="479"/>
        <v>41929</v>
      </c>
      <c r="D2311" s="37" t="s">
        <v>1379</v>
      </c>
      <c r="E2311" s="191">
        <v>41929</v>
      </c>
      <c r="F2311" s="192" t="s">
        <v>612</v>
      </c>
      <c r="G2311" s="463" t="s">
        <v>743</v>
      </c>
      <c r="H2311" s="7" t="s">
        <v>1372</v>
      </c>
      <c r="I2311" s="251">
        <v>500</v>
      </c>
      <c r="J2311" s="251">
        <v>4359.5217804054691</v>
      </c>
      <c r="K2311" s="563">
        <f t="shared" si="478"/>
        <v>2179761</v>
      </c>
      <c r="L2311" s="194" t="s">
        <v>175</v>
      </c>
      <c r="M2311" s="194" t="s">
        <v>169</v>
      </c>
      <c r="N2311" s="52" t="str">
        <f>IF(AND('331-CT'!$E$7=TH!H2311,OR(L2311="331",M2311="331")),"331",IF(AND(OR(L2311="131",M2311="131"),H2311='131-CT'!$E$7),"131",""))</f>
        <v/>
      </c>
      <c r="O2311" s="89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8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477"/>
        <v>10</v>
      </c>
      <c r="C2312" s="37">
        <f t="shared" si="479"/>
        <v>41934</v>
      </c>
      <c r="D2312" s="37" t="s">
        <v>1379</v>
      </c>
      <c r="E2312" s="191">
        <v>41934</v>
      </c>
      <c r="F2312" s="192" t="s">
        <v>744</v>
      </c>
      <c r="G2312" s="463" t="s">
        <v>745</v>
      </c>
      <c r="H2312" s="7" t="s">
        <v>1372</v>
      </c>
      <c r="I2312" s="251">
        <v>164</v>
      </c>
      <c r="J2312" s="251">
        <v>20975.057622705557</v>
      </c>
      <c r="K2312" s="563">
        <f t="shared" si="478"/>
        <v>3439909</v>
      </c>
      <c r="L2312" s="194" t="s">
        <v>175</v>
      </c>
      <c r="M2312" s="194" t="s">
        <v>169</v>
      </c>
      <c r="N2312" s="52" t="str">
        <f>IF(AND('331-CT'!$E$7=TH!H2312,OR(L2312="331",M2312="331")),"331",IF(AND(OR(L2312="131",M2312="131"),H2312='131-CT'!$E$7),"131",""))</f>
        <v/>
      </c>
      <c r="O2312" s="89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8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477"/>
        <v>10</v>
      </c>
      <c r="C2313" s="37">
        <f t="shared" si="479"/>
        <v>41934</v>
      </c>
      <c r="D2313" s="37" t="s">
        <v>1379</v>
      </c>
      <c r="E2313" s="191">
        <v>41934</v>
      </c>
      <c r="F2313" s="192" t="s">
        <v>746</v>
      </c>
      <c r="G2313" s="463" t="s">
        <v>745</v>
      </c>
      <c r="H2313" s="7" t="s">
        <v>1372</v>
      </c>
      <c r="I2313" s="251">
        <v>328</v>
      </c>
      <c r="J2313" s="251">
        <v>1233.8269189826799</v>
      </c>
      <c r="K2313" s="563">
        <f t="shared" si="478"/>
        <v>404695</v>
      </c>
      <c r="L2313" s="194" t="s">
        <v>175</v>
      </c>
      <c r="M2313" s="194" t="s">
        <v>169</v>
      </c>
      <c r="N2313" s="52" t="str">
        <f>IF(AND('331-CT'!$E$7=TH!H2313,OR(L2313="331",M2313="331")),"331",IF(AND(OR(L2313="131",M2313="131"),H2313='131-CT'!$E$7),"131",""))</f>
        <v/>
      </c>
      <c r="O2313" s="89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8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477"/>
        <v>10</v>
      </c>
      <c r="C2314" s="37">
        <f t="shared" si="479"/>
        <v>41934</v>
      </c>
      <c r="D2314" s="37" t="s">
        <v>1379</v>
      </c>
      <c r="E2314" s="191">
        <v>41934</v>
      </c>
      <c r="F2314" s="192" t="s">
        <v>747</v>
      </c>
      <c r="G2314" s="463" t="s">
        <v>748</v>
      </c>
      <c r="H2314" s="7" t="s">
        <v>1372</v>
      </c>
      <c r="I2314" s="251">
        <v>738</v>
      </c>
      <c r="J2314" s="251">
        <v>14641.4127719278</v>
      </c>
      <c r="K2314" s="563">
        <f t="shared" si="478"/>
        <v>10805363</v>
      </c>
      <c r="L2314" s="194" t="s">
        <v>175</v>
      </c>
      <c r="M2314" s="194" t="s">
        <v>169</v>
      </c>
      <c r="N2314" s="52" t="str">
        <f>IF(AND('331-CT'!$E$7=TH!H2314,OR(L2314="331",M2314="331")),"331",IF(AND(OR(L2314="131",M2314="131"),H2314='131-CT'!$E$7),"131",""))</f>
        <v/>
      </c>
      <c r="O2314" s="89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8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477"/>
        <v>10</v>
      </c>
      <c r="C2315" s="37">
        <f t="shared" si="479"/>
        <v>41934</v>
      </c>
      <c r="D2315" s="37" t="s">
        <v>1379</v>
      </c>
      <c r="E2315" s="191">
        <v>41934</v>
      </c>
      <c r="F2315" s="192" t="s">
        <v>712</v>
      </c>
      <c r="G2315" s="463" t="s">
        <v>748</v>
      </c>
      <c r="H2315" s="7" t="s">
        <v>1372</v>
      </c>
      <c r="I2315" s="251">
        <v>30</v>
      </c>
      <c r="J2315" s="251">
        <v>9952.8704797936171</v>
      </c>
      <c r="K2315" s="563">
        <f t="shared" si="478"/>
        <v>298586</v>
      </c>
      <c r="L2315" s="194" t="s">
        <v>175</v>
      </c>
      <c r="M2315" s="194" t="s">
        <v>169</v>
      </c>
      <c r="N2315" s="52" t="str">
        <f>IF(AND('331-CT'!$E$7=TH!H2315,OR(L2315="331",M2315="331")),"331",IF(AND(OR(L2315="131",M2315="131"),H2315='131-CT'!$E$7),"131",""))</f>
        <v/>
      </c>
      <c r="O2315" s="89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8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477"/>
        <v>10</v>
      </c>
      <c r="C2316" s="37">
        <f t="shared" si="479"/>
        <v>41935</v>
      </c>
      <c r="D2316" s="37" t="s">
        <v>1379</v>
      </c>
      <c r="E2316" s="724">
        <v>41935</v>
      </c>
      <c r="F2316" s="40" t="s">
        <v>652</v>
      </c>
      <c r="G2316" s="40" t="s">
        <v>749</v>
      </c>
      <c r="H2316" s="7" t="s">
        <v>1372</v>
      </c>
      <c r="I2316" s="251">
        <v>4080</v>
      </c>
      <c r="J2316" s="251">
        <v>6086.8794669812205</v>
      </c>
      <c r="K2316" s="563">
        <f t="shared" si="478"/>
        <v>24834468</v>
      </c>
      <c r="L2316" s="194" t="s">
        <v>175</v>
      </c>
      <c r="M2316" s="194" t="s">
        <v>169</v>
      </c>
      <c r="N2316" s="52" t="str">
        <f>IF(AND('331-CT'!$E$7=TH!H2316,OR(L2316="331",M2316="331")),"331",IF(AND(OR(L2316="131",M2316="131"),H2316='131-CT'!$E$7),"131",""))</f>
        <v/>
      </c>
      <c r="O2316" s="89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8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477"/>
        <v>10</v>
      </c>
      <c r="C2317" s="37">
        <f t="shared" si="479"/>
        <v>41937</v>
      </c>
      <c r="D2317" s="37" t="s">
        <v>1379</v>
      </c>
      <c r="E2317" s="724">
        <v>41937</v>
      </c>
      <c r="F2317" s="40" t="s">
        <v>436</v>
      </c>
      <c r="G2317" s="40" t="s">
        <v>750</v>
      </c>
      <c r="H2317" s="7" t="s">
        <v>1372</v>
      </c>
      <c r="I2317" s="251">
        <v>388</v>
      </c>
      <c r="J2317" s="251">
        <v>7814.2371535569719</v>
      </c>
      <c r="K2317" s="563">
        <f t="shared" si="478"/>
        <v>3031924</v>
      </c>
      <c r="L2317" s="194" t="s">
        <v>175</v>
      </c>
      <c r="M2317" s="194" t="s">
        <v>169</v>
      </c>
      <c r="N2317" s="52" t="str">
        <f>IF(AND('331-CT'!$E$7=TH!H2317,OR(L2317="331",M2317="331")),"331",IF(AND(OR(L2317="131",M2317="131"),H2317='131-CT'!$E$7),"131",""))</f>
        <v/>
      </c>
      <c r="O2317" s="89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8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477"/>
        <v>10</v>
      </c>
      <c r="C2318" s="37">
        <f t="shared" si="479"/>
        <v>41937</v>
      </c>
      <c r="D2318" s="37" t="s">
        <v>1379</v>
      </c>
      <c r="E2318" s="724">
        <v>41937</v>
      </c>
      <c r="F2318" s="189" t="s">
        <v>566</v>
      </c>
      <c r="G2318" s="40" t="s">
        <v>750</v>
      </c>
      <c r="H2318" s="7" t="s">
        <v>1372</v>
      </c>
      <c r="I2318" s="251">
        <v>405</v>
      </c>
      <c r="J2318" s="251">
        <v>7978.7474094213294</v>
      </c>
      <c r="K2318" s="563">
        <f t="shared" si="478"/>
        <v>3231393</v>
      </c>
      <c r="L2318" s="194" t="s">
        <v>175</v>
      </c>
      <c r="M2318" s="194" t="s">
        <v>169</v>
      </c>
      <c r="N2318" s="52" t="str">
        <f>IF(AND('331-CT'!$E$7=TH!H2318,OR(L2318="331",M2318="331")),"331",IF(AND(OR(L2318="131",M2318="131"),H2318='131-CT'!$E$7),"131",""))</f>
        <v/>
      </c>
      <c r="O2318" s="89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8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477"/>
        <v>10</v>
      </c>
      <c r="C2319" s="37">
        <f t="shared" si="479"/>
        <v>41940</v>
      </c>
      <c r="D2319" s="37" t="s">
        <v>1379</v>
      </c>
      <c r="E2319" s="724">
        <v>41940</v>
      </c>
      <c r="F2319" s="40" t="s">
        <v>751</v>
      </c>
      <c r="G2319" s="40" t="s">
        <v>752</v>
      </c>
      <c r="H2319" s="7" t="s">
        <v>1372</v>
      </c>
      <c r="I2319" s="251">
        <v>57</v>
      </c>
      <c r="J2319" s="251">
        <v>20892.802494773379</v>
      </c>
      <c r="K2319" s="563">
        <f t="shared" si="478"/>
        <v>1190890</v>
      </c>
      <c r="L2319" s="194" t="s">
        <v>175</v>
      </c>
      <c r="M2319" s="194" t="s">
        <v>169</v>
      </c>
      <c r="N2319" s="52" t="str">
        <f>IF(AND('331-CT'!$E$7=TH!H2319,OR(L2319="331",M2319="331")),"331",IF(AND(OR(L2319="131",M2319="131"),H2319='131-CT'!$E$7),"131",""))</f>
        <v/>
      </c>
      <c r="O2319" s="89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8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477"/>
        <v>10</v>
      </c>
      <c r="C2320" s="37">
        <f t="shared" si="479"/>
        <v>41940</v>
      </c>
      <c r="D2320" s="37" t="s">
        <v>1379</v>
      </c>
      <c r="E2320" s="724">
        <v>41940</v>
      </c>
      <c r="F2320" s="189" t="s">
        <v>753</v>
      </c>
      <c r="G2320" s="40" t="s">
        <v>752</v>
      </c>
      <c r="H2320" s="7" t="s">
        <v>1372</v>
      </c>
      <c r="I2320" s="251">
        <v>236</v>
      </c>
      <c r="J2320" s="251">
        <v>16862.301226096624</v>
      </c>
      <c r="K2320" s="563">
        <f t="shared" si="478"/>
        <v>3979503</v>
      </c>
      <c r="L2320" s="194" t="s">
        <v>175</v>
      </c>
      <c r="M2320" s="194" t="s">
        <v>169</v>
      </c>
      <c r="N2320" s="52" t="str">
        <f>IF(AND('331-CT'!$E$7=TH!H2320,OR(L2320="331",M2320="331")),"331",IF(AND(OR(L2320="131",M2320="131"),H2320='131-CT'!$E$7),"131",""))</f>
        <v/>
      </c>
      <c r="O2320" s="89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8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477"/>
        <v>10</v>
      </c>
      <c r="C2321" s="37">
        <f t="shared" si="479"/>
        <v>41940</v>
      </c>
      <c r="D2321" s="37" t="s">
        <v>1379</v>
      </c>
      <c r="E2321" s="724">
        <v>41940</v>
      </c>
      <c r="F2321" s="189" t="s">
        <v>746</v>
      </c>
      <c r="G2321" s="40" t="s">
        <v>752</v>
      </c>
      <c r="H2321" s="7" t="s">
        <v>1372</v>
      </c>
      <c r="I2321" s="251">
        <v>586</v>
      </c>
      <c r="J2321" s="251">
        <v>1233.8269189826799</v>
      </c>
      <c r="K2321" s="563">
        <f t="shared" si="478"/>
        <v>723023</v>
      </c>
      <c r="L2321" s="194" t="s">
        <v>175</v>
      </c>
      <c r="M2321" s="194" t="s">
        <v>169</v>
      </c>
      <c r="N2321" s="52" t="str">
        <f>IF(AND('331-CT'!$E$7=TH!H2321,OR(L2321="331",M2321="331")),"331",IF(AND(OR(L2321="131",M2321="131"),H2321='131-CT'!$E$7),"131",""))</f>
        <v/>
      </c>
      <c r="O2321" s="89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8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477"/>
        <v>10</v>
      </c>
      <c r="C2322" s="37">
        <f t="shared" si="479"/>
        <v>41940</v>
      </c>
      <c r="D2322" s="37" t="s">
        <v>1379</v>
      </c>
      <c r="E2322" s="724">
        <v>41940</v>
      </c>
      <c r="F2322" s="189" t="s">
        <v>754</v>
      </c>
      <c r="G2322" s="40" t="s">
        <v>755</v>
      </c>
      <c r="H2322" s="7" t="s">
        <v>1372</v>
      </c>
      <c r="I2322" s="251">
        <v>1028</v>
      </c>
      <c r="J2322" s="251">
        <v>5264.3281876594338</v>
      </c>
      <c r="K2322" s="563">
        <f t="shared" si="478"/>
        <v>5411729</v>
      </c>
      <c r="L2322" s="194" t="s">
        <v>175</v>
      </c>
      <c r="M2322" s="194" t="s">
        <v>169</v>
      </c>
      <c r="N2322" s="52" t="str">
        <f>IF(AND('331-CT'!$E$7=TH!H2322,OR(L2322="331",M2322="331")),"331",IF(AND(OR(L2322="131",M2322="131"),H2322='131-CT'!$E$7),"131",""))</f>
        <v/>
      </c>
      <c r="O2322" s="89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8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477"/>
        <v>10</v>
      </c>
      <c r="C2323" s="37">
        <f t="shared" si="479"/>
        <v>41941</v>
      </c>
      <c r="D2323" s="37" t="s">
        <v>1379</v>
      </c>
      <c r="E2323" s="724">
        <v>41941</v>
      </c>
      <c r="F2323" s="189" t="s">
        <v>1203</v>
      </c>
      <c r="G2323" s="40" t="s">
        <v>756</v>
      </c>
      <c r="H2323" s="7" t="s">
        <v>1372</v>
      </c>
      <c r="I2323" s="251">
        <v>500</v>
      </c>
      <c r="J2323" s="251">
        <v>658.04102345742922</v>
      </c>
      <c r="K2323" s="563">
        <f t="shared" si="478"/>
        <v>329021</v>
      </c>
      <c r="L2323" s="194" t="s">
        <v>175</v>
      </c>
      <c r="M2323" s="194" t="s">
        <v>169</v>
      </c>
      <c r="N2323" s="52" t="str">
        <f>IF(AND('331-CT'!$E$7=TH!H2323,OR(L2323="331",M2323="331")),"331",IF(AND(OR(L2323="131",M2323="131"),H2323='131-CT'!$E$7),"131",""))</f>
        <v/>
      </c>
      <c r="O2323" s="89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8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477"/>
        <v>10</v>
      </c>
      <c r="C2324" s="37">
        <f t="shared" si="479"/>
        <v>41941</v>
      </c>
      <c r="D2324" s="37" t="s">
        <v>1379</v>
      </c>
      <c r="E2324" s="724">
        <v>41941</v>
      </c>
      <c r="F2324" s="189" t="s">
        <v>1204</v>
      </c>
      <c r="G2324" s="40" t="s">
        <v>756</v>
      </c>
      <c r="H2324" s="7" t="s">
        <v>1372</v>
      </c>
      <c r="I2324" s="251">
        <v>500</v>
      </c>
      <c r="J2324" s="251">
        <v>493.53076759307191</v>
      </c>
      <c r="K2324" s="563">
        <f t="shared" si="478"/>
        <v>246765</v>
      </c>
      <c r="L2324" s="194" t="s">
        <v>175</v>
      </c>
      <c r="M2324" s="194" t="s">
        <v>169</v>
      </c>
      <c r="N2324" s="52" t="str">
        <f>IF(AND('331-CT'!$E$7=TH!H2324,OR(L2324="331",M2324="331")),"331",IF(AND(OR(L2324="131",M2324="131"),H2324='131-CT'!$E$7),"131",""))</f>
        <v/>
      </c>
      <c r="O2324" s="89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8"/>
    </row>
    <row r="2325" spans="1:28" s="211" customFormat="1" ht="15.75" customHeight="1">
      <c r="A2325" s="204" t="str">
        <f>IF(B2325&lt;&gt;"",IF(AND(B2325&gt;=_TM1,B2325&lt;=_TM2,OR(TH!L2325="1111",TH!M2325="1111")),TH!D2325,""),"")</f>
        <v/>
      </c>
      <c r="B2325" s="36">
        <f t="shared" si="477"/>
        <v>10</v>
      </c>
      <c r="C2325" s="37">
        <f t="shared" si="479"/>
        <v>41941</v>
      </c>
      <c r="D2325" s="37" t="s">
        <v>1379</v>
      </c>
      <c r="E2325" s="724">
        <v>41941</v>
      </c>
      <c r="F2325" s="40" t="s">
        <v>1205</v>
      </c>
      <c r="G2325" s="40" t="s">
        <v>756</v>
      </c>
      <c r="H2325" s="7" t="s">
        <v>1372</v>
      </c>
      <c r="I2325" s="251">
        <v>500</v>
      </c>
      <c r="J2325" s="251">
        <v>1398.3371748470372</v>
      </c>
      <c r="K2325" s="563">
        <f t="shared" si="478"/>
        <v>699169</v>
      </c>
      <c r="L2325" s="194" t="s">
        <v>175</v>
      </c>
      <c r="M2325" s="194" t="s">
        <v>169</v>
      </c>
      <c r="N2325" s="52" t="str">
        <f>IF(AND('331-CT'!$E$7=TH!H2325,OR(L2325="331",M2325="331")),"331",IF(AND(OR(L2325="131",M2325="131"),H2325='131-CT'!$E$7),"131",""))</f>
        <v/>
      </c>
      <c r="O2325" s="89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8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si="477"/>
        <v>10</v>
      </c>
      <c r="C2326" s="37">
        <f t="shared" si="479"/>
        <v>41942</v>
      </c>
      <c r="D2326" s="37" t="s">
        <v>1379</v>
      </c>
      <c r="E2326" s="724">
        <v>41942</v>
      </c>
      <c r="F2326" s="40" t="s">
        <v>1206</v>
      </c>
      <c r="G2326" s="40" t="s">
        <v>757</v>
      </c>
      <c r="H2326" s="7" t="s">
        <v>1372</v>
      </c>
      <c r="I2326" s="251">
        <v>595</v>
      </c>
      <c r="J2326" s="251">
        <v>9377.0845842683666</v>
      </c>
      <c r="K2326" s="563">
        <f t="shared" si="478"/>
        <v>5579365</v>
      </c>
      <c r="L2326" s="194" t="s">
        <v>175</v>
      </c>
      <c r="M2326" s="194" t="s">
        <v>169</v>
      </c>
      <c r="N2326" s="52" t="str">
        <f>IF(AND('331-CT'!$E$7=TH!H2326,OR(L2326="331",M2326="331")),"331",IF(AND(OR(L2326="131",M2326="131"),H2326='131-CT'!$E$7),"131",""))</f>
        <v/>
      </c>
      <c r="O2326" s="89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8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si="477"/>
        <v>10</v>
      </c>
      <c r="C2327" s="37">
        <f t="shared" si="479"/>
        <v>41942</v>
      </c>
      <c r="D2327" s="37" t="s">
        <v>1379</v>
      </c>
      <c r="E2327" s="724">
        <v>41942</v>
      </c>
      <c r="F2327" s="40" t="s">
        <v>445</v>
      </c>
      <c r="G2327" s="40" t="s">
        <v>757</v>
      </c>
      <c r="H2327" s="7" t="s">
        <v>1372</v>
      </c>
      <c r="I2327" s="251">
        <v>1190</v>
      </c>
      <c r="J2327" s="251">
        <v>822.55127932178664</v>
      </c>
      <c r="K2327" s="563">
        <f t="shared" si="478"/>
        <v>978836</v>
      </c>
      <c r="L2327" s="194" t="s">
        <v>175</v>
      </c>
      <c r="M2327" s="194" t="s">
        <v>169</v>
      </c>
      <c r="N2327" s="52" t="str">
        <f>IF(AND('331-CT'!$E$7=TH!H2327,OR(L2327="331",M2327="331")),"331",IF(AND(OR(L2327="131",M2327="131"),H2327='131-CT'!$E$7),"131",""))</f>
        <v/>
      </c>
      <c r="O2327" s="89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8"/>
    </row>
    <row r="2328" spans="1:28" s="211" customFormat="1" ht="15.75" customHeight="1">
      <c r="A2328" s="204" t="str">
        <f>IF(B2328&lt;&gt;"",IF(AND(B2328&gt;=_TM1,B2328&lt;=_TM2,OR(TH!L2328="1111",TH!M2328="1111")),TH!D2328,""),"")</f>
        <v/>
      </c>
      <c r="B2328" s="36">
        <f t="shared" si="477"/>
        <v>10</v>
      </c>
      <c r="C2328" s="37">
        <f t="shared" si="479"/>
        <v>41942</v>
      </c>
      <c r="D2328" s="37" t="s">
        <v>1379</v>
      </c>
      <c r="E2328" s="724">
        <v>41942</v>
      </c>
      <c r="F2328" s="40" t="s">
        <v>459</v>
      </c>
      <c r="G2328" s="40" t="s">
        <v>758</v>
      </c>
      <c r="H2328" s="7" t="s">
        <v>1372</v>
      </c>
      <c r="I2328" s="251">
        <v>1005</v>
      </c>
      <c r="J2328" s="251">
        <v>7567.4717697604365</v>
      </c>
      <c r="K2328" s="563">
        <f t="shared" si="478"/>
        <v>7605309</v>
      </c>
      <c r="L2328" s="194" t="s">
        <v>175</v>
      </c>
      <c r="M2328" s="194" t="s">
        <v>169</v>
      </c>
      <c r="N2328" s="52" t="str">
        <f>IF(AND('331-CT'!$E$7=TH!H2328,OR(L2328="331",M2328="331")),"331",IF(AND(OR(L2328="131",M2328="131"),H2328='131-CT'!$E$7),"131",""))</f>
        <v/>
      </c>
      <c r="O2328" s="89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8"/>
    </row>
    <row r="2329" spans="1:28" s="211" customFormat="1" ht="15.75" customHeight="1">
      <c r="A2329" s="204" t="str">
        <f>IF(B2329&lt;&gt;"",IF(AND(B2329&gt;=_TM1,B2329&lt;=_TM2,OR(TH!L2329="1111",TH!M2329="1111")),TH!D2329,""),"")</f>
        <v/>
      </c>
      <c r="B2329" s="36">
        <f t="shared" si="477"/>
        <v>11</v>
      </c>
      <c r="C2329" s="37">
        <f t="shared" si="479"/>
        <v>41947</v>
      </c>
      <c r="D2329" s="37" t="s">
        <v>1379</v>
      </c>
      <c r="E2329" s="724">
        <v>41947</v>
      </c>
      <c r="F2329" s="192" t="s">
        <v>512</v>
      </c>
      <c r="G2329" s="40" t="s">
        <v>759</v>
      </c>
      <c r="H2329" s="7" t="s">
        <v>1372</v>
      </c>
      <c r="I2329" s="251">
        <v>300</v>
      </c>
      <c r="J2329" s="251">
        <v>5757.8589552525054</v>
      </c>
      <c r="K2329" s="563">
        <f t="shared" si="478"/>
        <v>1727358</v>
      </c>
      <c r="L2329" s="194" t="s">
        <v>175</v>
      </c>
      <c r="M2329" s="194" t="s">
        <v>169</v>
      </c>
      <c r="N2329" s="52" t="str">
        <f>IF(AND('331-CT'!$E$7=TH!H2329,OR(L2329="331",M2329="331")),"331",IF(AND(OR(L2329="131",M2329="131"),H2329='131-CT'!$E$7),"131",""))</f>
        <v/>
      </c>
      <c r="O2329" s="89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8"/>
    </row>
    <row r="2330" spans="1:28" s="211" customFormat="1" ht="15.75" customHeight="1">
      <c r="A2330" s="204" t="str">
        <f>IF(B2330&lt;&gt;"",IF(AND(B2330&gt;=_TM1,B2330&lt;=_TM2,OR(TH!L2330="1111",TH!M2330="1111")),TH!D2330,""),"")</f>
        <v/>
      </c>
      <c r="B2330" s="36">
        <f t="shared" si="477"/>
        <v>11</v>
      </c>
      <c r="C2330" s="37">
        <f t="shared" si="479"/>
        <v>41947</v>
      </c>
      <c r="D2330" s="37" t="s">
        <v>1379</v>
      </c>
      <c r="E2330" s="724">
        <v>41947</v>
      </c>
      <c r="F2330" s="40" t="s">
        <v>486</v>
      </c>
      <c r="G2330" s="40" t="s">
        <v>759</v>
      </c>
      <c r="H2330" s="7" t="s">
        <v>1372</v>
      </c>
      <c r="I2330" s="251">
        <v>300</v>
      </c>
      <c r="J2330" s="251">
        <v>7320.7063859639002</v>
      </c>
      <c r="K2330" s="563">
        <f t="shared" si="478"/>
        <v>2196212</v>
      </c>
      <c r="L2330" s="194" t="s">
        <v>175</v>
      </c>
      <c r="M2330" s="194" t="s">
        <v>169</v>
      </c>
      <c r="N2330" s="52" t="str">
        <f>IF(AND('331-CT'!$E$7=TH!H2330,OR(L2330="331",M2330="331")),"331",IF(AND(OR(L2330="131",M2330="131"),H2330='131-CT'!$E$7),"131",""))</f>
        <v/>
      </c>
      <c r="O2330" s="89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8"/>
    </row>
    <row r="2331" spans="1:28" s="211" customFormat="1" ht="15.75" customHeight="1">
      <c r="A2331" s="204" t="str">
        <f>IF(B2331&lt;&gt;"",IF(AND(B2331&gt;=_TM1,B2331&lt;=_TM2,OR(TH!L2331="1111",TH!M2331="1111")),TH!D2331,""),"")</f>
        <v/>
      </c>
      <c r="B2331" s="36">
        <f t="shared" si="477"/>
        <v>11</v>
      </c>
      <c r="C2331" s="37">
        <f t="shared" si="479"/>
        <v>41947</v>
      </c>
      <c r="D2331" s="37" t="s">
        <v>1379</v>
      </c>
      <c r="E2331" s="724">
        <v>41947</v>
      </c>
      <c r="F2331" s="40" t="s">
        <v>760</v>
      </c>
      <c r="G2331" s="40" t="s">
        <v>761</v>
      </c>
      <c r="H2331" s="7" t="s">
        <v>1372</v>
      </c>
      <c r="I2331" s="251">
        <v>224</v>
      </c>
      <c r="J2331" s="251">
        <v>19165.444808197626</v>
      </c>
      <c r="K2331" s="563">
        <f t="shared" si="478"/>
        <v>4293060</v>
      </c>
      <c r="L2331" s="194" t="s">
        <v>175</v>
      </c>
      <c r="M2331" s="194" t="s">
        <v>169</v>
      </c>
      <c r="N2331" s="52" t="str">
        <f>IF(AND('331-CT'!$E$7=TH!H2331,OR(L2331="331",M2331="331")),"331",IF(AND(OR(L2331="131",M2331="131"),H2331='131-CT'!$E$7),"131",""))</f>
        <v/>
      </c>
      <c r="O2331" s="89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8"/>
    </row>
    <row r="2332" spans="1:28" s="211" customFormat="1" ht="15.75" customHeight="1">
      <c r="A2332" s="204" t="str">
        <f>IF(B2332&lt;&gt;"",IF(AND(B2332&gt;=_TM1,B2332&lt;=_TM2,OR(TH!L2332="1111",TH!M2332="1111")),TH!D2332,""),"")</f>
        <v/>
      </c>
      <c r="B2332" s="36">
        <f t="shared" si="477"/>
        <v>11</v>
      </c>
      <c r="C2332" s="37">
        <f t="shared" si="479"/>
        <v>41947</v>
      </c>
      <c r="D2332" s="37" t="s">
        <v>1379</v>
      </c>
      <c r="E2332" s="724">
        <v>41947</v>
      </c>
      <c r="F2332" s="40" t="s">
        <v>746</v>
      </c>
      <c r="G2332" s="40" t="s">
        <v>761</v>
      </c>
      <c r="H2332" s="7" t="s">
        <v>1372</v>
      </c>
      <c r="I2332" s="251">
        <v>448</v>
      </c>
      <c r="J2332" s="251">
        <v>1233.8269189826799</v>
      </c>
      <c r="K2332" s="563">
        <f t="shared" si="478"/>
        <v>552754</v>
      </c>
      <c r="L2332" s="194" t="s">
        <v>175</v>
      </c>
      <c r="M2332" s="194" t="s">
        <v>169</v>
      </c>
      <c r="N2332" s="52" t="str">
        <f>IF(AND('331-CT'!$E$7=TH!H2332,OR(L2332="331",M2332="331")),"331",IF(AND(OR(L2332="131",M2332="131"),H2332='131-CT'!$E$7),"131",""))</f>
        <v/>
      </c>
      <c r="O2332" s="89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8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477"/>
        <v>11</v>
      </c>
      <c r="C2333" s="37">
        <f t="shared" si="479"/>
        <v>41947</v>
      </c>
      <c r="D2333" s="37" t="s">
        <v>1379</v>
      </c>
      <c r="E2333" s="724">
        <v>41947</v>
      </c>
      <c r="F2333" s="40" t="s">
        <v>466</v>
      </c>
      <c r="G2333" s="40" t="s">
        <v>762</v>
      </c>
      <c r="H2333" s="7" t="s">
        <v>1372</v>
      </c>
      <c r="I2333" s="251">
        <v>1529</v>
      </c>
      <c r="J2333" s="251">
        <v>4277.2666524732904</v>
      </c>
      <c r="K2333" s="563">
        <f t="shared" si="478"/>
        <v>6539941</v>
      </c>
      <c r="L2333" s="194" t="s">
        <v>175</v>
      </c>
      <c r="M2333" s="194" t="s">
        <v>169</v>
      </c>
      <c r="N2333" s="52" t="str">
        <f>IF(AND('331-CT'!$E$7=TH!H2333,OR(L2333="331",M2333="331")),"331",IF(AND(OR(L2333="131",M2333="131"),H2333='131-CT'!$E$7),"131",""))</f>
        <v/>
      </c>
      <c r="O2333" s="89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8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477"/>
        <v>11</v>
      </c>
      <c r="C2334" s="37">
        <f t="shared" si="479"/>
        <v>41948</v>
      </c>
      <c r="D2334" s="37" t="s">
        <v>1379</v>
      </c>
      <c r="E2334" s="724">
        <v>41948</v>
      </c>
      <c r="F2334" s="192" t="s">
        <v>583</v>
      </c>
      <c r="G2334" s="40" t="s">
        <v>763</v>
      </c>
      <c r="H2334" s="7" t="s">
        <v>1372</v>
      </c>
      <c r="I2334" s="251">
        <v>11</v>
      </c>
      <c r="J2334" s="251">
        <v>14230.137132266907</v>
      </c>
      <c r="K2334" s="563">
        <f t="shared" si="478"/>
        <v>156532</v>
      </c>
      <c r="L2334" s="194" t="s">
        <v>175</v>
      </c>
      <c r="M2334" s="194" t="s">
        <v>169</v>
      </c>
      <c r="N2334" s="52" t="str">
        <f>IF(AND('331-CT'!$E$7=TH!H2334,OR(L2334="331",M2334="331")),"331",IF(AND(OR(L2334="131",M2334="131"),H2334='131-CT'!$E$7),"131",""))</f>
        <v/>
      </c>
      <c r="O2334" s="89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8"/>
    </row>
    <row r="2335" spans="1:28" s="211" customFormat="1" ht="15.75" customHeight="1">
      <c r="A2335" s="204" t="str">
        <f>IF(B2335&lt;&gt;"",IF(AND(B2335&gt;=_TM1,B2335&lt;=_TM2,OR(TH!L2335="1111",TH!M2335="1111")),TH!D2335,""),"")</f>
        <v/>
      </c>
      <c r="B2335" s="36">
        <f t="shared" si="477"/>
        <v>11</v>
      </c>
      <c r="C2335" s="37">
        <f t="shared" si="479"/>
        <v>41948</v>
      </c>
      <c r="D2335" s="37" t="s">
        <v>1379</v>
      </c>
      <c r="E2335" s="724">
        <v>41948</v>
      </c>
      <c r="F2335" s="438" t="s">
        <v>707</v>
      </c>
      <c r="G2335" s="40" t="s">
        <v>763</v>
      </c>
      <c r="H2335" s="7" t="s">
        <v>1372</v>
      </c>
      <c r="I2335" s="251">
        <v>126</v>
      </c>
      <c r="J2335" s="251">
        <v>10610.911503251047</v>
      </c>
      <c r="K2335" s="563">
        <f t="shared" si="478"/>
        <v>1336975</v>
      </c>
      <c r="L2335" s="194" t="s">
        <v>175</v>
      </c>
      <c r="M2335" s="194" t="s">
        <v>169</v>
      </c>
      <c r="N2335" s="52" t="str">
        <f>IF(AND('331-CT'!$E$7=TH!H2335,OR(L2335="331",M2335="331")),"331",IF(AND(OR(L2335="131",M2335="131"),H2335='131-CT'!$E$7),"131",""))</f>
        <v/>
      </c>
      <c r="O2335" s="89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8"/>
    </row>
    <row r="2336" spans="1:28" s="211" customFormat="1" ht="15.75" customHeight="1">
      <c r="A2336" s="204" t="str">
        <f>IF(B2336&lt;&gt;"",IF(AND(B2336&gt;=_TM1,B2336&lt;=_TM2,OR(TH!L2336="1111",TH!M2336="1111")),TH!D2336,""),"")</f>
        <v/>
      </c>
      <c r="B2336" s="36">
        <f t="shared" si="477"/>
        <v>11</v>
      </c>
      <c r="C2336" s="37">
        <f t="shared" si="479"/>
        <v>41948</v>
      </c>
      <c r="D2336" s="37" t="s">
        <v>1379</v>
      </c>
      <c r="E2336" s="724">
        <v>41948</v>
      </c>
      <c r="F2336" s="40" t="s">
        <v>606</v>
      </c>
      <c r="G2336" s="40" t="s">
        <v>763</v>
      </c>
      <c r="H2336" s="7" t="s">
        <v>1372</v>
      </c>
      <c r="I2336" s="251">
        <v>150</v>
      </c>
      <c r="J2336" s="251">
        <v>9788.3602239292595</v>
      </c>
      <c r="K2336" s="563">
        <f t="shared" si="478"/>
        <v>1468254</v>
      </c>
      <c r="L2336" s="194" t="s">
        <v>175</v>
      </c>
      <c r="M2336" s="194" t="s">
        <v>169</v>
      </c>
      <c r="N2336" s="52" t="str">
        <f>IF(AND('331-CT'!$E$7=TH!H2336,OR(L2336="331",M2336="331")),"331",IF(AND(OR(L2336="131",M2336="131"),H2336='131-CT'!$E$7),"131",""))</f>
        <v/>
      </c>
      <c r="O2336" s="89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8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477"/>
        <v>11</v>
      </c>
      <c r="C2337" s="37">
        <f t="shared" si="479"/>
        <v>41948</v>
      </c>
      <c r="D2337" s="37" t="s">
        <v>1379</v>
      </c>
      <c r="E2337" s="724">
        <v>41948</v>
      </c>
      <c r="F2337" s="189" t="s">
        <v>707</v>
      </c>
      <c r="G2337" s="40" t="s">
        <v>763</v>
      </c>
      <c r="H2337" s="7" t="s">
        <v>1372</v>
      </c>
      <c r="I2337" s="251">
        <v>221</v>
      </c>
      <c r="J2337" s="251">
        <v>10610.911503251047</v>
      </c>
      <c r="K2337" s="563">
        <f t="shared" si="478"/>
        <v>2345011</v>
      </c>
      <c r="L2337" s="194" t="s">
        <v>175</v>
      </c>
      <c r="M2337" s="194" t="s">
        <v>169</v>
      </c>
      <c r="N2337" s="52" t="str">
        <f>IF(AND('331-CT'!$E$7=TH!H2337,OR(L2337="331",M2337="331")),"331",IF(AND(OR(L2337="131",M2337="131"),H2337='131-CT'!$E$7),"131",""))</f>
        <v/>
      </c>
      <c r="O2337" s="89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8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477"/>
        <v>11</v>
      </c>
      <c r="C2338" s="37">
        <f t="shared" si="479"/>
        <v>41948</v>
      </c>
      <c r="D2338" s="37" t="s">
        <v>1379</v>
      </c>
      <c r="E2338" s="724">
        <v>41948</v>
      </c>
      <c r="F2338" s="40" t="s">
        <v>583</v>
      </c>
      <c r="G2338" s="40" t="s">
        <v>763</v>
      </c>
      <c r="H2338" s="7" t="s">
        <v>1372</v>
      </c>
      <c r="I2338" s="251">
        <v>25</v>
      </c>
      <c r="J2338" s="251">
        <v>14230.137132266907</v>
      </c>
      <c r="K2338" s="563">
        <f t="shared" si="478"/>
        <v>355753</v>
      </c>
      <c r="L2338" s="194" t="s">
        <v>175</v>
      </c>
      <c r="M2338" s="194" t="s">
        <v>169</v>
      </c>
      <c r="N2338" s="52" t="str">
        <f>IF(AND('331-CT'!$E$7=TH!H2338,OR(L2338="331",M2338="331")),"331",IF(AND(OR(L2338="131",M2338="131"),H2338='131-CT'!$E$7),"131",""))</f>
        <v/>
      </c>
      <c r="O2338" s="89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8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477"/>
        <v>11</v>
      </c>
      <c r="C2339" s="37">
        <f t="shared" si="479"/>
        <v>41948</v>
      </c>
      <c r="D2339" s="37" t="s">
        <v>1379</v>
      </c>
      <c r="E2339" s="724">
        <v>41948</v>
      </c>
      <c r="F2339" s="192" t="s">
        <v>608</v>
      </c>
      <c r="G2339" s="40" t="s">
        <v>763</v>
      </c>
      <c r="H2339" s="7" t="s">
        <v>1372</v>
      </c>
      <c r="I2339" s="251">
        <v>55</v>
      </c>
      <c r="J2339" s="251">
        <v>12667.289701555514</v>
      </c>
      <c r="K2339" s="563">
        <f t="shared" si="478"/>
        <v>696701</v>
      </c>
      <c r="L2339" s="194" t="s">
        <v>175</v>
      </c>
      <c r="M2339" s="194" t="s">
        <v>169</v>
      </c>
      <c r="N2339" s="52" t="str">
        <f>IF(AND('331-CT'!$E$7=TH!H2339,OR(L2339="331",M2339="331")),"331",IF(AND(OR(L2339="131",M2339="131"),H2339='131-CT'!$E$7),"131",""))</f>
        <v/>
      </c>
      <c r="O2339" s="89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8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477"/>
        <v>11</v>
      </c>
      <c r="C2340" s="37">
        <f t="shared" si="479"/>
        <v>41948</v>
      </c>
      <c r="D2340" s="37" t="s">
        <v>1379</v>
      </c>
      <c r="E2340" s="724">
        <v>41948</v>
      </c>
      <c r="F2340" s="40" t="s">
        <v>707</v>
      </c>
      <c r="G2340" s="40" t="s">
        <v>763</v>
      </c>
      <c r="H2340" s="7" t="s">
        <v>1372</v>
      </c>
      <c r="I2340" s="251">
        <v>70</v>
      </c>
      <c r="J2340" s="251">
        <v>10610.911503251047</v>
      </c>
      <c r="K2340" s="563">
        <f t="shared" si="478"/>
        <v>742764</v>
      </c>
      <c r="L2340" s="194" t="s">
        <v>175</v>
      </c>
      <c r="M2340" s="194" t="s">
        <v>169</v>
      </c>
      <c r="N2340" s="52" t="str">
        <f>IF(AND('331-CT'!$E$7=TH!H2340,OR(L2340="331",M2340="331")),"331",IF(AND(OR(L2340="131",M2340="131"),H2340='131-CT'!$E$7),"131",""))</f>
        <v/>
      </c>
      <c r="O2340" s="89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8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477"/>
        <v>11</v>
      </c>
      <c r="C2341" s="37">
        <f t="shared" si="479"/>
        <v>41948</v>
      </c>
      <c r="D2341" s="37" t="s">
        <v>1379</v>
      </c>
      <c r="E2341" s="724">
        <v>41948</v>
      </c>
      <c r="F2341" s="192" t="s">
        <v>708</v>
      </c>
      <c r="G2341" s="40" t="s">
        <v>763</v>
      </c>
      <c r="H2341" s="7" t="s">
        <v>1372</v>
      </c>
      <c r="I2341" s="251">
        <v>101</v>
      </c>
      <c r="J2341" s="251">
        <v>9294.8294563361869</v>
      </c>
      <c r="K2341" s="563">
        <f t="shared" si="478"/>
        <v>938778</v>
      </c>
      <c r="L2341" s="194" t="s">
        <v>175</v>
      </c>
      <c r="M2341" s="194" t="s">
        <v>169</v>
      </c>
      <c r="N2341" s="52" t="str">
        <f>IF(AND('331-CT'!$E$7=TH!H2341,OR(L2341="331",M2341="331")),"331",IF(AND(OR(L2341="131",M2341="131"),H2341='131-CT'!$E$7),"131",""))</f>
        <v/>
      </c>
      <c r="O2341" s="89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8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477"/>
        <v>11</v>
      </c>
      <c r="C2342" s="37">
        <f t="shared" si="479"/>
        <v>41948</v>
      </c>
      <c r="D2342" s="37" t="s">
        <v>1379</v>
      </c>
      <c r="E2342" s="724">
        <v>41948</v>
      </c>
      <c r="F2342" s="40" t="s">
        <v>789</v>
      </c>
      <c r="G2342" s="40" t="s">
        <v>763</v>
      </c>
      <c r="H2342" s="7" t="s">
        <v>1372</v>
      </c>
      <c r="I2342" s="251">
        <v>3030</v>
      </c>
      <c r="J2342" s="251">
        <v>8061.0025373535082</v>
      </c>
      <c r="K2342" s="563">
        <f t="shared" si="478"/>
        <v>24424838</v>
      </c>
      <c r="L2342" s="194" t="s">
        <v>175</v>
      </c>
      <c r="M2342" s="194" t="s">
        <v>169</v>
      </c>
      <c r="N2342" s="52" t="str">
        <f>IF(AND('331-CT'!$E$7=TH!H2342,OR(L2342="331",M2342="331")),"331",IF(AND(OR(L2342="131",M2342="131"),H2342='131-CT'!$E$7),"131",""))</f>
        <v/>
      </c>
      <c r="O2342" s="89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8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ref="B2343:B2406" si="481">IF(C2343&lt;&gt;"",MONTH(C2343),"")</f>
        <v>11</v>
      </c>
      <c r="C2343" s="37">
        <f t="shared" si="479"/>
        <v>41950</v>
      </c>
      <c r="D2343" s="37" t="s">
        <v>1379</v>
      </c>
      <c r="E2343" s="724">
        <v>41950</v>
      </c>
      <c r="F2343" s="40" t="s">
        <v>764</v>
      </c>
      <c r="G2343" s="40" t="s">
        <v>765</v>
      </c>
      <c r="H2343" s="7" t="s">
        <v>1372</v>
      </c>
      <c r="I2343" s="251">
        <v>100</v>
      </c>
      <c r="J2343" s="251">
        <v>1974.1230703722877</v>
      </c>
      <c r="K2343" s="563">
        <f t="shared" ref="K2343:K2406" si="482">ROUND(I2343*J2343,0)</f>
        <v>197412</v>
      </c>
      <c r="L2343" s="194" t="s">
        <v>175</v>
      </c>
      <c r="M2343" s="194" t="s">
        <v>169</v>
      </c>
      <c r="N2343" s="52" t="str">
        <f>IF(AND('331-CT'!$E$7=TH!H2343,OR(L2343="331",M2343="331")),"331",IF(AND(OR(L2343="131",M2343="131"),H2343='131-CT'!$E$7),"131",""))</f>
        <v/>
      </c>
      <c r="O2343" s="89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8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481"/>
        <v>11</v>
      </c>
      <c r="C2344" s="37">
        <f t="shared" ref="C2344:C2407" si="483">E2344</f>
        <v>41950</v>
      </c>
      <c r="D2344" s="37" t="s">
        <v>1379</v>
      </c>
      <c r="E2344" s="724">
        <v>41950</v>
      </c>
      <c r="F2344" s="40" t="s">
        <v>766</v>
      </c>
      <c r="G2344" s="40" t="s">
        <v>765</v>
      </c>
      <c r="H2344" s="7" t="s">
        <v>1372</v>
      </c>
      <c r="I2344" s="251">
        <v>100</v>
      </c>
      <c r="J2344" s="251">
        <v>13078.565341216407</v>
      </c>
      <c r="K2344" s="563">
        <f t="shared" si="482"/>
        <v>1307857</v>
      </c>
      <c r="L2344" s="194" t="s">
        <v>175</v>
      </c>
      <c r="M2344" s="194" t="s">
        <v>169</v>
      </c>
      <c r="N2344" s="52" t="str">
        <f>IF(AND('331-CT'!$E$7=TH!H2344,OR(L2344="331",M2344="331")),"331",IF(AND(OR(L2344="131",M2344="131"),H2344='131-CT'!$E$7),"131",""))</f>
        <v/>
      </c>
      <c r="O2344" s="89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8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481"/>
        <v>11</v>
      </c>
      <c r="C2345" s="37">
        <f t="shared" si="483"/>
        <v>41950</v>
      </c>
      <c r="D2345" s="37" t="s">
        <v>1379</v>
      </c>
      <c r="E2345" s="724">
        <v>41950</v>
      </c>
      <c r="F2345" s="40" t="s">
        <v>767</v>
      </c>
      <c r="G2345" s="40" t="s">
        <v>765</v>
      </c>
      <c r="H2345" s="7" t="s">
        <v>1372</v>
      </c>
      <c r="I2345" s="251">
        <v>209</v>
      </c>
      <c r="J2345" s="251">
        <v>6004.6243390490417</v>
      </c>
      <c r="K2345" s="563">
        <f t="shared" si="482"/>
        <v>1254966</v>
      </c>
      <c r="L2345" s="194" t="s">
        <v>175</v>
      </c>
      <c r="M2345" s="194" t="s">
        <v>169</v>
      </c>
      <c r="N2345" s="52" t="str">
        <f>IF(AND('331-CT'!$E$7=TH!H2345,OR(L2345="331",M2345="331")),"331",IF(AND(OR(L2345="131",M2345="131"),H2345='131-CT'!$E$7),"131",""))</f>
        <v/>
      </c>
      <c r="O2345" s="89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8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481"/>
        <v>11</v>
      </c>
      <c r="C2346" s="37">
        <f t="shared" si="483"/>
        <v>41950</v>
      </c>
      <c r="D2346" s="37" t="s">
        <v>1379</v>
      </c>
      <c r="E2346" s="724">
        <v>41950</v>
      </c>
      <c r="F2346" s="40" t="s">
        <v>593</v>
      </c>
      <c r="G2346" s="40" t="s">
        <v>768</v>
      </c>
      <c r="H2346" s="7" t="s">
        <v>1372</v>
      </c>
      <c r="I2346" s="251">
        <v>206</v>
      </c>
      <c r="J2346" s="251">
        <v>24594.283251721419</v>
      </c>
      <c r="K2346" s="563">
        <f t="shared" si="482"/>
        <v>5066422</v>
      </c>
      <c r="L2346" s="194" t="s">
        <v>175</v>
      </c>
      <c r="M2346" s="194" t="s">
        <v>169</v>
      </c>
      <c r="N2346" s="52" t="str">
        <f>IF(AND('331-CT'!$E$7=TH!H2346,OR(L2346="331",M2346="331")),"331",IF(AND(OR(L2346="131",M2346="131"),H2346='131-CT'!$E$7),"131",""))</f>
        <v/>
      </c>
      <c r="O2346" s="89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8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481"/>
        <v>11</v>
      </c>
      <c r="C2347" s="37">
        <f t="shared" si="483"/>
        <v>41955</v>
      </c>
      <c r="D2347" s="37" t="s">
        <v>1379</v>
      </c>
      <c r="E2347" s="724">
        <v>41955</v>
      </c>
      <c r="F2347" s="40" t="s">
        <v>436</v>
      </c>
      <c r="G2347" s="40" t="s">
        <v>769</v>
      </c>
      <c r="H2347" s="7" t="s">
        <v>1372</v>
      </c>
      <c r="I2347" s="251">
        <v>504</v>
      </c>
      <c r="J2347" s="251">
        <v>7814.2371535569719</v>
      </c>
      <c r="K2347" s="563">
        <f t="shared" si="482"/>
        <v>3938376</v>
      </c>
      <c r="L2347" s="194" t="s">
        <v>175</v>
      </c>
      <c r="M2347" s="194" t="s">
        <v>169</v>
      </c>
      <c r="N2347" s="52" t="str">
        <f>IF(AND('331-CT'!$E$7=TH!H2347,OR(L2347="331",M2347="331")),"331",IF(AND(OR(L2347="131",M2347="131"),H2347='131-CT'!$E$7),"131",""))</f>
        <v/>
      </c>
      <c r="O2347" s="89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8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481"/>
        <v>11</v>
      </c>
      <c r="C2348" s="37">
        <f t="shared" si="483"/>
        <v>41955</v>
      </c>
      <c r="D2348" s="37" t="s">
        <v>1379</v>
      </c>
      <c r="E2348" s="724">
        <v>41955</v>
      </c>
      <c r="F2348" s="40" t="s">
        <v>436</v>
      </c>
      <c r="G2348" s="40" t="s">
        <v>769</v>
      </c>
      <c r="H2348" s="7" t="s">
        <v>1372</v>
      </c>
      <c r="I2348" s="251">
        <v>318</v>
      </c>
      <c r="J2348" s="251">
        <v>7814.2371535569719</v>
      </c>
      <c r="K2348" s="563">
        <f t="shared" si="482"/>
        <v>2484927</v>
      </c>
      <c r="L2348" s="194" t="s">
        <v>175</v>
      </c>
      <c r="M2348" s="194" t="s">
        <v>169</v>
      </c>
      <c r="N2348" s="52" t="str">
        <f>IF(AND('331-CT'!$E$7=TH!H2348,OR(L2348="331",M2348="331")),"331",IF(AND(OR(L2348="131",M2348="131"),H2348='131-CT'!$E$7),"131",""))</f>
        <v/>
      </c>
      <c r="O2348" s="89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8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481"/>
        <v>11</v>
      </c>
      <c r="C2349" s="37">
        <f t="shared" si="483"/>
        <v>41955</v>
      </c>
      <c r="D2349" s="37" t="s">
        <v>1379</v>
      </c>
      <c r="E2349" s="724">
        <v>41955</v>
      </c>
      <c r="F2349" s="40" t="s">
        <v>771</v>
      </c>
      <c r="G2349" s="40" t="s">
        <v>770</v>
      </c>
      <c r="H2349" s="7" t="s">
        <v>1372</v>
      </c>
      <c r="I2349" s="251">
        <v>347</v>
      </c>
      <c r="J2349" s="251">
        <v>19000.93455233327</v>
      </c>
      <c r="K2349" s="563">
        <f t="shared" si="482"/>
        <v>6593324</v>
      </c>
      <c r="L2349" s="194" t="s">
        <v>175</v>
      </c>
      <c r="M2349" s="194" t="s">
        <v>169</v>
      </c>
      <c r="N2349" s="52" t="str">
        <f>IF(AND('331-CT'!$E$7=TH!H2349,OR(L2349="331",M2349="331")),"331",IF(AND(OR(L2349="131",M2349="131"),H2349='131-CT'!$E$7),"131",""))</f>
        <v/>
      </c>
      <c r="O2349" s="89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8"/>
    </row>
    <row r="2350" spans="1:28" s="21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481"/>
        <v>11</v>
      </c>
      <c r="C2350" s="37">
        <f t="shared" si="483"/>
        <v>41955</v>
      </c>
      <c r="D2350" s="37" t="s">
        <v>1379</v>
      </c>
      <c r="E2350" s="724">
        <v>41955</v>
      </c>
      <c r="F2350" s="40" t="s">
        <v>772</v>
      </c>
      <c r="G2350" s="40" t="s">
        <v>770</v>
      </c>
      <c r="H2350" s="7" t="s">
        <v>1372</v>
      </c>
      <c r="I2350" s="251">
        <v>593</v>
      </c>
      <c r="J2350" s="251">
        <v>25170.069147246668</v>
      </c>
      <c r="K2350" s="563">
        <f t="shared" si="482"/>
        <v>14925851</v>
      </c>
      <c r="L2350" s="194" t="s">
        <v>175</v>
      </c>
      <c r="M2350" s="194" t="s">
        <v>169</v>
      </c>
      <c r="N2350" s="52" t="str">
        <f>IF(AND('331-CT'!$E$7=TH!H2350,OR(L2350="331",M2350="331")),"331",IF(AND(OR(L2350="131",M2350="131"),H2350='131-CT'!$E$7),"131",""))</f>
        <v/>
      </c>
      <c r="O2350" s="89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8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481"/>
        <v>11</v>
      </c>
      <c r="C2351" s="37">
        <f t="shared" si="483"/>
        <v>41955</v>
      </c>
      <c r="D2351" s="37" t="s">
        <v>1379</v>
      </c>
      <c r="E2351" s="724">
        <v>41955</v>
      </c>
      <c r="F2351" s="40" t="s">
        <v>746</v>
      </c>
      <c r="G2351" s="40" t="s">
        <v>770</v>
      </c>
      <c r="H2351" s="7" t="s">
        <v>1372</v>
      </c>
      <c r="I2351" s="251">
        <v>1880</v>
      </c>
      <c r="J2351" s="251">
        <v>1233.8269189826799</v>
      </c>
      <c r="K2351" s="563">
        <f t="shared" si="482"/>
        <v>2319595</v>
      </c>
      <c r="L2351" s="194" t="s">
        <v>175</v>
      </c>
      <c r="M2351" s="194" t="s">
        <v>169</v>
      </c>
      <c r="N2351" s="52" t="str">
        <f>IF(AND('331-CT'!$E$7=TH!H2351,OR(L2351="331",M2351="331")),"331",IF(AND(OR(L2351="131",M2351="131"),H2351='131-CT'!$E$7),"131",""))</f>
        <v/>
      </c>
      <c r="O2351" s="89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8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481"/>
        <v>11</v>
      </c>
      <c r="C2352" s="37">
        <f t="shared" si="483"/>
        <v>41956</v>
      </c>
      <c r="D2352" s="37" t="s">
        <v>1379</v>
      </c>
      <c r="E2352" s="724">
        <v>41956</v>
      </c>
      <c r="F2352" s="192" t="s">
        <v>670</v>
      </c>
      <c r="G2352" s="463" t="s">
        <v>773</v>
      </c>
      <c r="H2352" s="7" t="s">
        <v>1372</v>
      </c>
      <c r="I2352" s="251">
        <v>1010</v>
      </c>
      <c r="J2352" s="251">
        <v>7402.9615138960789</v>
      </c>
      <c r="K2352" s="563">
        <f t="shared" si="482"/>
        <v>7476991</v>
      </c>
      <c r="L2352" s="194" t="s">
        <v>175</v>
      </c>
      <c r="M2352" s="194" t="s">
        <v>169</v>
      </c>
      <c r="N2352" s="52" t="str">
        <f>IF(AND('331-CT'!$E$7=TH!H2352,OR(L2352="331",M2352="331")),"331",IF(AND(OR(L2352="131",M2352="131"),H2352='131-CT'!$E$7),"131",""))</f>
        <v/>
      </c>
      <c r="O2352" s="89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8"/>
    </row>
    <row r="2353" spans="1:28" s="21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481"/>
        <v>11</v>
      </c>
      <c r="C2353" s="37">
        <f t="shared" si="483"/>
        <v>41958</v>
      </c>
      <c r="D2353" s="37" t="s">
        <v>1379</v>
      </c>
      <c r="E2353" s="724">
        <v>41958</v>
      </c>
      <c r="F2353" s="192" t="s">
        <v>515</v>
      </c>
      <c r="G2353" s="463" t="s">
        <v>774</v>
      </c>
      <c r="H2353" s="7" t="s">
        <v>1372</v>
      </c>
      <c r="I2353" s="251">
        <v>1012</v>
      </c>
      <c r="J2353" s="251">
        <v>7073.9410021673648</v>
      </c>
      <c r="K2353" s="563">
        <f t="shared" si="482"/>
        <v>7158828</v>
      </c>
      <c r="L2353" s="194" t="s">
        <v>175</v>
      </c>
      <c r="M2353" s="194" t="s">
        <v>169</v>
      </c>
      <c r="N2353" s="52" t="str">
        <f>IF(AND('331-CT'!$E$7=TH!H2353,OR(L2353="331",M2353="331")),"331",IF(AND(OR(L2353="131",M2353="131"),H2353='131-CT'!$E$7),"131",""))</f>
        <v/>
      </c>
      <c r="O2353" s="89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8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481"/>
        <v>11</v>
      </c>
      <c r="C2354" s="37">
        <f t="shared" si="483"/>
        <v>41960</v>
      </c>
      <c r="D2354" s="37" t="s">
        <v>1379</v>
      </c>
      <c r="E2354" s="724">
        <v>41960</v>
      </c>
      <c r="F2354" s="192" t="s">
        <v>775</v>
      </c>
      <c r="G2354" s="463" t="s">
        <v>776</v>
      </c>
      <c r="H2354" s="7" t="s">
        <v>1372</v>
      </c>
      <c r="I2354" s="251">
        <v>1990</v>
      </c>
      <c r="J2354" s="251">
        <v>7402.9615138960789</v>
      </c>
      <c r="K2354" s="563">
        <f t="shared" si="482"/>
        <v>14731893</v>
      </c>
      <c r="L2354" s="194" t="s">
        <v>175</v>
      </c>
      <c r="M2354" s="194" t="s">
        <v>169</v>
      </c>
      <c r="N2354" s="52" t="str">
        <f>IF(AND('331-CT'!$E$7=TH!H2354,OR(L2354="331",M2354="331")),"331",IF(AND(OR(L2354="131",M2354="131"),H2354='131-CT'!$E$7),"131",""))</f>
        <v/>
      </c>
      <c r="O2354" s="89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8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481"/>
        <v>11</v>
      </c>
      <c r="C2355" s="37">
        <f t="shared" si="483"/>
        <v>41962</v>
      </c>
      <c r="D2355" s="37" t="s">
        <v>1379</v>
      </c>
      <c r="E2355" s="724">
        <v>41962</v>
      </c>
      <c r="F2355" s="192" t="s">
        <v>503</v>
      </c>
      <c r="G2355" s="463" t="s">
        <v>778</v>
      </c>
      <c r="H2355" s="7" t="s">
        <v>1372</v>
      </c>
      <c r="I2355" s="251">
        <v>609</v>
      </c>
      <c r="J2355" s="251">
        <v>7402.9615138960789</v>
      </c>
      <c r="K2355" s="563">
        <f t="shared" si="482"/>
        <v>4508404</v>
      </c>
      <c r="L2355" s="194" t="s">
        <v>175</v>
      </c>
      <c r="M2355" s="194" t="s">
        <v>169</v>
      </c>
      <c r="N2355" s="52" t="str">
        <f>IF(AND('331-CT'!$E$7=TH!H2355,OR(L2355="331",M2355="331")),"331",IF(AND(OR(L2355="131",M2355="131"),H2355='131-CT'!$E$7),"131",""))</f>
        <v/>
      </c>
      <c r="O2355" s="89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8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481"/>
        <v>11</v>
      </c>
      <c r="C2356" s="37">
        <f t="shared" si="483"/>
        <v>41962</v>
      </c>
      <c r="D2356" s="37" t="s">
        <v>1379</v>
      </c>
      <c r="E2356" s="724">
        <v>41962</v>
      </c>
      <c r="F2356" s="192" t="s">
        <v>504</v>
      </c>
      <c r="G2356" s="463" t="s">
        <v>778</v>
      </c>
      <c r="H2356" s="7" t="s">
        <v>1372</v>
      </c>
      <c r="I2356" s="251">
        <v>213</v>
      </c>
      <c r="J2356" s="251">
        <v>7814.2371535569719</v>
      </c>
      <c r="K2356" s="563">
        <f t="shared" si="482"/>
        <v>1664433</v>
      </c>
      <c r="L2356" s="194" t="s">
        <v>175</v>
      </c>
      <c r="M2356" s="194" t="s">
        <v>169</v>
      </c>
      <c r="N2356" s="52" t="str">
        <f>IF(AND('331-CT'!$E$7=TH!H2356,OR(L2356="331",M2356="331")),"331",IF(AND(OR(L2356="131",M2356="131"),H2356='131-CT'!$E$7),"131",""))</f>
        <v/>
      </c>
      <c r="O2356" s="89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8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481"/>
        <v>11</v>
      </c>
      <c r="C2357" s="37">
        <f t="shared" si="483"/>
        <v>41962</v>
      </c>
      <c r="D2357" s="37" t="s">
        <v>1379</v>
      </c>
      <c r="E2357" s="724">
        <v>41962</v>
      </c>
      <c r="F2357" s="192" t="s">
        <v>779</v>
      </c>
      <c r="G2357" s="463" t="s">
        <v>778</v>
      </c>
      <c r="H2357" s="7" t="s">
        <v>1372</v>
      </c>
      <c r="I2357" s="251">
        <v>796</v>
      </c>
      <c r="J2357" s="251">
        <v>6991.685874235186</v>
      </c>
      <c r="K2357" s="563">
        <f t="shared" si="482"/>
        <v>5565382</v>
      </c>
      <c r="L2357" s="194" t="s">
        <v>175</v>
      </c>
      <c r="M2357" s="194" t="s">
        <v>169</v>
      </c>
      <c r="N2357" s="52" t="str">
        <f>IF(AND('331-CT'!$E$7=TH!H2357,OR(L2357="331",M2357="331")),"331",IF(AND(OR(L2357="131",M2357="131"),H2357='131-CT'!$E$7),"131",""))</f>
        <v/>
      </c>
      <c r="O2357" s="89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8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481"/>
        <v>11</v>
      </c>
      <c r="C2358" s="37">
        <f t="shared" si="483"/>
        <v>41962</v>
      </c>
      <c r="D2358" s="37" t="s">
        <v>1379</v>
      </c>
      <c r="E2358" s="724">
        <v>41962</v>
      </c>
      <c r="F2358" s="192" t="s">
        <v>406</v>
      </c>
      <c r="G2358" s="463" t="s">
        <v>778</v>
      </c>
      <c r="H2358" s="7" t="s">
        <v>1372</v>
      </c>
      <c r="I2358" s="251">
        <v>402</v>
      </c>
      <c r="J2358" s="251">
        <v>8143.2576652856869</v>
      </c>
      <c r="K2358" s="563">
        <f t="shared" si="482"/>
        <v>3273590</v>
      </c>
      <c r="L2358" s="194" t="s">
        <v>175</v>
      </c>
      <c r="M2358" s="194" t="s">
        <v>169</v>
      </c>
      <c r="N2358" s="52" t="str">
        <f>IF(AND('331-CT'!$E$7=TH!H2358,OR(L2358="331",M2358="331")),"331",IF(AND(OR(L2358="131",M2358="131"),H2358='131-CT'!$E$7),"131",""))</f>
        <v/>
      </c>
      <c r="O2358" s="89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8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481"/>
        <v>11</v>
      </c>
      <c r="C2359" s="37">
        <f t="shared" si="483"/>
        <v>41962</v>
      </c>
      <c r="D2359" s="37" t="s">
        <v>1379</v>
      </c>
      <c r="E2359" s="724">
        <v>41962</v>
      </c>
      <c r="F2359" s="192" t="s">
        <v>780</v>
      </c>
      <c r="G2359" s="463" t="s">
        <v>781</v>
      </c>
      <c r="H2359" s="7" t="s">
        <v>1372</v>
      </c>
      <c r="I2359" s="251">
        <v>975</v>
      </c>
      <c r="J2359" s="251">
        <v>4524.0320362698267</v>
      </c>
      <c r="K2359" s="563">
        <f t="shared" si="482"/>
        <v>4410931</v>
      </c>
      <c r="L2359" s="194" t="s">
        <v>175</v>
      </c>
      <c r="M2359" s="194" t="s">
        <v>169</v>
      </c>
      <c r="N2359" s="52" t="str">
        <f>IF(AND('331-CT'!$E$7=TH!H2359,OR(L2359="331",M2359="331")),"331",IF(AND(OR(L2359="131",M2359="131"),H2359='131-CT'!$E$7),"131",""))</f>
        <v/>
      </c>
      <c r="O2359" s="89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8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481"/>
        <v>11</v>
      </c>
      <c r="C2360" s="37">
        <f t="shared" si="483"/>
        <v>41962</v>
      </c>
      <c r="D2360" s="37" t="s">
        <v>1379</v>
      </c>
      <c r="E2360" s="724">
        <v>41962</v>
      </c>
      <c r="F2360" s="192" t="s">
        <v>783</v>
      </c>
      <c r="G2360" s="463" t="s">
        <v>781</v>
      </c>
      <c r="H2360" s="7" t="s">
        <v>1372</v>
      </c>
      <c r="I2360" s="251">
        <v>1000</v>
      </c>
      <c r="J2360" s="251">
        <v>658.04102345742922</v>
      </c>
      <c r="K2360" s="563">
        <f t="shared" si="482"/>
        <v>658041</v>
      </c>
      <c r="L2360" s="194" t="s">
        <v>175</v>
      </c>
      <c r="M2360" s="194" t="s">
        <v>169</v>
      </c>
      <c r="N2360" s="52" t="str">
        <f>IF(AND('331-CT'!$E$7=TH!H2360,OR(L2360="331",M2360="331")),"331",IF(AND(OR(L2360="131",M2360="131"),H2360='131-CT'!$E$7),"131",""))</f>
        <v/>
      </c>
      <c r="O2360" s="89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8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481"/>
        <v>11</v>
      </c>
      <c r="C2361" s="37">
        <f t="shared" si="483"/>
        <v>41962</v>
      </c>
      <c r="D2361" s="37" t="s">
        <v>1379</v>
      </c>
      <c r="E2361" s="724">
        <v>41962</v>
      </c>
      <c r="F2361" s="192" t="s">
        <v>784</v>
      </c>
      <c r="G2361" s="463" t="s">
        <v>781</v>
      </c>
      <c r="H2361" s="7" t="s">
        <v>1372</v>
      </c>
      <c r="I2361" s="251">
        <v>1000</v>
      </c>
      <c r="J2361" s="251">
        <v>493.53076759307191</v>
      </c>
      <c r="K2361" s="563">
        <f t="shared" si="482"/>
        <v>493531</v>
      </c>
      <c r="L2361" s="194" t="s">
        <v>175</v>
      </c>
      <c r="M2361" s="194" t="s">
        <v>169</v>
      </c>
      <c r="N2361" s="52" t="str">
        <f>IF(AND('331-CT'!$E$7=TH!H2361,OR(L2361="331",M2361="331")),"331",IF(AND(OR(L2361="131",M2361="131"),H2361='131-CT'!$E$7),"131",""))</f>
        <v/>
      </c>
      <c r="O2361" s="89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8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481"/>
        <v>11</v>
      </c>
      <c r="C2362" s="37">
        <f t="shared" si="483"/>
        <v>41962</v>
      </c>
      <c r="D2362" s="37" t="s">
        <v>1379</v>
      </c>
      <c r="E2362" s="724">
        <v>41962</v>
      </c>
      <c r="F2362" s="192" t="s">
        <v>785</v>
      </c>
      <c r="G2362" s="463" t="s">
        <v>781</v>
      </c>
      <c r="H2362" s="7" t="s">
        <v>1372</v>
      </c>
      <c r="I2362" s="251">
        <v>978</v>
      </c>
      <c r="J2362" s="251">
        <v>3372.4602452193249</v>
      </c>
      <c r="K2362" s="563">
        <f t="shared" si="482"/>
        <v>3298266</v>
      </c>
      <c r="L2362" s="194" t="s">
        <v>175</v>
      </c>
      <c r="M2362" s="194" t="s">
        <v>169</v>
      </c>
      <c r="N2362" s="52" t="str">
        <f>IF(AND('331-CT'!$E$7=TH!H2362,OR(L2362="331",M2362="331")),"331",IF(AND(OR(L2362="131",M2362="131"),H2362='131-CT'!$E$7),"131",""))</f>
        <v/>
      </c>
      <c r="O2362" s="89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8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si="481"/>
        <v>11</v>
      </c>
      <c r="C2363" s="37">
        <f t="shared" si="483"/>
        <v>41962</v>
      </c>
      <c r="D2363" s="37" t="s">
        <v>1379</v>
      </c>
      <c r="E2363" s="724">
        <v>41962</v>
      </c>
      <c r="F2363" s="192" t="s">
        <v>786</v>
      </c>
      <c r="G2363" s="463" t="s">
        <v>781</v>
      </c>
      <c r="H2363" s="7" t="s">
        <v>1372</v>
      </c>
      <c r="I2363" s="251">
        <v>1000</v>
      </c>
      <c r="J2363" s="251">
        <v>575.78589552525068</v>
      </c>
      <c r="K2363" s="563">
        <f t="shared" si="482"/>
        <v>575786</v>
      </c>
      <c r="L2363" s="194" t="s">
        <v>175</v>
      </c>
      <c r="M2363" s="194" t="s">
        <v>169</v>
      </c>
      <c r="N2363" s="52" t="str">
        <f>IF(AND('331-CT'!$E$7=TH!H2363,OR(L2363="331",M2363="331")),"331",IF(AND(OR(L2363="131",M2363="131"),H2363='131-CT'!$E$7),"131",""))</f>
        <v/>
      </c>
      <c r="O2363" s="89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8"/>
    </row>
    <row r="2364" spans="1:28" s="211" customFormat="1" ht="15.75" customHeight="1">
      <c r="A2364" s="204" t="str">
        <f>IF(B2364&lt;&gt;"",IF(AND(B2364&gt;=_TM1,B2364&lt;=_TM2,OR(TH!L2364="1111",TH!M2364="1111")),TH!D2364,""),"")</f>
        <v/>
      </c>
      <c r="B2364" s="36">
        <f t="shared" si="481"/>
        <v>11</v>
      </c>
      <c r="C2364" s="37">
        <f t="shared" si="483"/>
        <v>41962</v>
      </c>
      <c r="D2364" s="37" t="s">
        <v>1379</v>
      </c>
      <c r="E2364" s="724">
        <v>41962</v>
      </c>
      <c r="F2364" s="189" t="s">
        <v>787</v>
      </c>
      <c r="G2364" s="463" t="s">
        <v>781</v>
      </c>
      <c r="H2364" s="7" t="s">
        <v>1372</v>
      </c>
      <c r="I2364" s="251">
        <v>1000</v>
      </c>
      <c r="J2364" s="251">
        <v>329.02051172871461</v>
      </c>
      <c r="K2364" s="563">
        <f t="shared" si="482"/>
        <v>329021</v>
      </c>
      <c r="L2364" s="194" t="s">
        <v>175</v>
      </c>
      <c r="M2364" s="194" t="s">
        <v>169</v>
      </c>
      <c r="N2364" s="52" t="str">
        <f>IF(AND('331-CT'!$E$7=TH!H2364,OR(L2364="331",M2364="331")),"331",IF(AND(OR(L2364="131",M2364="131"),H2364='131-CT'!$E$7),"131",""))</f>
        <v/>
      </c>
      <c r="O2364" s="89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8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481"/>
        <v>11</v>
      </c>
      <c r="C2365" s="37">
        <f t="shared" si="483"/>
        <v>41963</v>
      </c>
      <c r="D2365" s="37" t="s">
        <v>1379</v>
      </c>
      <c r="E2365" s="724">
        <v>41963</v>
      </c>
      <c r="F2365" s="192" t="s">
        <v>459</v>
      </c>
      <c r="G2365" s="463" t="s">
        <v>788</v>
      </c>
      <c r="H2365" s="7" t="s">
        <v>1372</v>
      </c>
      <c r="I2365" s="251">
        <v>993</v>
      </c>
      <c r="J2365" s="251">
        <v>7567.4717697604365</v>
      </c>
      <c r="K2365" s="563">
        <f t="shared" si="482"/>
        <v>7514499</v>
      </c>
      <c r="L2365" s="194" t="s">
        <v>175</v>
      </c>
      <c r="M2365" s="194" t="s">
        <v>169</v>
      </c>
      <c r="N2365" s="52" t="str">
        <f>IF(AND('331-CT'!$E$7=TH!H2365,OR(L2365="331",M2365="331")),"331",IF(AND(OR(L2365="131",M2365="131"),H2365='131-CT'!$E$7),"131",""))</f>
        <v/>
      </c>
      <c r="O2365" s="89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8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481"/>
        <v>11</v>
      </c>
      <c r="C2366" s="37">
        <f t="shared" si="483"/>
        <v>41963</v>
      </c>
      <c r="D2366" s="37" t="s">
        <v>1379</v>
      </c>
      <c r="E2366" s="724">
        <v>41963</v>
      </c>
      <c r="F2366" s="192" t="s">
        <v>789</v>
      </c>
      <c r="G2366" s="463" t="s">
        <v>790</v>
      </c>
      <c r="H2366" s="7" t="s">
        <v>1372</v>
      </c>
      <c r="I2366" s="251">
        <v>3030</v>
      </c>
      <c r="J2366" s="251">
        <v>8061.0025373535082</v>
      </c>
      <c r="K2366" s="563">
        <f t="shared" si="482"/>
        <v>24424838</v>
      </c>
      <c r="L2366" s="194" t="s">
        <v>175</v>
      </c>
      <c r="M2366" s="194" t="s">
        <v>169</v>
      </c>
      <c r="N2366" s="52" t="str">
        <f>IF(AND('331-CT'!$E$7=TH!H2366,OR(L2366="331",M2366="331")),"331",IF(AND(OR(L2366="131",M2366="131"),H2366='131-CT'!$E$7),"131",""))</f>
        <v/>
      </c>
      <c r="O2366" s="89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8"/>
    </row>
    <row r="2367" spans="1:28" s="211" customFormat="1" ht="15.75" customHeight="1">
      <c r="A2367" s="204" t="str">
        <f>IF(B2367&lt;&gt;"",IF(AND(B2367&gt;=_TM1,B2367&lt;=_TM2,OR(TH!L2367="1111",TH!M2367="1111")),TH!D2367,""),"")</f>
        <v/>
      </c>
      <c r="B2367" s="36">
        <f t="shared" si="481"/>
        <v>11</v>
      </c>
      <c r="C2367" s="37">
        <f t="shared" si="483"/>
        <v>41963</v>
      </c>
      <c r="D2367" s="37" t="s">
        <v>1379</v>
      </c>
      <c r="E2367" s="724">
        <v>41963</v>
      </c>
      <c r="F2367" s="192" t="s">
        <v>789</v>
      </c>
      <c r="G2367" s="463" t="s">
        <v>790</v>
      </c>
      <c r="H2367" s="7" t="s">
        <v>1372</v>
      </c>
      <c r="I2367" s="251">
        <v>219</v>
      </c>
      <c r="J2367" s="251">
        <v>8061.0025373535082</v>
      </c>
      <c r="K2367" s="563">
        <f t="shared" si="482"/>
        <v>1765360</v>
      </c>
      <c r="L2367" s="194" t="s">
        <v>175</v>
      </c>
      <c r="M2367" s="194" t="s">
        <v>169</v>
      </c>
      <c r="N2367" s="52" t="str">
        <f>IF(AND('331-CT'!$E$7=TH!H2367,OR(L2367="331",M2367="331")),"331",IF(AND(OR(L2367="131",M2367="131"),H2367='131-CT'!$E$7),"131",""))</f>
        <v/>
      </c>
      <c r="O2367" s="89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8"/>
    </row>
    <row r="2368" spans="1:28" s="21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481"/>
        <v>11</v>
      </c>
      <c r="C2368" s="37">
        <f t="shared" si="483"/>
        <v>41963</v>
      </c>
      <c r="D2368" s="37" t="s">
        <v>1379</v>
      </c>
      <c r="E2368" s="724">
        <v>41963</v>
      </c>
      <c r="F2368" s="192" t="s">
        <v>789</v>
      </c>
      <c r="G2368" s="463" t="s">
        <v>790</v>
      </c>
      <c r="H2368" s="7" t="s">
        <v>1372</v>
      </c>
      <c r="I2368" s="251">
        <v>3167</v>
      </c>
      <c r="J2368" s="251">
        <v>8061.0025373535082</v>
      </c>
      <c r="K2368" s="563">
        <f t="shared" si="482"/>
        <v>25529195</v>
      </c>
      <c r="L2368" s="194" t="s">
        <v>175</v>
      </c>
      <c r="M2368" s="194" t="s">
        <v>169</v>
      </c>
      <c r="N2368" s="52" t="str">
        <f>IF(AND('331-CT'!$E$7=TH!H2368,OR(L2368="331",M2368="331")),"331",IF(AND(OR(L2368="131",M2368="131"),H2368='131-CT'!$E$7),"131",""))</f>
        <v/>
      </c>
      <c r="O2368" s="89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8"/>
    </row>
    <row r="2369" spans="1:28" s="21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481"/>
        <v>11</v>
      </c>
      <c r="C2369" s="37">
        <f t="shared" si="483"/>
        <v>41964</v>
      </c>
      <c r="D2369" s="37" t="s">
        <v>1379</v>
      </c>
      <c r="E2369" s="724">
        <v>41964</v>
      </c>
      <c r="F2369" s="192" t="s">
        <v>1206</v>
      </c>
      <c r="G2369" s="463" t="s">
        <v>791</v>
      </c>
      <c r="H2369" s="7" t="s">
        <v>1372</v>
      </c>
      <c r="I2369" s="251">
        <v>780</v>
      </c>
      <c r="J2369" s="251">
        <v>9377.0845842683666</v>
      </c>
      <c r="K2369" s="563">
        <f t="shared" si="482"/>
        <v>7314126</v>
      </c>
      <c r="L2369" s="194" t="s">
        <v>175</v>
      </c>
      <c r="M2369" s="194" t="s">
        <v>169</v>
      </c>
      <c r="N2369" s="52" t="str">
        <f>IF(AND('331-CT'!$E$7=TH!H2369,OR(L2369="331",M2369="331")),"331",IF(AND(OR(L2369="131",M2369="131"),H2369='131-CT'!$E$7),"131",""))</f>
        <v/>
      </c>
      <c r="O2369" s="89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8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481"/>
        <v>11</v>
      </c>
      <c r="C2370" s="37">
        <f t="shared" si="483"/>
        <v>41964</v>
      </c>
      <c r="D2370" s="37" t="s">
        <v>1379</v>
      </c>
      <c r="E2370" s="724">
        <v>41964</v>
      </c>
      <c r="F2370" s="192" t="s">
        <v>445</v>
      </c>
      <c r="G2370" s="463" t="s">
        <v>791</v>
      </c>
      <c r="H2370" s="7" t="s">
        <v>1372</v>
      </c>
      <c r="I2370" s="251">
        <v>1600</v>
      </c>
      <c r="J2370" s="251">
        <v>822.55127932178664</v>
      </c>
      <c r="K2370" s="563">
        <f t="shared" si="482"/>
        <v>1316082</v>
      </c>
      <c r="L2370" s="194" t="s">
        <v>175</v>
      </c>
      <c r="M2370" s="194" t="s">
        <v>169</v>
      </c>
      <c r="N2370" s="52" t="str">
        <f>IF(AND('331-CT'!$E$7=TH!H2370,OR(L2370="331",M2370="331")),"331",IF(AND(OR(L2370="131",M2370="131"),H2370='131-CT'!$E$7),"131",""))</f>
        <v/>
      </c>
      <c r="O2370" s="89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8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481"/>
        <v>11</v>
      </c>
      <c r="C2371" s="37">
        <f t="shared" si="483"/>
        <v>41967</v>
      </c>
      <c r="D2371" s="37" t="s">
        <v>1379</v>
      </c>
      <c r="E2371" s="724">
        <v>41967</v>
      </c>
      <c r="F2371" s="192" t="s">
        <v>566</v>
      </c>
      <c r="G2371" s="463" t="s">
        <v>792</v>
      </c>
      <c r="H2371" s="7" t="s">
        <v>1372</v>
      </c>
      <c r="I2371" s="251">
        <v>511</v>
      </c>
      <c r="J2371" s="251">
        <v>7978.7474094213294</v>
      </c>
      <c r="K2371" s="563">
        <f t="shared" si="482"/>
        <v>4077140</v>
      </c>
      <c r="L2371" s="194" t="s">
        <v>175</v>
      </c>
      <c r="M2371" s="194" t="s">
        <v>169</v>
      </c>
      <c r="N2371" s="52" t="str">
        <f>IF(AND('331-CT'!$E$7=TH!H2371,OR(L2371="331",M2371="331")),"331",IF(AND(OR(L2371="131",M2371="131"),H2371='131-CT'!$E$7),"131",""))</f>
        <v/>
      </c>
      <c r="O2371" s="89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8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481"/>
        <v>11</v>
      </c>
      <c r="C2372" s="37">
        <f t="shared" si="483"/>
        <v>41968</v>
      </c>
      <c r="D2372" s="37" t="s">
        <v>1379</v>
      </c>
      <c r="E2372" s="724">
        <v>41968</v>
      </c>
      <c r="F2372" s="192" t="s">
        <v>793</v>
      </c>
      <c r="G2372" s="463" t="s">
        <v>794</v>
      </c>
      <c r="H2372" s="7" t="s">
        <v>1372</v>
      </c>
      <c r="I2372" s="251">
        <v>3160</v>
      </c>
      <c r="J2372" s="251">
        <v>8143.2576652856869</v>
      </c>
      <c r="K2372" s="563">
        <f t="shared" si="482"/>
        <v>25732694</v>
      </c>
      <c r="L2372" s="194" t="s">
        <v>175</v>
      </c>
      <c r="M2372" s="194" t="s">
        <v>169</v>
      </c>
      <c r="N2372" s="52" t="str">
        <f>IF(AND('331-CT'!$E$7=TH!H2372,OR(L2372="331",M2372="331")),"331",IF(AND(OR(L2372="131",M2372="131"),H2372='131-CT'!$E$7),"131",""))</f>
        <v/>
      </c>
      <c r="O2372" s="89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8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481"/>
        <v>11</v>
      </c>
      <c r="C2373" s="37">
        <f t="shared" si="483"/>
        <v>41968</v>
      </c>
      <c r="D2373" s="37" t="s">
        <v>1379</v>
      </c>
      <c r="E2373" s="724">
        <v>41968</v>
      </c>
      <c r="F2373" s="192" t="s">
        <v>722</v>
      </c>
      <c r="G2373" s="463" t="s">
        <v>795</v>
      </c>
      <c r="H2373" s="7" t="s">
        <v>1372</v>
      </c>
      <c r="I2373" s="251">
        <v>33</v>
      </c>
      <c r="J2373" s="251">
        <v>19576.720447858519</v>
      </c>
      <c r="K2373" s="563">
        <f t="shared" si="482"/>
        <v>646032</v>
      </c>
      <c r="L2373" s="194" t="s">
        <v>175</v>
      </c>
      <c r="M2373" s="194" t="s">
        <v>169</v>
      </c>
      <c r="N2373" s="52" t="str">
        <f>IF(AND('331-CT'!$E$7=TH!H2373,OR(L2373="331",M2373="331")),"331",IF(AND(OR(L2373="131",M2373="131"),H2373='131-CT'!$E$7),"131",""))</f>
        <v/>
      </c>
      <c r="O2373" s="89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8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481"/>
        <v>11</v>
      </c>
      <c r="C2374" s="37">
        <f t="shared" si="483"/>
        <v>41968</v>
      </c>
      <c r="D2374" s="37" t="s">
        <v>1379</v>
      </c>
      <c r="E2374" s="724">
        <v>41968</v>
      </c>
      <c r="F2374" s="192" t="s">
        <v>771</v>
      </c>
      <c r="G2374" s="463" t="s">
        <v>795</v>
      </c>
      <c r="H2374" s="7" t="s">
        <v>1372</v>
      </c>
      <c r="I2374" s="251">
        <v>56</v>
      </c>
      <c r="J2374" s="251">
        <v>19000.93455233327</v>
      </c>
      <c r="K2374" s="563">
        <f t="shared" si="482"/>
        <v>1064052</v>
      </c>
      <c r="L2374" s="194" t="s">
        <v>175</v>
      </c>
      <c r="M2374" s="194" t="s">
        <v>169</v>
      </c>
      <c r="N2374" s="52" t="str">
        <f>IF(AND('331-CT'!$E$7=TH!H2374,OR(L2374="331",M2374="331")),"331",IF(AND(OR(L2374="131",M2374="131"),H2374='131-CT'!$E$7),"131",""))</f>
        <v/>
      </c>
      <c r="O2374" s="89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8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481"/>
        <v>11</v>
      </c>
      <c r="C2375" s="37">
        <f t="shared" si="483"/>
        <v>41968</v>
      </c>
      <c r="D2375" s="37" t="s">
        <v>1379</v>
      </c>
      <c r="E2375" s="724">
        <v>41968</v>
      </c>
      <c r="F2375" s="192" t="s">
        <v>746</v>
      </c>
      <c r="G2375" s="463" t="s">
        <v>795</v>
      </c>
      <c r="H2375" s="7" t="s">
        <v>1372</v>
      </c>
      <c r="I2375" s="251">
        <v>178</v>
      </c>
      <c r="J2375" s="251">
        <v>1233.8269189826799</v>
      </c>
      <c r="K2375" s="563">
        <f t="shared" si="482"/>
        <v>219621</v>
      </c>
      <c r="L2375" s="194" t="s">
        <v>175</v>
      </c>
      <c r="M2375" s="194" t="s">
        <v>169</v>
      </c>
      <c r="N2375" s="52" t="str">
        <f>IF(AND('331-CT'!$E$7=TH!H2375,OR(L2375="331",M2375="331")),"331",IF(AND(OR(L2375="131",M2375="131"),H2375='131-CT'!$E$7),"131",""))</f>
        <v/>
      </c>
      <c r="O2375" s="89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8"/>
    </row>
    <row r="2376" spans="1:28" s="211" customFormat="1" ht="15.75" customHeight="1">
      <c r="A2376" s="204" t="str">
        <f>IF(B2376&lt;&gt;"",IF(AND(B2376&gt;=_TM1,B2376&lt;=_TM2,OR(TH!L2376="1111",TH!M2376="1111")),TH!D2376,""),"")</f>
        <v/>
      </c>
      <c r="B2376" s="36">
        <f t="shared" si="481"/>
        <v>11</v>
      </c>
      <c r="C2376" s="37">
        <f t="shared" si="483"/>
        <v>41970</v>
      </c>
      <c r="D2376" s="37" t="s">
        <v>1379</v>
      </c>
      <c r="E2376" s="724">
        <v>41970</v>
      </c>
      <c r="F2376" s="192" t="s">
        <v>796</v>
      </c>
      <c r="G2376" s="463" t="s">
        <v>797</v>
      </c>
      <c r="H2376" s="7" t="s">
        <v>1372</v>
      </c>
      <c r="I2376" s="251">
        <v>100</v>
      </c>
      <c r="J2376" s="251">
        <v>14476.902516063443</v>
      </c>
      <c r="K2376" s="563">
        <f t="shared" si="482"/>
        <v>1447690</v>
      </c>
      <c r="L2376" s="194" t="s">
        <v>175</v>
      </c>
      <c r="M2376" s="194" t="s">
        <v>169</v>
      </c>
      <c r="N2376" s="52" t="str">
        <f>IF(AND('331-CT'!$E$7=TH!H2376,OR(L2376="331",M2376="331")),"331",IF(AND(OR(L2376="131",M2376="131"),H2376='131-CT'!$E$7),"131",""))</f>
        <v/>
      </c>
      <c r="O2376" s="89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8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si="481"/>
        <v>11</v>
      </c>
      <c r="C2377" s="37">
        <f t="shared" si="483"/>
        <v>41970</v>
      </c>
      <c r="D2377" s="37" t="s">
        <v>1379</v>
      </c>
      <c r="E2377" s="724">
        <v>41970</v>
      </c>
      <c r="F2377" s="192" t="s">
        <v>508</v>
      </c>
      <c r="G2377" s="463" t="s">
        <v>799</v>
      </c>
      <c r="H2377" s="7" t="s">
        <v>1372</v>
      </c>
      <c r="I2377" s="251">
        <v>333</v>
      </c>
      <c r="J2377" s="251">
        <v>7731.9820256247931</v>
      </c>
      <c r="K2377" s="563">
        <f t="shared" si="482"/>
        <v>2574750</v>
      </c>
      <c r="L2377" s="194" t="s">
        <v>175</v>
      </c>
      <c r="M2377" s="194" t="s">
        <v>169</v>
      </c>
      <c r="N2377" s="52" t="str">
        <f>IF(AND('331-CT'!$E$7=TH!H2377,OR(L2377="331",M2377="331")),"331",IF(AND(OR(L2377="131",M2377="131"),H2377='131-CT'!$E$7),"131",""))</f>
        <v/>
      </c>
      <c r="O2377" s="89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8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481"/>
        <v>11</v>
      </c>
      <c r="C2378" s="37">
        <f t="shared" si="483"/>
        <v>41970</v>
      </c>
      <c r="D2378" s="37" t="s">
        <v>1379</v>
      </c>
      <c r="E2378" s="724">
        <v>41970</v>
      </c>
      <c r="F2378" s="192" t="s">
        <v>487</v>
      </c>
      <c r="G2378" s="463" t="s">
        <v>799</v>
      </c>
      <c r="H2378" s="7" t="s">
        <v>1372</v>
      </c>
      <c r="I2378" s="251">
        <v>219</v>
      </c>
      <c r="J2378" s="251">
        <v>7649.7268976926152</v>
      </c>
      <c r="K2378" s="563">
        <f t="shared" si="482"/>
        <v>1675290</v>
      </c>
      <c r="L2378" s="194" t="s">
        <v>175</v>
      </c>
      <c r="M2378" s="194" t="s">
        <v>169</v>
      </c>
      <c r="N2378" s="52" t="str">
        <f>IF(AND('331-CT'!$E$7=TH!H2378,OR(L2378="331",M2378="331")),"331",IF(AND(OR(L2378="131",M2378="131"),H2378='131-CT'!$E$7),"131",""))</f>
        <v/>
      </c>
      <c r="O2378" s="89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8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481"/>
        <v>11</v>
      </c>
      <c r="C2379" s="37">
        <f t="shared" si="483"/>
        <v>41970</v>
      </c>
      <c r="D2379" s="37" t="s">
        <v>1379</v>
      </c>
      <c r="E2379" s="724">
        <v>41970</v>
      </c>
      <c r="F2379" s="189" t="s">
        <v>486</v>
      </c>
      <c r="G2379" s="40" t="s">
        <v>799</v>
      </c>
      <c r="H2379" s="7" t="s">
        <v>1372</v>
      </c>
      <c r="I2379" s="251">
        <v>112</v>
      </c>
      <c r="J2379" s="251">
        <v>7320.7063859639002</v>
      </c>
      <c r="K2379" s="563">
        <f t="shared" si="482"/>
        <v>819919</v>
      </c>
      <c r="L2379" s="194" t="s">
        <v>175</v>
      </c>
      <c r="M2379" s="194" t="s">
        <v>169</v>
      </c>
      <c r="N2379" s="52" t="str">
        <f>IF(AND('331-CT'!$E$7=TH!H2379,OR(L2379="331",M2379="331")),"331",IF(AND(OR(L2379="131",M2379="131"),H2379='131-CT'!$E$7),"131",""))</f>
        <v/>
      </c>
      <c r="O2379" s="89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8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481"/>
        <v>11</v>
      </c>
      <c r="C2380" s="37">
        <f t="shared" si="483"/>
        <v>41970</v>
      </c>
      <c r="D2380" s="37" t="s">
        <v>1379</v>
      </c>
      <c r="E2380" s="724">
        <v>41970</v>
      </c>
      <c r="F2380" s="189" t="s">
        <v>630</v>
      </c>
      <c r="G2380" s="40" t="s">
        <v>800</v>
      </c>
      <c r="H2380" s="7" t="s">
        <v>1372</v>
      </c>
      <c r="I2380" s="251">
        <v>110</v>
      </c>
      <c r="J2380" s="251">
        <v>3619.2256290158607</v>
      </c>
      <c r="K2380" s="563">
        <f t="shared" si="482"/>
        <v>398115</v>
      </c>
      <c r="L2380" s="194" t="s">
        <v>175</v>
      </c>
      <c r="M2380" s="194" t="s">
        <v>169</v>
      </c>
      <c r="N2380" s="52" t="str">
        <f>IF(AND('331-CT'!$E$7=TH!H2380,OR(L2380="331",M2380="331")),"331",IF(AND(OR(L2380="131",M2380="131"),H2380='131-CT'!$E$7),"131",""))</f>
        <v/>
      </c>
      <c r="O2380" s="89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8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481"/>
        <v>11</v>
      </c>
      <c r="C2381" s="37">
        <f t="shared" si="483"/>
        <v>41970</v>
      </c>
      <c r="D2381" s="37" t="s">
        <v>1379</v>
      </c>
      <c r="E2381" s="724">
        <v>41970</v>
      </c>
      <c r="F2381" s="189" t="s">
        <v>632</v>
      </c>
      <c r="G2381" s="40" t="s">
        <v>800</v>
      </c>
      <c r="H2381" s="7" t="s">
        <v>1372</v>
      </c>
      <c r="I2381" s="251">
        <v>260</v>
      </c>
      <c r="J2381" s="251">
        <v>6333.6448507777568</v>
      </c>
      <c r="K2381" s="563">
        <f t="shared" si="482"/>
        <v>1646748</v>
      </c>
      <c r="L2381" s="194" t="s">
        <v>175</v>
      </c>
      <c r="M2381" s="194" t="s">
        <v>169</v>
      </c>
      <c r="N2381" s="52" t="str">
        <f>IF(AND('331-CT'!$E$7=TH!H2381,OR(L2381="331",M2381="331")),"331",IF(AND(OR(L2381="131",M2381="131"),H2381='131-CT'!$E$7),"131",""))</f>
        <v/>
      </c>
      <c r="O2381" s="89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8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481"/>
        <v>11</v>
      </c>
      <c r="C2382" s="37">
        <f t="shared" si="483"/>
        <v>41970</v>
      </c>
      <c r="D2382" s="37" t="s">
        <v>1379</v>
      </c>
      <c r="E2382" s="724">
        <v>41970</v>
      </c>
      <c r="F2382" s="189" t="s">
        <v>631</v>
      </c>
      <c r="G2382" s="40" t="s">
        <v>800</v>
      </c>
      <c r="H2382" s="7" t="s">
        <v>1372</v>
      </c>
      <c r="I2382" s="251">
        <v>450</v>
      </c>
      <c r="J2382" s="251">
        <v>3865.9910128123965</v>
      </c>
      <c r="K2382" s="563">
        <f t="shared" si="482"/>
        <v>1739696</v>
      </c>
      <c r="L2382" s="194" t="s">
        <v>175</v>
      </c>
      <c r="M2382" s="194" t="s">
        <v>169</v>
      </c>
      <c r="N2382" s="52" t="str">
        <f>IF(AND('331-CT'!$E$7=TH!H2382,OR(L2382="331",M2382="331")),"331",IF(AND(OR(L2382="131",M2382="131"),H2382='131-CT'!$E$7),"131",""))</f>
        <v/>
      </c>
      <c r="O2382" s="89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8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481"/>
        <v>11</v>
      </c>
      <c r="C2383" s="37">
        <f t="shared" si="483"/>
        <v>41972</v>
      </c>
      <c r="D2383" s="37" t="s">
        <v>1379</v>
      </c>
      <c r="E2383" s="724">
        <v>41972</v>
      </c>
      <c r="F2383" s="189" t="s">
        <v>670</v>
      </c>
      <c r="G2383" s="40" t="s">
        <v>801</v>
      </c>
      <c r="H2383" s="7" t="s">
        <v>1372</v>
      </c>
      <c r="I2383" s="251">
        <v>1000</v>
      </c>
      <c r="J2383" s="251">
        <v>7402.9615138960789</v>
      </c>
      <c r="K2383" s="563">
        <f t="shared" si="482"/>
        <v>7402962</v>
      </c>
      <c r="L2383" s="194" t="s">
        <v>175</v>
      </c>
      <c r="M2383" s="194" t="s">
        <v>169</v>
      </c>
      <c r="N2383" s="52" t="str">
        <f>IF(AND('331-CT'!$E$7=TH!H2383,OR(L2383="331",M2383="331")),"331",IF(AND(OR(L2383="131",M2383="131"),H2383='131-CT'!$E$7),"131",""))</f>
        <v/>
      </c>
      <c r="O2383" s="89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8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481"/>
        <v>11</v>
      </c>
      <c r="C2384" s="37">
        <f t="shared" si="483"/>
        <v>41973</v>
      </c>
      <c r="D2384" s="37" t="s">
        <v>1379</v>
      </c>
      <c r="E2384" s="724">
        <v>41973</v>
      </c>
      <c r="F2384" s="189" t="s">
        <v>670</v>
      </c>
      <c r="G2384" s="40" t="s">
        <v>802</v>
      </c>
      <c r="H2384" s="7" t="s">
        <v>1372</v>
      </c>
      <c r="I2384" s="251">
        <v>987</v>
      </c>
      <c r="J2384" s="251">
        <v>7402.9615138960789</v>
      </c>
      <c r="K2384" s="563">
        <f t="shared" si="482"/>
        <v>7306723</v>
      </c>
      <c r="L2384" s="194" t="s">
        <v>175</v>
      </c>
      <c r="M2384" s="194" t="s">
        <v>169</v>
      </c>
      <c r="N2384" s="52" t="str">
        <f>IF(AND('331-CT'!$E$7=TH!H2384,OR(L2384="331",M2384="331")),"331",IF(AND(OR(L2384="131",M2384="131"),H2384='131-CT'!$E$7),"131",""))</f>
        <v/>
      </c>
      <c r="O2384" s="89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8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481"/>
        <v>11</v>
      </c>
      <c r="C2385" s="37">
        <f t="shared" si="483"/>
        <v>41973</v>
      </c>
      <c r="D2385" s="37" t="s">
        <v>1379</v>
      </c>
      <c r="E2385" s="724">
        <v>41973</v>
      </c>
      <c r="F2385" s="189" t="s">
        <v>670</v>
      </c>
      <c r="G2385" s="40" t="s">
        <v>802</v>
      </c>
      <c r="H2385" s="7" t="s">
        <v>1372</v>
      </c>
      <c r="I2385" s="251">
        <v>226</v>
      </c>
      <c r="J2385" s="251">
        <v>7402.9615138960789</v>
      </c>
      <c r="K2385" s="563">
        <f t="shared" si="482"/>
        <v>1673069</v>
      </c>
      <c r="L2385" s="194" t="s">
        <v>175</v>
      </c>
      <c r="M2385" s="194" t="s">
        <v>169</v>
      </c>
      <c r="N2385" s="52" t="str">
        <f>IF(AND('331-CT'!$E$7=TH!H2385,OR(L2385="331",M2385="331")),"331",IF(AND(OR(L2385="131",M2385="131"),H2385='131-CT'!$E$7),"131",""))</f>
        <v/>
      </c>
      <c r="O2385" s="89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8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481"/>
        <v>11</v>
      </c>
      <c r="C2386" s="37">
        <f t="shared" si="483"/>
        <v>41973</v>
      </c>
      <c r="D2386" s="37" t="s">
        <v>1379</v>
      </c>
      <c r="E2386" s="724">
        <v>41973</v>
      </c>
      <c r="F2386" s="189" t="s">
        <v>775</v>
      </c>
      <c r="G2386" s="40" t="s">
        <v>803</v>
      </c>
      <c r="H2386" s="7" t="s">
        <v>1372</v>
      </c>
      <c r="I2386" s="251">
        <v>1980</v>
      </c>
      <c r="J2386" s="251">
        <v>7402.9615138960789</v>
      </c>
      <c r="K2386" s="563">
        <f t="shared" si="482"/>
        <v>14657864</v>
      </c>
      <c r="L2386" s="194" t="s">
        <v>175</v>
      </c>
      <c r="M2386" s="194" t="s">
        <v>169</v>
      </c>
      <c r="N2386" s="52" t="str">
        <f>IF(AND('331-CT'!$E$7=TH!H2386,OR(L2386="331",M2386="331")),"331",IF(AND(OR(L2386="131",M2386="131"),H2386='131-CT'!$E$7),"131",""))</f>
        <v/>
      </c>
      <c r="O2386" s="89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8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481"/>
        <v>12</v>
      </c>
      <c r="C2387" s="37">
        <f t="shared" si="483"/>
        <v>41975</v>
      </c>
      <c r="D2387" s="37" t="s">
        <v>1379</v>
      </c>
      <c r="E2387" s="724">
        <v>41975</v>
      </c>
      <c r="F2387" s="189" t="s">
        <v>741</v>
      </c>
      <c r="G2387" s="40" t="s">
        <v>804</v>
      </c>
      <c r="H2387" s="7" t="s">
        <v>1372</v>
      </c>
      <c r="I2387" s="251">
        <v>1059</v>
      </c>
      <c r="J2387" s="251">
        <v>5593.3486993881488</v>
      </c>
      <c r="K2387" s="563">
        <f t="shared" si="482"/>
        <v>5923356</v>
      </c>
      <c r="L2387" s="194" t="s">
        <v>175</v>
      </c>
      <c r="M2387" s="194" t="s">
        <v>169</v>
      </c>
      <c r="N2387" s="52" t="str">
        <f>IF(AND('331-CT'!$E$7=TH!H2387,OR(L2387="331",M2387="331")),"331",IF(AND(OR(L2387="131",M2387="131"),H2387='131-CT'!$E$7),"131",""))</f>
        <v/>
      </c>
      <c r="O2387" s="89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8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481"/>
        <v>12</v>
      </c>
      <c r="C2388" s="37">
        <f t="shared" si="483"/>
        <v>41979</v>
      </c>
      <c r="D2388" s="37" t="s">
        <v>1379</v>
      </c>
      <c r="E2388" s="722">
        <v>41979</v>
      </c>
      <c r="F2388" s="189" t="s">
        <v>805</v>
      </c>
      <c r="G2388" s="40" t="s">
        <v>806</v>
      </c>
      <c r="H2388" s="7" t="s">
        <v>1372</v>
      </c>
      <c r="I2388" s="251">
        <v>106</v>
      </c>
      <c r="J2388" s="251">
        <v>7238.4512580317214</v>
      </c>
      <c r="K2388" s="563">
        <f t="shared" si="482"/>
        <v>767276</v>
      </c>
      <c r="L2388" s="194" t="s">
        <v>175</v>
      </c>
      <c r="M2388" s="194" t="s">
        <v>169</v>
      </c>
      <c r="N2388" s="52" t="str">
        <f>IF(AND('331-CT'!$E$7=TH!H2388,OR(L2388="331",M2388="331")),"331",IF(AND(OR(L2388="131",M2388="131"),H2388='131-CT'!$E$7),"131",""))</f>
        <v/>
      </c>
      <c r="O2388" s="89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8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481"/>
        <v>12</v>
      </c>
      <c r="C2389" s="37">
        <f t="shared" si="483"/>
        <v>41979</v>
      </c>
      <c r="D2389" s="37" t="s">
        <v>1379</v>
      </c>
      <c r="E2389" s="722">
        <v>41979</v>
      </c>
      <c r="F2389" s="189" t="s">
        <v>754</v>
      </c>
      <c r="G2389" s="40" t="s">
        <v>806</v>
      </c>
      <c r="H2389" s="7" t="s">
        <v>1372</v>
      </c>
      <c r="I2389" s="251">
        <v>493</v>
      </c>
      <c r="J2389" s="251">
        <v>5264.3281876594338</v>
      </c>
      <c r="K2389" s="563">
        <f t="shared" si="482"/>
        <v>2595314</v>
      </c>
      <c r="L2389" s="194" t="s">
        <v>175</v>
      </c>
      <c r="M2389" s="194" t="s">
        <v>169</v>
      </c>
      <c r="N2389" s="52" t="str">
        <f>IF(AND('331-CT'!$E$7=TH!H2389,OR(L2389="331",M2389="331")),"331",IF(AND(OR(L2389="131",M2389="131"),H2389='131-CT'!$E$7),"131",""))</f>
        <v/>
      </c>
      <c r="O2389" s="89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8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481"/>
        <v>12</v>
      </c>
      <c r="C2390" s="37">
        <f t="shared" si="483"/>
        <v>41979</v>
      </c>
      <c r="D2390" s="37" t="s">
        <v>1379</v>
      </c>
      <c r="E2390" s="722">
        <v>41979</v>
      </c>
      <c r="F2390" s="189" t="s">
        <v>807</v>
      </c>
      <c r="G2390" s="40" t="s">
        <v>806</v>
      </c>
      <c r="H2390" s="7" t="s">
        <v>1372</v>
      </c>
      <c r="I2390" s="251">
        <v>512</v>
      </c>
      <c r="J2390" s="251">
        <v>3372.4602452193249</v>
      </c>
      <c r="K2390" s="563">
        <f t="shared" si="482"/>
        <v>1726700</v>
      </c>
      <c r="L2390" s="194" t="s">
        <v>175</v>
      </c>
      <c r="M2390" s="194" t="s">
        <v>169</v>
      </c>
      <c r="N2390" s="52" t="str">
        <f>IF(AND('331-CT'!$E$7=TH!H2390,OR(L2390="331",M2390="331")),"331",IF(AND(OR(L2390="131",M2390="131"),H2390='131-CT'!$E$7),"131",""))</f>
        <v/>
      </c>
      <c r="O2390" s="89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8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481"/>
        <v>12</v>
      </c>
      <c r="C2391" s="37">
        <f t="shared" si="483"/>
        <v>41979</v>
      </c>
      <c r="D2391" s="37" t="s">
        <v>1379</v>
      </c>
      <c r="E2391" s="722">
        <v>41979</v>
      </c>
      <c r="F2391" s="189" t="s">
        <v>690</v>
      </c>
      <c r="G2391" s="40" t="s">
        <v>806</v>
      </c>
      <c r="H2391" s="7" t="s">
        <v>1372</v>
      </c>
      <c r="I2391" s="251">
        <v>208</v>
      </c>
      <c r="J2391" s="251">
        <v>6004.6243390490417</v>
      </c>
      <c r="K2391" s="563">
        <f t="shared" si="482"/>
        <v>1248962</v>
      </c>
      <c r="L2391" s="194" t="s">
        <v>175</v>
      </c>
      <c r="M2391" s="194" t="s">
        <v>169</v>
      </c>
      <c r="N2391" s="52" t="str">
        <f>IF(AND('331-CT'!$E$7=TH!H2391,OR(L2391="331",M2391="331")),"331",IF(AND(OR(L2391="131",M2391="131"),H2391='131-CT'!$E$7),"131",""))</f>
        <v/>
      </c>
      <c r="O2391" s="89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8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481"/>
        <v>12</v>
      </c>
      <c r="C2392" s="37">
        <f t="shared" si="483"/>
        <v>41979</v>
      </c>
      <c r="D2392" s="37" t="s">
        <v>1379</v>
      </c>
      <c r="E2392" s="722">
        <v>41979</v>
      </c>
      <c r="F2392" s="40" t="s">
        <v>639</v>
      </c>
      <c r="G2392" s="40" t="s">
        <v>806</v>
      </c>
      <c r="H2392" s="7" t="s">
        <v>1372</v>
      </c>
      <c r="I2392" s="251">
        <v>1016</v>
      </c>
      <c r="J2392" s="251">
        <v>4195.0115245411116</v>
      </c>
      <c r="K2392" s="563">
        <f t="shared" si="482"/>
        <v>4262132</v>
      </c>
      <c r="L2392" s="194" t="s">
        <v>175</v>
      </c>
      <c r="M2392" s="194" t="s">
        <v>169</v>
      </c>
      <c r="N2392" s="52" t="str">
        <f>IF(AND('331-CT'!$E$7=TH!H2392,OR(L2392="331",M2392="331")),"331",IF(AND(OR(L2392="131",M2392="131"),H2392='131-CT'!$E$7),"131",""))</f>
        <v/>
      </c>
      <c r="O2392" s="89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8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481"/>
        <v>12</v>
      </c>
      <c r="C2393" s="37">
        <f t="shared" si="483"/>
        <v>41981</v>
      </c>
      <c r="D2393" s="37" t="s">
        <v>1379</v>
      </c>
      <c r="E2393" s="722">
        <v>41981</v>
      </c>
      <c r="F2393" s="189" t="s">
        <v>515</v>
      </c>
      <c r="G2393" s="40" t="s">
        <v>808</v>
      </c>
      <c r="H2393" s="7" t="s">
        <v>1372</v>
      </c>
      <c r="I2393" s="251">
        <v>1015</v>
      </c>
      <c r="J2393" s="251">
        <v>9459.3397122005445</v>
      </c>
      <c r="K2393" s="563">
        <f t="shared" si="482"/>
        <v>9601230</v>
      </c>
      <c r="L2393" s="194" t="s">
        <v>175</v>
      </c>
      <c r="M2393" s="194" t="s">
        <v>169</v>
      </c>
      <c r="N2393" s="52" t="str">
        <f>IF(AND('331-CT'!$E$7=TH!H2393,OR(L2393="331",M2393="331")),"331",IF(AND(OR(L2393="131",M2393="131"),H2393='131-CT'!$E$7),"131",""))</f>
        <v/>
      </c>
      <c r="O2393" s="89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8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481"/>
        <v>12</v>
      </c>
      <c r="C2394" s="37">
        <f t="shared" si="483"/>
        <v>41982</v>
      </c>
      <c r="D2394" s="37" t="s">
        <v>1379</v>
      </c>
      <c r="E2394" s="722">
        <v>41982</v>
      </c>
      <c r="F2394" s="189" t="s">
        <v>436</v>
      </c>
      <c r="G2394" s="40" t="s">
        <v>809</v>
      </c>
      <c r="H2394" s="7" t="s">
        <v>1372</v>
      </c>
      <c r="I2394" s="251">
        <v>440</v>
      </c>
      <c r="J2394" s="251">
        <v>7814.2371535569719</v>
      </c>
      <c r="K2394" s="563">
        <f t="shared" si="482"/>
        <v>3438264</v>
      </c>
      <c r="L2394" s="194" t="s">
        <v>175</v>
      </c>
      <c r="M2394" s="194" t="s">
        <v>169</v>
      </c>
      <c r="N2394" s="52" t="str">
        <f>IF(AND('331-CT'!$E$7=TH!H2394,OR(L2394="331",M2394="331")),"331",IF(AND(OR(L2394="131",M2394="131"),H2394='131-CT'!$E$7),"131",""))</f>
        <v/>
      </c>
      <c r="O2394" s="89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8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481"/>
        <v>12</v>
      </c>
      <c r="C2395" s="37">
        <f t="shared" si="483"/>
        <v>41982</v>
      </c>
      <c r="D2395" s="37" t="s">
        <v>1379</v>
      </c>
      <c r="E2395" s="722">
        <v>41982</v>
      </c>
      <c r="F2395" s="40" t="s">
        <v>810</v>
      </c>
      <c r="G2395" s="40" t="s">
        <v>809</v>
      </c>
      <c r="H2395" s="7" t="s">
        <v>1372</v>
      </c>
      <c r="I2395" s="251">
        <v>403</v>
      </c>
      <c r="J2395" s="251">
        <v>4770.7974200663621</v>
      </c>
      <c r="K2395" s="563">
        <f t="shared" si="482"/>
        <v>1922631</v>
      </c>
      <c r="L2395" s="194" t="s">
        <v>175</v>
      </c>
      <c r="M2395" s="194" t="s">
        <v>169</v>
      </c>
      <c r="N2395" s="52" t="str">
        <f>IF(AND('331-CT'!$E$7=TH!H2395,OR(L2395="331",M2395="331")),"331",IF(AND(OR(L2395="131",M2395="131"),H2395='131-CT'!$E$7),"131",""))</f>
        <v/>
      </c>
      <c r="O2395" s="89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8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481"/>
        <v>12</v>
      </c>
      <c r="C2396" s="37">
        <f t="shared" si="483"/>
        <v>41982</v>
      </c>
      <c r="D2396" s="37" t="s">
        <v>1379</v>
      </c>
      <c r="E2396" s="722">
        <v>41982</v>
      </c>
      <c r="F2396" s="40" t="s">
        <v>436</v>
      </c>
      <c r="G2396" s="40" t="s">
        <v>811</v>
      </c>
      <c r="H2396" s="7" t="s">
        <v>1372</v>
      </c>
      <c r="I2396" s="251">
        <v>440</v>
      </c>
      <c r="J2396" s="251">
        <v>7814.2371535569719</v>
      </c>
      <c r="K2396" s="563">
        <f t="shared" si="482"/>
        <v>3438264</v>
      </c>
      <c r="L2396" s="194" t="s">
        <v>175</v>
      </c>
      <c r="M2396" s="194" t="s">
        <v>169</v>
      </c>
      <c r="N2396" s="52" t="str">
        <f>IF(AND('331-CT'!$E$7=TH!H2396,OR(L2396="331",M2396="331")),"331",IF(AND(OR(L2396="131",M2396="131"),H2396='131-CT'!$E$7),"131",""))</f>
        <v/>
      </c>
      <c r="O2396" s="89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8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481"/>
        <v>12</v>
      </c>
      <c r="C2397" s="37">
        <f t="shared" si="483"/>
        <v>41985</v>
      </c>
      <c r="D2397" s="37" t="s">
        <v>1379</v>
      </c>
      <c r="E2397" s="722">
        <v>41985</v>
      </c>
      <c r="F2397" s="40" t="s">
        <v>483</v>
      </c>
      <c r="G2397" s="40" t="s">
        <v>812</v>
      </c>
      <c r="H2397" s="7" t="s">
        <v>1372</v>
      </c>
      <c r="I2397" s="251">
        <v>411</v>
      </c>
      <c r="J2397" s="251">
        <v>11022.18714291194</v>
      </c>
      <c r="K2397" s="563">
        <f t="shared" si="482"/>
        <v>4530119</v>
      </c>
      <c r="L2397" s="194" t="s">
        <v>175</v>
      </c>
      <c r="M2397" s="194" t="s">
        <v>169</v>
      </c>
      <c r="N2397" s="52" t="str">
        <f>IF(AND('331-CT'!$E$7=TH!H2397,OR(L2397="331",M2397="331")),"331",IF(AND(OR(L2397="131",M2397="131"),H2397='131-CT'!$E$7),"131",""))</f>
        <v/>
      </c>
      <c r="O2397" s="89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8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481"/>
        <v>12</v>
      </c>
      <c r="C2398" s="37">
        <f t="shared" si="483"/>
        <v>41985</v>
      </c>
      <c r="D2398" s="37" t="s">
        <v>1379</v>
      </c>
      <c r="E2398" s="722">
        <v>41985</v>
      </c>
      <c r="F2398" s="189" t="s">
        <v>813</v>
      </c>
      <c r="G2398" s="40" t="s">
        <v>814</v>
      </c>
      <c r="H2398" s="7" t="s">
        <v>1372</v>
      </c>
      <c r="I2398" s="251">
        <v>89</v>
      </c>
      <c r="J2398" s="251">
        <v>20810.547366841198</v>
      </c>
      <c r="K2398" s="563">
        <f t="shared" si="482"/>
        <v>1852139</v>
      </c>
      <c r="L2398" s="194" t="s">
        <v>175</v>
      </c>
      <c r="M2398" s="194" t="s">
        <v>169</v>
      </c>
      <c r="N2398" s="52" t="str">
        <f>IF(AND('331-CT'!$E$7=TH!H2398,OR(L2398="331",M2398="331")),"331",IF(AND(OR(L2398="131",M2398="131"),H2398='131-CT'!$E$7),"131",""))</f>
        <v/>
      </c>
      <c r="O2398" s="89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8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481"/>
        <v>12</v>
      </c>
      <c r="C2399" s="37">
        <f t="shared" si="483"/>
        <v>41985</v>
      </c>
      <c r="D2399" s="37" t="s">
        <v>1379</v>
      </c>
      <c r="E2399" s="722">
        <v>41985</v>
      </c>
      <c r="F2399" s="40" t="s">
        <v>815</v>
      </c>
      <c r="G2399" s="40" t="s">
        <v>816</v>
      </c>
      <c r="H2399" s="7" t="s">
        <v>1372</v>
      </c>
      <c r="I2399" s="251">
        <v>350</v>
      </c>
      <c r="J2399" s="251">
        <v>59634.967750829528</v>
      </c>
      <c r="K2399" s="563">
        <f t="shared" si="482"/>
        <v>20872239</v>
      </c>
      <c r="L2399" s="194" t="s">
        <v>175</v>
      </c>
      <c r="M2399" s="194" t="s">
        <v>169</v>
      </c>
      <c r="N2399" s="52" t="str">
        <f>IF(AND('331-CT'!$E$7=TH!H2399,OR(L2399="331",M2399="331")),"331",IF(AND(OR(L2399="131",M2399="131"),H2399='131-CT'!$E$7),"131",""))</f>
        <v/>
      </c>
      <c r="O2399" s="89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8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481"/>
        <v>12</v>
      </c>
      <c r="C2400" s="37">
        <f t="shared" si="483"/>
        <v>41986</v>
      </c>
      <c r="D2400" s="37" t="s">
        <v>1379</v>
      </c>
      <c r="E2400" s="775">
        <v>41986</v>
      </c>
      <c r="F2400" s="192" t="s">
        <v>817</v>
      </c>
      <c r="G2400" s="463" t="s">
        <v>818</v>
      </c>
      <c r="H2400" s="7" t="s">
        <v>1372</v>
      </c>
      <c r="I2400" s="251">
        <v>223</v>
      </c>
      <c r="J2400" s="251">
        <v>7567.4717697604365</v>
      </c>
      <c r="K2400" s="563">
        <f t="shared" si="482"/>
        <v>1687546</v>
      </c>
      <c r="L2400" s="194" t="s">
        <v>175</v>
      </c>
      <c r="M2400" s="194" t="s">
        <v>169</v>
      </c>
      <c r="N2400" s="52" t="str">
        <f>IF(AND('331-CT'!$E$7=TH!H2400,OR(L2400="331",M2400="331")),"331",IF(AND(OR(L2400="131",M2400="131"),H2400='131-CT'!$E$7),"131",""))</f>
        <v/>
      </c>
      <c r="O2400" s="89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8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481"/>
        <v>12</v>
      </c>
      <c r="C2401" s="37">
        <f t="shared" si="483"/>
        <v>41986</v>
      </c>
      <c r="D2401" s="37" t="s">
        <v>1379</v>
      </c>
      <c r="E2401" s="775">
        <v>41986</v>
      </c>
      <c r="F2401" s="192" t="s">
        <v>819</v>
      </c>
      <c r="G2401" s="463" t="s">
        <v>820</v>
      </c>
      <c r="H2401" s="7" t="s">
        <v>1372</v>
      </c>
      <c r="I2401" s="251">
        <v>200</v>
      </c>
      <c r="J2401" s="251">
        <v>61280.0703094731</v>
      </c>
      <c r="K2401" s="563">
        <f t="shared" si="482"/>
        <v>12256014</v>
      </c>
      <c r="L2401" s="194" t="s">
        <v>175</v>
      </c>
      <c r="M2401" s="194" t="s">
        <v>169</v>
      </c>
      <c r="N2401" s="52" t="str">
        <f>IF(AND('331-CT'!$E$7=TH!H2401,OR(L2401="331",M2401="331")),"331",IF(AND(OR(L2401="131",M2401="131"),H2401='131-CT'!$E$7),"131",""))</f>
        <v/>
      </c>
      <c r="O2401" s="89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8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481"/>
        <v>12</v>
      </c>
      <c r="C2402" s="37">
        <f t="shared" si="483"/>
        <v>41986</v>
      </c>
      <c r="D2402" s="37" t="s">
        <v>1379</v>
      </c>
      <c r="E2402" s="775">
        <v>41986</v>
      </c>
      <c r="F2402" s="192" t="s">
        <v>703</v>
      </c>
      <c r="G2402" s="463" t="s">
        <v>821</v>
      </c>
      <c r="H2402" s="7" t="s">
        <v>1372</v>
      </c>
      <c r="I2402" s="251">
        <v>3160</v>
      </c>
      <c r="J2402" s="251">
        <v>7567.4717697604365</v>
      </c>
      <c r="K2402" s="563">
        <f t="shared" si="482"/>
        <v>23913211</v>
      </c>
      <c r="L2402" s="194" t="s">
        <v>175</v>
      </c>
      <c r="M2402" s="194" t="s">
        <v>169</v>
      </c>
      <c r="N2402" s="52" t="str">
        <f>IF(AND('331-CT'!$E$7=TH!H2402,OR(L2402="331",M2402="331")),"331",IF(AND(OR(L2402="131",M2402="131"),H2402='131-CT'!$E$7),"131",""))</f>
        <v/>
      </c>
      <c r="O2402" s="89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8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481"/>
        <v>12</v>
      </c>
      <c r="C2403" s="37">
        <f t="shared" si="483"/>
        <v>41986</v>
      </c>
      <c r="D2403" s="37" t="s">
        <v>1379</v>
      </c>
      <c r="E2403" s="775">
        <v>41986</v>
      </c>
      <c r="F2403" s="192" t="s">
        <v>708</v>
      </c>
      <c r="G2403" s="463" t="s">
        <v>821</v>
      </c>
      <c r="H2403" s="7" t="s">
        <v>1372</v>
      </c>
      <c r="I2403" s="251">
        <v>301</v>
      </c>
      <c r="J2403" s="251">
        <v>9294.8294563361869</v>
      </c>
      <c r="K2403" s="563">
        <f t="shared" si="482"/>
        <v>2797744</v>
      </c>
      <c r="L2403" s="194" t="s">
        <v>175</v>
      </c>
      <c r="M2403" s="194" t="s">
        <v>169</v>
      </c>
      <c r="N2403" s="52" t="str">
        <f>IF(AND('331-CT'!$E$7=TH!H2403,OR(L2403="331",M2403="331")),"331",IF(AND(OR(L2403="131",M2403="131"),H2403='131-CT'!$E$7),"131",""))</f>
        <v/>
      </c>
      <c r="O2403" s="89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8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481"/>
        <v>12</v>
      </c>
      <c r="C2404" s="37">
        <f t="shared" si="483"/>
        <v>41986</v>
      </c>
      <c r="D2404" s="37" t="s">
        <v>1379</v>
      </c>
      <c r="E2404" s="775">
        <v>41986</v>
      </c>
      <c r="F2404" s="192" t="s">
        <v>712</v>
      </c>
      <c r="G2404" s="463" t="s">
        <v>822</v>
      </c>
      <c r="H2404" s="7" t="s">
        <v>1372</v>
      </c>
      <c r="I2404" s="251">
        <v>20</v>
      </c>
      <c r="J2404" s="251">
        <v>9952.8704797936171</v>
      </c>
      <c r="K2404" s="563">
        <f t="shared" si="482"/>
        <v>199057</v>
      </c>
      <c r="L2404" s="194" t="s">
        <v>175</v>
      </c>
      <c r="M2404" s="194" t="s">
        <v>169</v>
      </c>
      <c r="N2404" s="52" t="str">
        <f>IF(AND('331-CT'!$E$7=TH!H2404,OR(L2404="331",M2404="331")),"331",IF(AND(OR(L2404="131",M2404="131"),H2404='131-CT'!$E$7),"131",""))</f>
        <v/>
      </c>
      <c r="O2404" s="89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8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481"/>
        <v>12</v>
      </c>
      <c r="C2405" s="37">
        <f t="shared" si="483"/>
        <v>41986</v>
      </c>
      <c r="D2405" s="37" t="s">
        <v>1379</v>
      </c>
      <c r="E2405" s="775">
        <v>41986</v>
      </c>
      <c r="F2405" s="192" t="s">
        <v>823</v>
      </c>
      <c r="G2405" s="463" t="s">
        <v>822</v>
      </c>
      <c r="H2405" s="7" t="s">
        <v>1372</v>
      </c>
      <c r="I2405" s="251">
        <v>47</v>
      </c>
      <c r="J2405" s="251">
        <v>10035.125607725797</v>
      </c>
      <c r="K2405" s="563">
        <f t="shared" si="482"/>
        <v>471651</v>
      </c>
      <c r="L2405" s="194" t="s">
        <v>175</v>
      </c>
      <c r="M2405" s="194" t="s">
        <v>169</v>
      </c>
      <c r="N2405" s="52" t="str">
        <f>IF(AND('331-CT'!$E$7=TH!H2405,OR(L2405="331",M2405="331")),"331",IF(AND(OR(L2405="131",M2405="131"),H2405='131-CT'!$E$7),"131",""))</f>
        <v/>
      </c>
      <c r="O2405" s="89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8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481"/>
        <v>12</v>
      </c>
      <c r="C2406" s="37">
        <f t="shared" si="483"/>
        <v>41986</v>
      </c>
      <c r="D2406" s="37" t="s">
        <v>1379</v>
      </c>
      <c r="E2406" s="775">
        <v>41986</v>
      </c>
      <c r="F2406" s="192" t="s">
        <v>824</v>
      </c>
      <c r="G2406" s="463" t="s">
        <v>822</v>
      </c>
      <c r="H2406" s="7" t="s">
        <v>1372</v>
      </c>
      <c r="I2406" s="251">
        <v>902</v>
      </c>
      <c r="J2406" s="251">
        <v>15052.688411588695</v>
      </c>
      <c r="K2406" s="563">
        <f t="shared" si="482"/>
        <v>13577525</v>
      </c>
      <c r="L2406" s="194" t="s">
        <v>175</v>
      </c>
      <c r="M2406" s="194" t="s">
        <v>169</v>
      </c>
      <c r="N2406" s="52" t="str">
        <f>IF(AND('331-CT'!$E$7=TH!H2406,OR(L2406="331",M2406="331")),"331",IF(AND(OR(L2406="131",M2406="131"),H2406='131-CT'!$E$7),"131",""))</f>
        <v/>
      </c>
      <c r="O2406" s="89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8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ref="B2407:B2467" si="484">IF(C2407&lt;&gt;"",MONTH(C2407),"")</f>
        <v>12</v>
      </c>
      <c r="C2407" s="37">
        <f t="shared" si="483"/>
        <v>41988</v>
      </c>
      <c r="D2407" s="37" t="s">
        <v>1379</v>
      </c>
      <c r="E2407" s="775">
        <v>41988</v>
      </c>
      <c r="F2407" s="192" t="s">
        <v>825</v>
      </c>
      <c r="G2407" s="463" t="s">
        <v>826</v>
      </c>
      <c r="H2407" s="7" t="s">
        <v>1372</v>
      </c>
      <c r="I2407" s="251">
        <v>352</v>
      </c>
      <c r="J2407" s="251">
        <v>10775.421759115405</v>
      </c>
      <c r="K2407" s="563">
        <f t="shared" ref="K2407:K2461" si="485">ROUND(I2407*J2407,0)</f>
        <v>3792948</v>
      </c>
      <c r="L2407" s="194" t="s">
        <v>175</v>
      </c>
      <c r="M2407" s="194" t="s">
        <v>169</v>
      </c>
      <c r="N2407" s="52" t="str">
        <f>IF(AND('331-CT'!$E$7=TH!H2407,OR(L2407="331",M2407="331")),"331",IF(AND(OR(L2407="131",M2407="131"),H2407='131-CT'!$E$7),"131",""))</f>
        <v/>
      </c>
      <c r="O2407" s="89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8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484"/>
        <v>12</v>
      </c>
      <c r="C2408" s="37">
        <f t="shared" ref="C2408:C2461" si="486">E2408</f>
        <v>41988</v>
      </c>
      <c r="D2408" s="37" t="s">
        <v>1379</v>
      </c>
      <c r="E2408" s="775">
        <v>41988</v>
      </c>
      <c r="F2408" s="192" t="s">
        <v>827</v>
      </c>
      <c r="G2408" s="463" t="s">
        <v>826</v>
      </c>
      <c r="H2408" s="7" t="s">
        <v>1372</v>
      </c>
      <c r="I2408" s="251">
        <v>52</v>
      </c>
      <c r="J2408" s="251">
        <v>13983.371748470372</v>
      </c>
      <c r="K2408" s="563">
        <f t="shared" si="485"/>
        <v>727135</v>
      </c>
      <c r="L2408" s="194" t="s">
        <v>175</v>
      </c>
      <c r="M2408" s="194" t="s">
        <v>169</v>
      </c>
      <c r="N2408" s="52" t="str">
        <f>IF(AND('331-CT'!$E$7=TH!H2408,OR(L2408="331",M2408="331")),"331",IF(AND(OR(L2408="131",M2408="131"),H2408='131-CT'!$E$7),"131",""))</f>
        <v/>
      </c>
      <c r="O2408" s="89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8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484"/>
        <v>12</v>
      </c>
      <c r="C2409" s="37">
        <f t="shared" si="486"/>
        <v>41988</v>
      </c>
      <c r="D2409" s="37" t="s">
        <v>1379</v>
      </c>
      <c r="E2409" s="775">
        <v>41988</v>
      </c>
      <c r="F2409" s="192" t="s">
        <v>828</v>
      </c>
      <c r="G2409" s="463" t="s">
        <v>826</v>
      </c>
      <c r="H2409" s="7" t="s">
        <v>1372</v>
      </c>
      <c r="I2409" s="251">
        <v>52</v>
      </c>
      <c r="J2409" s="251">
        <v>16204.260202639196</v>
      </c>
      <c r="K2409" s="563">
        <f t="shared" si="485"/>
        <v>842622</v>
      </c>
      <c r="L2409" s="194" t="s">
        <v>175</v>
      </c>
      <c r="M2409" s="194" t="s">
        <v>169</v>
      </c>
      <c r="N2409" s="52" t="str">
        <f>IF(AND('331-CT'!$E$7=TH!H2409,OR(L2409="331",M2409="331")),"331",IF(AND(OR(L2409="131",M2409="131"),H2409='131-CT'!$E$7),"131",""))</f>
        <v/>
      </c>
      <c r="O2409" s="89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8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484"/>
        <v>12</v>
      </c>
      <c r="C2410" s="37">
        <f t="shared" si="486"/>
        <v>41991</v>
      </c>
      <c r="D2410" s="37" t="s">
        <v>1379</v>
      </c>
      <c r="E2410" s="775">
        <v>41991</v>
      </c>
      <c r="F2410" s="192" t="s">
        <v>436</v>
      </c>
      <c r="G2410" s="463" t="s">
        <v>829</v>
      </c>
      <c r="H2410" s="7" t="s">
        <v>1372</v>
      </c>
      <c r="I2410" s="251">
        <v>522</v>
      </c>
      <c r="J2410" s="251">
        <v>7814.2371535569719</v>
      </c>
      <c r="K2410" s="563">
        <f t="shared" si="485"/>
        <v>4079032</v>
      </c>
      <c r="L2410" s="194" t="s">
        <v>175</v>
      </c>
      <c r="M2410" s="194" t="s">
        <v>169</v>
      </c>
      <c r="N2410" s="52" t="str">
        <f>IF(AND('331-CT'!$E$7=TH!H2410,OR(L2410="331",M2410="331")),"331",IF(AND(OR(L2410="131",M2410="131"),H2410='131-CT'!$E$7),"131",""))</f>
        <v/>
      </c>
      <c r="O2410" s="89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8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484"/>
        <v>12</v>
      </c>
      <c r="C2411" s="37">
        <f t="shared" si="486"/>
        <v>41992</v>
      </c>
      <c r="D2411" s="37" t="s">
        <v>1379</v>
      </c>
      <c r="E2411" s="775">
        <v>41992</v>
      </c>
      <c r="F2411" s="192" t="s">
        <v>830</v>
      </c>
      <c r="G2411" s="463" t="s">
        <v>831</v>
      </c>
      <c r="H2411" s="7" t="s">
        <v>1372</v>
      </c>
      <c r="I2411" s="251">
        <v>2500</v>
      </c>
      <c r="J2411" s="251">
        <v>2796.6743496940744</v>
      </c>
      <c r="K2411" s="563">
        <f t="shared" si="485"/>
        <v>6991686</v>
      </c>
      <c r="L2411" s="194" t="s">
        <v>175</v>
      </c>
      <c r="M2411" s="194" t="s">
        <v>169</v>
      </c>
      <c r="N2411" s="52" t="str">
        <f>IF(AND('331-CT'!$E$7=TH!H2411,OR(L2411="331",M2411="331")),"331",IF(AND(OR(L2411="131",M2411="131"),H2411='131-CT'!$E$7),"131",""))</f>
        <v/>
      </c>
      <c r="O2411" s="89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8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484"/>
        <v>12</v>
      </c>
      <c r="C2412" s="37">
        <f t="shared" si="486"/>
        <v>41992</v>
      </c>
      <c r="D2412" s="37" t="s">
        <v>1379</v>
      </c>
      <c r="E2412" s="775">
        <v>41992</v>
      </c>
      <c r="F2412" s="192" t="s">
        <v>833</v>
      </c>
      <c r="G2412" s="463" t="s">
        <v>831</v>
      </c>
      <c r="H2412" s="7" t="s">
        <v>1372</v>
      </c>
      <c r="I2412" s="251">
        <v>2200</v>
      </c>
      <c r="J2412" s="251">
        <v>5017.5628038628984</v>
      </c>
      <c r="K2412" s="563">
        <f t="shared" si="485"/>
        <v>11038638</v>
      </c>
      <c r="L2412" s="194" t="s">
        <v>175</v>
      </c>
      <c r="M2412" s="194" t="s">
        <v>169</v>
      </c>
      <c r="N2412" s="52" t="str">
        <f>IF(AND('331-CT'!$E$7=TH!H2412,OR(L2412="331",M2412="331")),"331",IF(AND(OR(L2412="131",M2412="131"),H2412='131-CT'!$E$7),"131",""))</f>
        <v/>
      </c>
      <c r="O2412" s="89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8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484"/>
        <v>12</v>
      </c>
      <c r="C2413" s="37">
        <f t="shared" si="486"/>
        <v>41993</v>
      </c>
      <c r="D2413" s="37" t="s">
        <v>1379</v>
      </c>
      <c r="E2413" s="775">
        <v>41993</v>
      </c>
      <c r="F2413" s="192" t="s">
        <v>834</v>
      </c>
      <c r="G2413" s="463" t="s">
        <v>835</v>
      </c>
      <c r="H2413" s="7" t="s">
        <v>1372</v>
      </c>
      <c r="I2413" s="251">
        <v>500</v>
      </c>
      <c r="J2413" s="251">
        <v>18178.383273011485</v>
      </c>
      <c r="K2413" s="563">
        <f t="shared" si="485"/>
        <v>9089192</v>
      </c>
      <c r="L2413" s="194" t="s">
        <v>175</v>
      </c>
      <c r="M2413" s="194" t="s">
        <v>169</v>
      </c>
      <c r="N2413" s="52" t="str">
        <f>IF(AND('331-CT'!$E$7=TH!H2413,OR(L2413="331",M2413="331")),"331",IF(AND(OR(L2413="131",M2413="131"),H2413='131-CT'!$E$7),"131",""))</f>
        <v/>
      </c>
      <c r="O2413" s="89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8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484"/>
        <v>12</v>
      </c>
      <c r="C2414" s="37">
        <f t="shared" si="486"/>
        <v>41993</v>
      </c>
      <c r="D2414" s="37" t="s">
        <v>1379</v>
      </c>
      <c r="E2414" s="775">
        <v>41993</v>
      </c>
      <c r="F2414" s="192" t="s">
        <v>836</v>
      </c>
      <c r="G2414" s="463" t="s">
        <v>837</v>
      </c>
      <c r="H2414" s="7" t="s">
        <v>1372</v>
      </c>
      <c r="I2414" s="251">
        <v>213</v>
      </c>
      <c r="J2414" s="251">
        <v>10528.656375318868</v>
      </c>
      <c r="K2414" s="563">
        <f t="shared" si="485"/>
        <v>2242604</v>
      </c>
      <c r="L2414" s="194" t="s">
        <v>175</v>
      </c>
      <c r="M2414" s="194" t="s">
        <v>169</v>
      </c>
      <c r="N2414" s="52" t="str">
        <f>IF(AND('331-CT'!$E$7=TH!H2414,OR(L2414="331",M2414="331")),"331",IF(AND(OR(L2414="131",M2414="131"),H2414='131-CT'!$E$7),"131",""))</f>
        <v/>
      </c>
      <c r="O2414" s="89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8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484"/>
        <v>12</v>
      </c>
      <c r="C2415" s="37">
        <f t="shared" si="486"/>
        <v>41995</v>
      </c>
      <c r="D2415" s="37" t="s">
        <v>1379</v>
      </c>
      <c r="E2415" s="775">
        <v>41995</v>
      </c>
      <c r="F2415" s="192" t="s">
        <v>1206</v>
      </c>
      <c r="G2415" s="463" t="s">
        <v>839</v>
      </c>
      <c r="H2415" s="7" t="s">
        <v>1372</v>
      </c>
      <c r="I2415" s="251">
        <v>819</v>
      </c>
      <c r="J2415" s="251">
        <v>9377.0845842683666</v>
      </c>
      <c r="K2415" s="563">
        <f t="shared" si="485"/>
        <v>7679832</v>
      </c>
      <c r="L2415" s="194" t="s">
        <v>175</v>
      </c>
      <c r="M2415" s="194" t="s">
        <v>169</v>
      </c>
      <c r="N2415" s="52" t="str">
        <f>IF(AND('331-CT'!$E$7=TH!H2415,OR(L2415="331",M2415="331")),"331",IF(AND(OR(L2415="131",M2415="131"),H2415='131-CT'!$E$7),"131",""))</f>
        <v/>
      </c>
      <c r="O2415" s="89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8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484"/>
        <v>12</v>
      </c>
      <c r="C2416" s="37">
        <f t="shared" si="486"/>
        <v>41995</v>
      </c>
      <c r="D2416" s="37" t="s">
        <v>1379</v>
      </c>
      <c r="E2416" s="775">
        <v>41995</v>
      </c>
      <c r="F2416" s="192" t="s">
        <v>445</v>
      </c>
      <c r="G2416" s="463" t="s">
        <v>839</v>
      </c>
      <c r="H2416" s="7" t="s">
        <v>1372</v>
      </c>
      <c r="I2416" s="251">
        <v>1638</v>
      </c>
      <c r="J2416" s="251">
        <v>822.55127932178664</v>
      </c>
      <c r="K2416" s="563">
        <f t="shared" si="485"/>
        <v>1347339</v>
      </c>
      <c r="L2416" s="194" t="s">
        <v>175</v>
      </c>
      <c r="M2416" s="194" t="s">
        <v>169</v>
      </c>
      <c r="N2416" s="52" t="str">
        <f>IF(AND('331-CT'!$E$7=TH!H2416,OR(L2416="331",M2416="331")),"331",IF(AND(OR(L2416="131",M2416="131"),H2416='131-CT'!$E$7),"131",""))</f>
        <v/>
      </c>
      <c r="O2416" s="89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8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484"/>
        <v>12</v>
      </c>
      <c r="C2417" s="37">
        <f t="shared" si="486"/>
        <v>41997</v>
      </c>
      <c r="D2417" s="37" t="s">
        <v>1379</v>
      </c>
      <c r="E2417" s="775">
        <v>41997</v>
      </c>
      <c r="F2417" s="192" t="s">
        <v>741</v>
      </c>
      <c r="G2417" s="463" t="s">
        <v>840</v>
      </c>
      <c r="H2417" s="7" t="s">
        <v>1372</v>
      </c>
      <c r="I2417" s="251">
        <v>517</v>
      </c>
      <c r="J2417" s="251">
        <v>5593.3486993881488</v>
      </c>
      <c r="K2417" s="563">
        <f t="shared" si="485"/>
        <v>2891761</v>
      </c>
      <c r="L2417" s="194" t="s">
        <v>175</v>
      </c>
      <c r="M2417" s="194" t="s">
        <v>169</v>
      </c>
      <c r="N2417" s="52" t="str">
        <f>IF(AND('331-CT'!$E$7=TH!H2417,OR(L2417="331",M2417="331")),"331",IF(AND(OR(L2417="131",M2417="131"),H2417='131-CT'!$E$7),"131",""))</f>
        <v/>
      </c>
      <c r="O2417" s="89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8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484"/>
        <v>12</v>
      </c>
      <c r="C2418" s="37">
        <f t="shared" si="486"/>
        <v>41997</v>
      </c>
      <c r="D2418" s="37" t="s">
        <v>1379</v>
      </c>
      <c r="E2418" s="775">
        <v>41997</v>
      </c>
      <c r="F2418" s="192" t="s">
        <v>841</v>
      </c>
      <c r="G2418" s="463" t="s">
        <v>842</v>
      </c>
      <c r="H2418" s="7" t="s">
        <v>1372</v>
      </c>
      <c r="I2418" s="251">
        <v>701</v>
      </c>
      <c r="J2418" s="251">
        <v>7978.7474094213294</v>
      </c>
      <c r="K2418" s="563">
        <f t="shared" si="485"/>
        <v>5593102</v>
      </c>
      <c r="L2418" s="194" t="s">
        <v>175</v>
      </c>
      <c r="M2418" s="194" t="s">
        <v>169</v>
      </c>
      <c r="N2418" s="52" t="str">
        <f>IF(AND('331-CT'!$E$7=TH!H2418,OR(L2418="331",M2418="331")),"331",IF(AND(OR(L2418="131",M2418="131"),H2418='131-CT'!$E$7),"131",""))</f>
        <v/>
      </c>
      <c r="O2418" s="89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8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484"/>
        <v>12</v>
      </c>
      <c r="C2419" s="37">
        <f t="shared" si="486"/>
        <v>41997</v>
      </c>
      <c r="D2419" s="37" t="s">
        <v>1379</v>
      </c>
      <c r="E2419" s="775">
        <v>41997</v>
      </c>
      <c r="F2419" s="192" t="s">
        <v>843</v>
      </c>
      <c r="G2419" s="463" t="s">
        <v>842</v>
      </c>
      <c r="H2419" s="7" t="s">
        <v>1372</v>
      </c>
      <c r="I2419" s="251">
        <v>59</v>
      </c>
      <c r="J2419" s="251">
        <v>16533.280714367909</v>
      </c>
      <c r="K2419" s="563">
        <f t="shared" si="485"/>
        <v>975464</v>
      </c>
      <c r="L2419" s="194" t="s">
        <v>175</v>
      </c>
      <c r="M2419" s="194" t="s">
        <v>169</v>
      </c>
      <c r="N2419" s="52" t="str">
        <f>IF(AND('331-CT'!$E$7=TH!H2419,OR(L2419="331",M2419="331")),"331",IF(AND(OR(L2419="131",M2419="131"),H2419='131-CT'!$E$7),"131",""))</f>
        <v/>
      </c>
      <c r="O2419" s="89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8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484"/>
        <v>12</v>
      </c>
      <c r="C2420" s="37">
        <f t="shared" si="486"/>
        <v>41997</v>
      </c>
      <c r="D2420" s="37" t="s">
        <v>1379</v>
      </c>
      <c r="E2420" s="775">
        <v>41997</v>
      </c>
      <c r="F2420" s="192" t="s">
        <v>1201</v>
      </c>
      <c r="G2420" s="463" t="s">
        <v>842</v>
      </c>
      <c r="H2420" s="7" t="s">
        <v>1372</v>
      </c>
      <c r="I2420" s="251">
        <v>1402</v>
      </c>
      <c r="J2420" s="251">
        <v>904.80640725396518</v>
      </c>
      <c r="K2420" s="563">
        <f t="shared" si="485"/>
        <v>1268539</v>
      </c>
      <c r="L2420" s="194" t="s">
        <v>175</v>
      </c>
      <c r="M2420" s="194" t="s">
        <v>169</v>
      </c>
      <c r="N2420" s="52" t="str">
        <f>IF(AND('331-CT'!$E$7=TH!H2420,OR(L2420="331",M2420="331")),"331",IF(AND(OR(L2420="131",M2420="131"),H2420='131-CT'!$E$7),"131",""))</f>
        <v/>
      </c>
      <c r="O2420" s="89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8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484"/>
        <v>12</v>
      </c>
      <c r="C2421" s="37">
        <f t="shared" si="486"/>
        <v>41997</v>
      </c>
      <c r="D2421" s="37" t="s">
        <v>1379</v>
      </c>
      <c r="E2421" s="775">
        <v>41997</v>
      </c>
      <c r="F2421" s="192" t="s">
        <v>1202</v>
      </c>
      <c r="G2421" s="463" t="s">
        <v>842</v>
      </c>
      <c r="H2421" s="7" t="s">
        <v>1372</v>
      </c>
      <c r="I2421" s="251">
        <v>118</v>
      </c>
      <c r="J2421" s="251">
        <v>1974.1230703722877</v>
      </c>
      <c r="K2421" s="563">
        <f t="shared" si="485"/>
        <v>232947</v>
      </c>
      <c r="L2421" s="194" t="s">
        <v>175</v>
      </c>
      <c r="M2421" s="194" t="s">
        <v>169</v>
      </c>
      <c r="N2421" s="52" t="str">
        <f>IF(AND('331-CT'!$E$7=TH!H2421,OR(L2421="331",M2421="331")),"331",IF(AND(OR(L2421="131",M2421="131"),H2421='131-CT'!$E$7),"131",""))</f>
        <v/>
      </c>
      <c r="O2421" s="89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8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484"/>
        <v>12</v>
      </c>
      <c r="C2422" s="37">
        <f t="shared" si="486"/>
        <v>41997</v>
      </c>
      <c r="D2422" s="37" t="s">
        <v>1379</v>
      </c>
      <c r="E2422" s="775">
        <v>41997</v>
      </c>
      <c r="F2422" s="192" t="s">
        <v>844</v>
      </c>
      <c r="G2422" s="463" t="s">
        <v>845</v>
      </c>
      <c r="H2422" s="7" t="s">
        <v>1372</v>
      </c>
      <c r="I2422" s="251">
        <v>42</v>
      </c>
      <c r="J2422" s="251">
        <v>5511.0935714559701</v>
      </c>
      <c r="K2422" s="563">
        <f t="shared" si="485"/>
        <v>231466</v>
      </c>
      <c r="L2422" s="194" t="s">
        <v>175</v>
      </c>
      <c r="M2422" s="194" t="s">
        <v>169</v>
      </c>
      <c r="N2422" s="52" t="str">
        <f>IF(AND('331-CT'!$E$7=TH!H2422,OR(L2422="331",M2422="331")),"331",IF(AND(OR(L2422="131",M2422="131"),H2422='131-CT'!$E$7),"131",""))</f>
        <v/>
      </c>
      <c r="O2422" s="89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8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484"/>
        <v>12</v>
      </c>
      <c r="C2423" s="37">
        <f t="shared" si="486"/>
        <v>41997</v>
      </c>
      <c r="D2423" s="37" t="s">
        <v>1379</v>
      </c>
      <c r="E2423" s="775">
        <v>41997</v>
      </c>
      <c r="F2423" s="192" t="s">
        <v>847</v>
      </c>
      <c r="G2423" s="463" t="s">
        <v>845</v>
      </c>
      <c r="H2423" s="7" t="s">
        <v>1372</v>
      </c>
      <c r="I2423" s="251">
        <v>137</v>
      </c>
      <c r="J2423" s="251">
        <v>6991.685874235186</v>
      </c>
      <c r="K2423" s="563">
        <f t="shared" si="485"/>
        <v>957861</v>
      </c>
      <c r="L2423" s="194" t="s">
        <v>175</v>
      </c>
      <c r="M2423" s="194" t="s">
        <v>169</v>
      </c>
      <c r="N2423" s="52" t="str">
        <f>IF(AND('331-CT'!$E$7=TH!H2423,OR(L2423="331",M2423="331")),"331",IF(AND(OR(L2423="131",M2423="131"),H2423='131-CT'!$E$7),"131",""))</f>
        <v/>
      </c>
      <c r="O2423" s="89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8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484"/>
        <v>12</v>
      </c>
      <c r="C2424" s="37">
        <f t="shared" si="486"/>
        <v>41997</v>
      </c>
      <c r="D2424" s="37" t="s">
        <v>1379</v>
      </c>
      <c r="E2424" s="775">
        <v>41997</v>
      </c>
      <c r="F2424" s="192" t="s">
        <v>848</v>
      </c>
      <c r="G2424" s="463" t="s">
        <v>845</v>
      </c>
      <c r="H2424" s="7" t="s">
        <v>1372</v>
      </c>
      <c r="I2424" s="251">
        <v>44</v>
      </c>
      <c r="J2424" s="251">
        <v>7238.4512580317214</v>
      </c>
      <c r="K2424" s="563">
        <f t="shared" si="485"/>
        <v>318492</v>
      </c>
      <c r="L2424" s="194" t="s">
        <v>175</v>
      </c>
      <c r="M2424" s="194" t="s">
        <v>169</v>
      </c>
      <c r="N2424" s="52" t="str">
        <f>IF(AND('331-CT'!$E$7=TH!H2424,OR(L2424="331",M2424="331")),"331",IF(AND(OR(L2424="131",M2424="131"),H2424='131-CT'!$E$7),"131",""))</f>
        <v/>
      </c>
      <c r="O2424" s="89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8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484"/>
        <v>12</v>
      </c>
      <c r="C2425" s="37">
        <f t="shared" si="486"/>
        <v>41997</v>
      </c>
      <c r="D2425" s="37" t="s">
        <v>1379</v>
      </c>
      <c r="E2425" s="775">
        <v>41997</v>
      </c>
      <c r="F2425" s="192" t="s">
        <v>849</v>
      </c>
      <c r="G2425" s="463" t="s">
        <v>845</v>
      </c>
      <c r="H2425" s="7" t="s">
        <v>1372</v>
      </c>
      <c r="I2425" s="251">
        <v>966</v>
      </c>
      <c r="J2425" s="251">
        <v>7485.2166418282577</v>
      </c>
      <c r="K2425" s="563">
        <f t="shared" si="485"/>
        <v>7230719</v>
      </c>
      <c r="L2425" s="194" t="s">
        <v>175</v>
      </c>
      <c r="M2425" s="194" t="s">
        <v>169</v>
      </c>
      <c r="N2425" s="52" t="str">
        <f>IF(AND('331-CT'!$E$7=TH!H2425,OR(L2425="331",M2425="331")),"331",IF(AND(OR(L2425="131",M2425="131"),H2425='131-CT'!$E$7),"131",""))</f>
        <v/>
      </c>
      <c r="O2425" s="89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8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484"/>
        <v>12</v>
      </c>
      <c r="C2426" s="37">
        <f t="shared" si="486"/>
        <v>41997</v>
      </c>
      <c r="D2426" s="37" t="s">
        <v>1379</v>
      </c>
      <c r="E2426" s="775">
        <v>41997</v>
      </c>
      <c r="F2426" s="192" t="s">
        <v>850</v>
      </c>
      <c r="G2426" s="463" t="s">
        <v>845</v>
      </c>
      <c r="H2426" s="7" t="s">
        <v>1372</v>
      </c>
      <c r="I2426" s="251">
        <v>105</v>
      </c>
      <c r="J2426" s="251">
        <v>9377.0845842683666</v>
      </c>
      <c r="K2426" s="563">
        <f t="shared" si="485"/>
        <v>984594</v>
      </c>
      <c r="L2426" s="194" t="s">
        <v>175</v>
      </c>
      <c r="M2426" s="194" t="s">
        <v>169</v>
      </c>
      <c r="N2426" s="52" t="str">
        <f>IF(AND('331-CT'!$E$7=TH!H2426,OR(L2426="331",M2426="331")),"331",IF(AND(OR(L2426="131",M2426="131"),H2426='131-CT'!$E$7),"131",""))</f>
        <v/>
      </c>
      <c r="O2426" s="89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8"/>
    </row>
    <row r="2427" spans="1:28" s="21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484"/>
        <v>12</v>
      </c>
      <c r="C2427" s="37">
        <f t="shared" si="486"/>
        <v>41997</v>
      </c>
      <c r="D2427" s="37" t="s">
        <v>1379</v>
      </c>
      <c r="E2427" s="775">
        <v>41997</v>
      </c>
      <c r="F2427" s="192" t="s">
        <v>851</v>
      </c>
      <c r="G2427" s="463" t="s">
        <v>845</v>
      </c>
      <c r="H2427" s="7" t="s">
        <v>1372</v>
      </c>
      <c r="I2427" s="251">
        <v>25</v>
      </c>
      <c r="J2427" s="251">
        <v>9541.5948401327241</v>
      </c>
      <c r="K2427" s="563">
        <f t="shared" si="485"/>
        <v>238540</v>
      </c>
      <c r="L2427" s="194" t="s">
        <v>175</v>
      </c>
      <c r="M2427" s="194" t="s">
        <v>169</v>
      </c>
      <c r="N2427" s="52" t="str">
        <f>IF(AND('331-CT'!$E$7=TH!H2427,OR(L2427="331",M2427="331")),"331",IF(AND(OR(L2427="131",M2427="131"),H2427='131-CT'!$E$7),"131",""))</f>
        <v/>
      </c>
      <c r="O2427" s="89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8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484"/>
        <v>12</v>
      </c>
      <c r="C2428" s="37">
        <f t="shared" si="486"/>
        <v>41997</v>
      </c>
      <c r="D2428" s="37" t="s">
        <v>1379</v>
      </c>
      <c r="E2428" s="775">
        <v>41997</v>
      </c>
      <c r="F2428" s="192" t="s">
        <v>852</v>
      </c>
      <c r="G2428" s="463" t="s">
        <v>845</v>
      </c>
      <c r="H2428" s="7" t="s">
        <v>1372</v>
      </c>
      <c r="I2428" s="251">
        <v>104</v>
      </c>
      <c r="J2428" s="251">
        <v>10528.656375318868</v>
      </c>
      <c r="K2428" s="563">
        <f t="shared" si="485"/>
        <v>1094980</v>
      </c>
      <c r="L2428" s="194" t="s">
        <v>175</v>
      </c>
      <c r="M2428" s="194" t="s">
        <v>169</v>
      </c>
      <c r="N2428" s="52" t="str">
        <f>IF(AND('331-CT'!$E$7=TH!H2428,OR(L2428="331",M2428="331")),"331",IF(AND(OR(L2428="131",M2428="131"),H2428='131-CT'!$E$7),"131",""))</f>
        <v/>
      </c>
      <c r="O2428" s="89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8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484"/>
        <v>12</v>
      </c>
      <c r="C2429" s="37">
        <f t="shared" si="486"/>
        <v>41997</v>
      </c>
      <c r="D2429" s="37" t="s">
        <v>1379</v>
      </c>
      <c r="E2429" s="775">
        <v>41997</v>
      </c>
      <c r="F2429" s="192" t="s">
        <v>853</v>
      </c>
      <c r="G2429" s="463" t="s">
        <v>845</v>
      </c>
      <c r="H2429" s="7" t="s">
        <v>1372</v>
      </c>
      <c r="I2429" s="251">
        <v>108</v>
      </c>
      <c r="J2429" s="251">
        <v>10857.676887047583</v>
      </c>
      <c r="K2429" s="563">
        <f t="shared" si="485"/>
        <v>1172629</v>
      </c>
      <c r="L2429" s="194" t="s">
        <v>175</v>
      </c>
      <c r="M2429" s="194" t="s">
        <v>169</v>
      </c>
      <c r="N2429" s="52" t="str">
        <f>IF(AND('331-CT'!$E$7=TH!H2429,OR(L2429="331",M2429="331")),"331",IF(AND(OR(L2429="131",M2429="131"),H2429='131-CT'!$E$7),"131",""))</f>
        <v/>
      </c>
      <c r="O2429" s="89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8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484"/>
        <v>12</v>
      </c>
      <c r="C2430" s="37">
        <f t="shared" si="486"/>
        <v>41997</v>
      </c>
      <c r="D2430" s="37" t="s">
        <v>1379</v>
      </c>
      <c r="E2430" s="775">
        <v>41997</v>
      </c>
      <c r="F2430" s="192" t="s">
        <v>854</v>
      </c>
      <c r="G2430" s="463" t="s">
        <v>845</v>
      </c>
      <c r="H2430" s="7" t="s">
        <v>1372</v>
      </c>
      <c r="I2430" s="251">
        <v>32</v>
      </c>
      <c r="J2430" s="251">
        <v>12502.779445691156</v>
      </c>
      <c r="K2430" s="563">
        <f t="shared" si="485"/>
        <v>400089</v>
      </c>
      <c r="L2430" s="194" t="s">
        <v>175</v>
      </c>
      <c r="M2430" s="194" t="s">
        <v>169</v>
      </c>
      <c r="N2430" s="52" t="str">
        <f>IF(AND('331-CT'!$E$7=TH!H2430,OR(L2430="331",M2430="331")),"331",IF(AND(OR(L2430="131",M2430="131"),H2430='131-CT'!$E$7),"131",""))</f>
        <v/>
      </c>
      <c r="O2430" s="89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8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484"/>
        <v>12</v>
      </c>
      <c r="C2431" s="37">
        <f t="shared" si="486"/>
        <v>41997</v>
      </c>
      <c r="D2431" s="37" t="s">
        <v>1379</v>
      </c>
      <c r="E2431" s="722">
        <v>41997</v>
      </c>
      <c r="F2431" s="40" t="s">
        <v>855</v>
      </c>
      <c r="G2431" s="40" t="s">
        <v>845</v>
      </c>
      <c r="H2431" s="7" t="s">
        <v>1372</v>
      </c>
      <c r="I2431" s="251">
        <v>63</v>
      </c>
      <c r="J2431" s="251">
        <v>13572.096108809477</v>
      </c>
      <c r="K2431" s="563">
        <f t="shared" si="485"/>
        <v>855042</v>
      </c>
      <c r="L2431" s="194" t="s">
        <v>175</v>
      </c>
      <c r="M2431" s="194" t="s">
        <v>169</v>
      </c>
      <c r="N2431" s="52" t="str">
        <f>IF(AND('331-CT'!$E$7=TH!H2431,OR(L2431="331",M2431="331")),"331",IF(AND(OR(L2431="131",M2431="131"),H2431='131-CT'!$E$7),"131",""))</f>
        <v/>
      </c>
      <c r="O2431" s="89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8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484"/>
        <v>12</v>
      </c>
      <c r="C2432" s="37">
        <f t="shared" si="486"/>
        <v>41998</v>
      </c>
      <c r="D2432" s="37" t="s">
        <v>1379</v>
      </c>
      <c r="E2432" s="722">
        <v>41998</v>
      </c>
      <c r="F2432" s="40" t="s">
        <v>436</v>
      </c>
      <c r="G2432" s="40" t="s">
        <v>856</v>
      </c>
      <c r="H2432" s="7" t="s">
        <v>1372</v>
      </c>
      <c r="I2432" s="251">
        <v>500</v>
      </c>
      <c r="J2432" s="251">
        <v>7814.2371535569719</v>
      </c>
      <c r="K2432" s="563">
        <f t="shared" si="485"/>
        <v>3907119</v>
      </c>
      <c r="L2432" s="194" t="s">
        <v>175</v>
      </c>
      <c r="M2432" s="194" t="s">
        <v>169</v>
      </c>
      <c r="N2432" s="52" t="str">
        <f>IF(AND('331-CT'!$E$7=TH!H2432,OR(L2432="331",M2432="331")),"331",IF(AND(OR(L2432="131",M2432="131"),H2432='131-CT'!$E$7),"131",""))</f>
        <v/>
      </c>
      <c r="O2432" s="89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8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484"/>
        <v>12</v>
      </c>
      <c r="C2433" s="37">
        <f t="shared" si="486"/>
        <v>41998</v>
      </c>
      <c r="D2433" s="37" t="s">
        <v>1379</v>
      </c>
      <c r="E2433" s="722">
        <v>41998</v>
      </c>
      <c r="F2433" s="40" t="s">
        <v>459</v>
      </c>
      <c r="G2433" s="40" t="s">
        <v>857</v>
      </c>
      <c r="H2433" s="7" t="s">
        <v>1372</v>
      </c>
      <c r="I2433" s="251">
        <v>1000</v>
      </c>
      <c r="J2433" s="251">
        <v>7567.4717697604365</v>
      </c>
      <c r="K2433" s="563">
        <f t="shared" si="485"/>
        <v>7567472</v>
      </c>
      <c r="L2433" s="194" t="s">
        <v>175</v>
      </c>
      <c r="M2433" s="194" t="s">
        <v>169</v>
      </c>
      <c r="N2433" s="52" t="str">
        <f>IF(AND('331-CT'!$E$7=TH!H2433,OR(L2433="331",M2433="331")),"331",IF(AND(OR(L2433="131",M2433="131"),H2433='131-CT'!$E$7),"131",""))</f>
        <v/>
      </c>
      <c r="O2433" s="89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8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484"/>
        <v>12</v>
      </c>
      <c r="C2434" s="37">
        <f t="shared" si="486"/>
        <v>41998</v>
      </c>
      <c r="D2434" s="37" t="s">
        <v>1379</v>
      </c>
      <c r="E2434" s="722">
        <v>41998</v>
      </c>
      <c r="F2434" s="40" t="s">
        <v>858</v>
      </c>
      <c r="G2434" s="40" t="s">
        <v>859</v>
      </c>
      <c r="H2434" s="7" t="s">
        <v>1372</v>
      </c>
      <c r="I2434" s="251">
        <v>45</v>
      </c>
      <c r="J2434" s="251">
        <v>20234.761471315949</v>
      </c>
      <c r="K2434" s="563">
        <f t="shared" si="485"/>
        <v>910564</v>
      </c>
      <c r="L2434" s="194" t="s">
        <v>175</v>
      </c>
      <c r="M2434" s="194" t="s">
        <v>169</v>
      </c>
      <c r="N2434" s="52" t="str">
        <f>IF(AND('331-CT'!$E$7=TH!H2434,OR(L2434="331",M2434="331")),"331",IF(AND(OR(L2434="131",M2434="131"),H2434='131-CT'!$E$7),"131",""))</f>
        <v/>
      </c>
      <c r="O2434" s="89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8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484"/>
        <v>12</v>
      </c>
      <c r="C2435" s="37">
        <f t="shared" si="486"/>
        <v>41998</v>
      </c>
      <c r="D2435" s="37" t="s">
        <v>1379</v>
      </c>
      <c r="E2435" s="722">
        <v>41998</v>
      </c>
      <c r="F2435" s="40" t="s">
        <v>746</v>
      </c>
      <c r="G2435" s="40" t="s">
        <v>859</v>
      </c>
      <c r="H2435" s="7" t="s">
        <v>1372</v>
      </c>
      <c r="I2435" s="251">
        <v>90</v>
      </c>
      <c r="J2435" s="251">
        <v>1233.8269189826799</v>
      </c>
      <c r="K2435" s="563">
        <f t="shared" si="485"/>
        <v>111044</v>
      </c>
      <c r="L2435" s="194" t="s">
        <v>175</v>
      </c>
      <c r="M2435" s="194" t="s">
        <v>169</v>
      </c>
      <c r="N2435" s="52" t="str">
        <f>IF(AND('331-CT'!$E$7=TH!H2435,OR(L2435="331",M2435="331")),"331",IF(AND(OR(L2435="131",M2435="131"),H2435='131-CT'!$E$7),"131",""))</f>
        <v/>
      </c>
      <c r="O2435" s="89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8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484"/>
        <v>12</v>
      </c>
      <c r="C2436" s="37">
        <f t="shared" si="486"/>
        <v>41999</v>
      </c>
      <c r="D2436" s="37" t="s">
        <v>1379</v>
      </c>
      <c r="E2436" s="722">
        <v>41999</v>
      </c>
      <c r="F2436" s="40" t="s">
        <v>860</v>
      </c>
      <c r="G2436" s="40" t="s">
        <v>861</v>
      </c>
      <c r="H2436" s="7" t="s">
        <v>1372</v>
      </c>
      <c r="I2436" s="251">
        <v>305</v>
      </c>
      <c r="J2436" s="251">
        <v>15792.984562978301</v>
      </c>
      <c r="K2436" s="563">
        <f t="shared" si="485"/>
        <v>4816860</v>
      </c>
      <c r="L2436" s="194" t="s">
        <v>175</v>
      </c>
      <c r="M2436" s="194" t="s">
        <v>169</v>
      </c>
      <c r="N2436" s="52" t="str">
        <f>IF(AND('331-CT'!$E$7=TH!H2436,OR(L2436="331",M2436="331")),"331",IF(AND(OR(L2436="131",M2436="131"),H2436='131-CT'!$E$7),"131",""))</f>
        <v/>
      </c>
      <c r="O2436" s="89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8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484"/>
        <v>12</v>
      </c>
      <c r="C2437" s="37">
        <f t="shared" si="486"/>
        <v>41999</v>
      </c>
      <c r="D2437" s="37" t="s">
        <v>1379</v>
      </c>
      <c r="E2437" s="722">
        <v>41999</v>
      </c>
      <c r="F2437" s="40" t="s">
        <v>863</v>
      </c>
      <c r="G2437" s="40" t="s">
        <v>861</v>
      </c>
      <c r="H2437" s="7" t="s">
        <v>1372</v>
      </c>
      <c r="I2437" s="251">
        <v>615</v>
      </c>
      <c r="J2437" s="251">
        <v>7485.2166418282577</v>
      </c>
      <c r="K2437" s="563">
        <f t="shared" si="485"/>
        <v>4603408</v>
      </c>
      <c r="L2437" s="194" t="s">
        <v>175</v>
      </c>
      <c r="M2437" s="194" t="s">
        <v>169</v>
      </c>
      <c r="N2437" s="52" t="str">
        <f>IF(AND('331-CT'!$E$7=TH!H2437,OR(L2437="331",M2437="331")),"331",IF(AND(OR(L2437="131",M2437="131"),H2437='131-CT'!$E$7),"131",""))</f>
        <v/>
      </c>
      <c r="O2437" s="89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8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484"/>
        <v>12</v>
      </c>
      <c r="C2438" s="37">
        <f t="shared" si="486"/>
        <v>41999</v>
      </c>
      <c r="D2438" s="37" t="s">
        <v>1379</v>
      </c>
      <c r="E2438" s="722">
        <v>41999</v>
      </c>
      <c r="F2438" s="40" t="s">
        <v>864</v>
      </c>
      <c r="G2438" s="40" t="s">
        <v>861</v>
      </c>
      <c r="H2438" s="7" t="s">
        <v>1372</v>
      </c>
      <c r="I2438" s="251">
        <v>953</v>
      </c>
      <c r="J2438" s="251">
        <v>6744.9204904386497</v>
      </c>
      <c r="K2438" s="563">
        <f t="shared" si="485"/>
        <v>6427909</v>
      </c>
      <c r="L2438" s="194" t="s">
        <v>175</v>
      </c>
      <c r="M2438" s="194" t="s">
        <v>169</v>
      </c>
      <c r="N2438" s="52" t="str">
        <f>IF(AND('331-CT'!$E$7=TH!H2438,OR(L2438="331",M2438="331")),"331",IF(AND(OR(L2438="131",M2438="131"),H2438='131-CT'!$E$7),"131",""))</f>
        <v/>
      </c>
      <c r="O2438" s="89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8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484"/>
        <v>12</v>
      </c>
      <c r="C2439" s="37">
        <f t="shared" si="486"/>
        <v>41999</v>
      </c>
      <c r="D2439" s="37" t="s">
        <v>1379</v>
      </c>
      <c r="E2439" s="722">
        <v>41999</v>
      </c>
      <c r="F2439" s="40" t="s">
        <v>865</v>
      </c>
      <c r="G2439" s="40" t="s">
        <v>861</v>
      </c>
      <c r="H2439" s="7" t="s">
        <v>1372</v>
      </c>
      <c r="I2439" s="251">
        <v>300</v>
      </c>
      <c r="J2439" s="251">
        <v>6909.4307463030073</v>
      </c>
      <c r="K2439" s="563">
        <f t="shared" si="485"/>
        <v>2072829</v>
      </c>
      <c r="L2439" s="194" t="s">
        <v>175</v>
      </c>
      <c r="M2439" s="194" t="s">
        <v>169</v>
      </c>
      <c r="N2439" s="52" t="str">
        <f>IF(AND('331-CT'!$E$7=TH!H2439,OR(L2439="331",M2439="331")),"331",IF(AND(OR(L2439="131",M2439="131"),H2439='131-CT'!$E$7),"131",""))</f>
        <v/>
      </c>
      <c r="O2439" s="89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8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484"/>
        <v>12</v>
      </c>
      <c r="C2440" s="37">
        <f t="shared" si="486"/>
        <v>41999</v>
      </c>
      <c r="D2440" s="37" t="s">
        <v>1379</v>
      </c>
      <c r="E2440" s="722">
        <v>41999</v>
      </c>
      <c r="F2440" s="40" t="s">
        <v>866</v>
      </c>
      <c r="G2440" s="40" t="s">
        <v>867</v>
      </c>
      <c r="H2440" s="7" t="s">
        <v>1372</v>
      </c>
      <c r="I2440" s="251">
        <v>416</v>
      </c>
      <c r="J2440" s="251">
        <v>5428.8384435237913</v>
      </c>
      <c r="K2440" s="563">
        <f t="shared" si="485"/>
        <v>2258397</v>
      </c>
      <c r="L2440" s="194" t="s">
        <v>175</v>
      </c>
      <c r="M2440" s="194" t="s">
        <v>169</v>
      </c>
      <c r="N2440" s="52" t="str">
        <f>IF(AND('331-CT'!$E$7=TH!H2440,OR(L2440="331",M2440="331")),"331",IF(AND(OR(L2440="131",M2440="131"),H2440='131-CT'!$E$7),"131",""))</f>
        <v/>
      </c>
      <c r="O2440" s="89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8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484"/>
        <v>12</v>
      </c>
      <c r="C2441" s="37">
        <f t="shared" si="486"/>
        <v>41999</v>
      </c>
      <c r="D2441" s="37" t="s">
        <v>1379</v>
      </c>
      <c r="E2441" s="722">
        <v>41999</v>
      </c>
      <c r="F2441" s="40" t="s">
        <v>866</v>
      </c>
      <c r="G2441" s="40" t="s">
        <v>867</v>
      </c>
      <c r="H2441" s="7" t="s">
        <v>1372</v>
      </c>
      <c r="I2441" s="251">
        <v>602</v>
      </c>
      <c r="J2441" s="251">
        <v>5428.8384435237913</v>
      </c>
      <c r="K2441" s="563">
        <f t="shared" si="485"/>
        <v>3268161</v>
      </c>
      <c r="L2441" s="194" t="s">
        <v>175</v>
      </c>
      <c r="M2441" s="194" t="s">
        <v>169</v>
      </c>
      <c r="N2441" s="52" t="str">
        <f>IF(AND('331-CT'!$E$7=TH!H2441,OR(L2441="331",M2441="331")),"331",IF(AND(OR(L2441="131",M2441="131"),H2441='131-CT'!$E$7),"131",""))</f>
        <v/>
      </c>
      <c r="O2441" s="89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8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484"/>
        <v>12</v>
      </c>
      <c r="C2442" s="37">
        <f t="shared" si="486"/>
        <v>41999</v>
      </c>
      <c r="D2442" s="37" t="s">
        <v>1379</v>
      </c>
      <c r="E2442" s="722">
        <v>41999</v>
      </c>
      <c r="F2442" s="40" t="s">
        <v>868</v>
      </c>
      <c r="G2442" s="40" t="s">
        <v>867</v>
      </c>
      <c r="H2442" s="7" t="s">
        <v>1372</v>
      </c>
      <c r="I2442" s="251">
        <v>413</v>
      </c>
      <c r="J2442" s="251">
        <v>4770.7974200663621</v>
      </c>
      <c r="K2442" s="563">
        <f t="shared" si="485"/>
        <v>1970339</v>
      </c>
      <c r="L2442" s="194" t="s">
        <v>175</v>
      </c>
      <c r="M2442" s="194" t="s">
        <v>169</v>
      </c>
      <c r="N2442" s="52" t="str">
        <f>IF(AND('331-CT'!$E$7=TH!H2442,OR(L2442="331",M2442="331")),"331",IF(AND(OR(L2442="131",M2442="131"),H2442='131-CT'!$E$7),"131",""))</f>
        <v/>
      </c>
      <c r="O2442" s="89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8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484"/>
        <v>12</v>
      </c>
      <c r="C2443" s="37">
        <f t="shared" si="486"/>
        <v>42000</v>
      </c>
      <c r="D2443" s="37" t="s">
        <v>1379</v>
      </c>
      <c r="E2443" s="722">
        <v>42000</v>
      </c>
      <c r="F2443" s="40" t="s">
        <v>670</v>
      </c>
      <c r="G2443" s="40" t="s">
        <v>869</v>
      </c>
      <c r="H2443" s="7" t="s">
        <v>1372</v>
      </c>
      <c r="I2443" s="251">
        <v>1528</v>
      </c>
      <c r="J2443" s="251">
        <v>7402.9615138960789</v>
      </c>
      <c r="K2443" s="563">
        <f t="shared" si="485"/>
        <v>11311725</v>
      </c>
      <c r="L2443" s="194" t="s">
        <v>175</v>
      </c>
      <c r="M2443" s="194" t="s">
        <v>169</v>
      </c>
      <c r="N2443" s="52" t="str">
        <f>IF(AND('331-CT'!$E$7=TH!H2443,OR(L2443="331",M2443="331")),"331",IF(AND(OR(L2443="131",M2443="131"),H2443='131-CT'!$E$7),"131",""))</f>
        <v/>
      </c>
      <c r="O2443" s="89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8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484"/>
        <v>12</v>
      </c>
      <c r="C2444" s="37">
        <f t="shared" si="486"/>
        <v>42000</v>
      </c>
      <c r="D2444" s="37" t="s">
        <v>1379</v>
      </c>
      <c r="E2444" s="722">
        <v>42000</v>
      </c>
      <c r="F2444" s="40" t="s">
        <v>515</v>
      </c>
      <c r="G2444" s="40" t="s">
        <v>870</v>
      </c>
      <c r="H2444" s="7" t="s">
        <v>1372</v>
      </c>
      <c r="I2444" s="251">
        <v>1010</v>
      </c>
      <c r="J2444" s="251">
        <v>9459.3397122005445</v>
      </c>
      <c r="K2444" s="563">
        <f t="shared" si="485"/>
        <v>9553933</v>
      </c>
      <c r="L2444" s="194" t="s">
        <v>175</v>
      </c>
      <c r="M2444" s="194" t="s">
        <v>169</v>
      </c>
      <c r="N2444" s="52" t="str">
        <f>IF(AND('331-CT'!$E$7=TH!H2444,OR(L2444="331",M2444="331")),"331",IF(AND(OR(L2444="131",M2444="131"),H2444='131-CT'!$E$7),"131",""))</f>
        <v/>
      </c>
      <c r="O2444" s="89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8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484"/>
        <v>12</v>
      </c>
      <c r="C2445" s="37">
        <f t="shared" si="486"/>
        <v>42003</v>
      </c>
      <c r="D2445" s="37" t="s">
        <v>1379</v>
      </c>
      <c r="E2445" s="722">
        <v>42003</v>
      </c>
      <c r="F2445" s="40" t="s">
        <v>871</v>
      </c>
      <c r="G2445" s="40" t="s">
        <v>872</v>
      </c>
      <c r="H2445" s="7" t="s">
        <v>1372</v>
      </c>
      <c r="I2445" s="251">
        <v>310</v>
      </c>
      <c r="J2445" s="251">
        <v>7731.9820256247931</v>
      </c>
      <c r="K2445" s="563">
        <f t="shared" si="485"/>
        <v>2396914</v>
      </c>
      <c r="L2445" s="194" t="s">
        <v>175</v>
      </c>
      <c r="M2445" s="194" t="s">
        <v>169</v>
      </c>
      <c r="N2445" s="52" t="str">
        <f>IF(AND('331-CT'!$E$7=TH!H2445,OR(L2445="331",M2445="331")),"331",IF(AND(OR(L2445="131",M2445="131"),H2445='131-CT'!$E$7),"131",""))</f>
        <v/>
      </c>
      <c r="O2445" s="89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8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484"/>
        <v>12</v>
      </c>
      <c r="C2446" s="37">
        <f t="shared" si="486"/>
        <v>42003</v>
      </c>
      <c r="D2446" s="37" t="s">
        <v>1379</v>
      </c>
      <c r="E2446" s="722">
        <v>42003</v>
      </c>
      <c r="F2446" s="40" t="s">
        <v>873</v>
      </c>
      <c r="G2446" s="40" t="s">
        <v>872</v>
      </c>
      <c r="H2446" s="7" t="s">
        <v>1372</v>
      </c>
      <c r="I2446" s="251">
        <v>219</v>
      </c>
      <c r="J2446" s="251">
        <v>7978.7474094213294</v>
      </c>
      <c r="K2446" s="563">
        <f t="shared" si="485"/>
        <v>1747346</v>
      </c>
      <c r="L2446" s="194" t="s">
        <v>175</v>
      </c>
      <c r="M2446" s="194" t="s">
        <v>169</v>
      </c>
      <c r="N2446" s="52" t="str">
        <f>IF(AND('331-CT'!$E$7=TH!H2446,OR(L2446="331",M2446="331")),"331",IF(AND(OR(L2446="131",M2446="131"),H2446='131-CT'!$E$7),"131",""))</f>
        <v/>
      </c>
      <c r="O2446" s="89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8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484"/>
        <v>12</v>
      </c>
      <c r="C2447" s="37">
        <f t="shared" si="486"/>
        <v>42003</v>
      </c>
      <c r="D2447" s="37" t="s">
        <v>1379</v>
      </c>
      <c r="E2447" s="722">
        <v>42003</v>
      </c>
      <c r="F2447" s="40" t="s">
        <v>874</v>
      </c>
      <c r="G2447" s="40" t="s">
        <v>875</v>
      </c>
      <c r="H2447" s="7" t="s">
        <v>1372</v>
      </c>
      <c r="I2447" s="251">
        <v>30</v>
      </c>
      <c r="J2447" s="251">
        <v>21633.098646162987</v>
      </c>
      <c r="K2447" s="563">
        <f t="shared" si="485"/>
        <v>648993</v>
      </c>
      <c r="L2447" s="194" t="s">
        <v>175</v>
      </c>
      <c r="M2447" s="194" t="s">
        <v>169</v>
      </c>
      <c r="N2447" s="52" t="str">
        <f>IF(AND('331-CT'!$E$7=TH!H2447,OR(L2447="331",M2447="331")),"331",IF(AND(OR(L2447="131",M2447="131"),H2447='131-CT'!$E$7),"131",""))</f>
        <v/>
      </c>
      <c r="O2447" s="89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8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484"/>
        <v>12</v>
      </c>
      <c r="C2448" s="37">
        <f t="shared" si="486"/>
        <v>42003</v>
      </c>
      <c r="D2448" s="37" t="s">
        <v>1379</v>
      </c>
      <c r="E2448" s="722">
        <v>42003</v>
      </c>
      <c r="F2448" s="40" t="s">
        <v>746</v>
      </c>
      <c r="G2448" s="40" t="s">
        <v>875</v>
      </c>
      <c r="H2448" s="7" t="s">
        <v>1372</v>
      </c>
      <c r="I2448" s="251">
        <v>60</v>
      </c>
      <c r="J2448" s="251">
        <v>1233.8269189826799</v>
      </c>
      <c r="K2448" s="563">
        <f t="shared" si="485"/>
        <v>74030</v>
      </c>
      <c r="L2448" s="194" t="s">
        <v>175</v>
      </c>
      <c r="M2448" s="194" t="s">
        <v>169</v>
      </c>
      <c r="N2448" s="52" t="str">
        <f>IF(AND('331-CT'!$E$7=TH!H2448,OR(L2448="331",M2448="331")),"331",IF(AND(OR(L2448="131",M2448="131"),H2448='131-CT'!$E$7),"131",""))</f>
        <v/>
      </c>
      <c r="O2448" s="89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8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484"/>
        <v>12</v>
      </c>
      <c r="C2449" s="37">
        <f t="shared" si="486"/>
        <v>42003</v>
      </c>
      <c r="D2449" s="37" t="s">
        <v>1379</v>
      </c>
      <c r="E2449" s="722">
        <v>42003</v>
      </c>
      <c r="F2449" s="40" t="s">
        <v>554</v>
      </c>
      <c r="G2449" s="40" t="s">
        <v>876</v>
      </c>
      <c r="H2449" s="7" t="s">
        <v>1372</v>
      </c>
      <c r="I2449" s="251">
        <v>650</v>
      </c>
      <c r="J2449" s="251">
        <v>20646.037110976842</v>
      </c>
      <c r="K2449" s="563">
        <f t="shared" si="485"/>
        <v>13419924</v>
      </c>
      <c r="L2449" s="194" t="s">
        <v>175</v>
      </c>
      <c r="M2449" s="194" t="s">
        <v>169</v>
      </c>
      <c r="N2449" s="52" t="str">
        <f>IF(AND('331-CT'!$E$7=TH!H2449,OR(L2449="331",M2449="331")),"331",IF(AND(OR(L2449="131",M2449="131"),H2449='131-CT'!$E$7),"131",""))</f>
        <v/>
      </c>
      <c r="O2449" s="89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8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484"/>
        <v>12</v>
      </c>
      <c r="C2450" s="37">
        <f t="shared" si="486"/>
        <v>42004</v>
      </c>
      <c r="D2450" s="37" t="s">
        <v>1379</v>
      </c>
      <c r="E2450" s="722">
        <v>42004</v>
      </c>
      <c r="F2450" s="40" t="s">
        <v>512</v>
      </c>
      <c r="G2450" s="40" t="s">
        <v>877</v>
      </c>
      <c r="H2450" s="7" t="s">
        <v>1372</v>
      </c>
      <c r="I2450" s="251">
        <v>307</v>
      </c>
      <c r="J2450" s="251">
        <v>5757.8589552525054</v>
      </c>
      <c r="K2450" s="563">
        <f t="shared" si="485"/>
        <v>1767663</v>
      </c>
      <c r="L2450" s="194" t="s">
        <v>175</v>
      </c>
      <c r="M2450" s="194" t="s">
        <v>169</v>
      </c>
      <c r="N2450" s="52" t="str">
        <f>IF(AND('331-CT'!$E$7=TH!H2450,OR(L2450="331",M2450="331")),"331",IF(AND(OR(L2450="131",M2450="131"),H2450='131-CT'!$E$7),"131",""))</f>
        <v/>
      </c>
      <c r="O2450" s="89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8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484"/>
        <v>12</v>
      </c>
      <c r="C2451" s="37">
        <f t="shared" si="486"/>
        <v>42004</v>
      </c>
      <c r="D2451" s="37" t="s">
        <v>1379</v>
      </c>
      <c r="E2451" s="722">
        <v>42004</v>
      </c>
      <c r="F2451" s="40" t="s">
        <v>486</v>
      </c>
      <c r="G2451" s="40" t="s">
        <v>877</v>
      </c>
      <c r="H2451" s="7" t="s">
        <v>1372</v>
      </c>
      <c r="I2451" s="251">
        <v>200</v>
      </c>
      <c r="J2451" s="251">
        <v>7320.7063859639002</v>
      </c>
      <c r="K2451" s="563">
        <f t="shared" si="485"/>
        <v>1464141</v>
      </c>
      <c r="L2451" s="194" t="s">
        <v>175</v>
      </c>
      <c r="M2451" s="194" t="s">
        <v>169</v>
      </c>
      <c r="N2451" s="52" t="str">
        <f>IF(AND('331-CT'!$E$7=TH!H2451,OR(L2451="331",M2451="331")),"331",IF(AND(OR(L2451="131",M2451="131"),H2451='131-CT'!$E$7),"131",""))</f>
        <v/>
      </c>
      <c r="O2451" s="89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8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484"/>
        <v>12</v>
      </c>
      <c r="C2452" s="37">
        <f t="shared" si="486"/>
        <v>42004</v>
      </c>
      <c r="D2452" s="37" t="s">
        <v>1379</v>
      </c>
      <c r="E2452" s="722">
        <v>42004</v>
      </c>
      <c r="F2452" s="40" t="s">
        <v>775</v>
      </c>
      <c r="G2452" s="40" t="s">
        <v>878</v>
      </c>
      <c r="H2452" s="7" t="s">
        <v>1372</v>
      </c>
      <c r="I2452" s="251">
        <v>2500</v>
      </c>
      <c r="J2452" s="251">
        <v>7402.9615138960789</v>
      </c>
      <c r="K2452" s="563">
        <f t="shared" si="485"/>
        <v>18507404</v>
      </c>
      <c r="L2452" s="194" t="s">
        <v>175</v>
      </c>
      <c r="M2452" s="194" t="s">
        <v>169</v>
      </c>
      <c r="N2452" s="52" t="str">
        <f>IF(AND('331-CT'!$E$7=TH!H2452,OR(L2452="331",M2452="331")),"331",IF(AND(OR(L2452="131",M2452="131"),H2452='131-CT'!$E$7),"131",""))</f>
        <v/>
      </c>
      <c r="O2452" s="89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8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484"/>
        <v>12</v>
      </c>
      <c r="C2453" s="37">
        <f t="shared" si="486"/>
        <v>42004</v>
      </c>
      <c r="D2453" s="37" t="s">
        <v>1379</v>
      </c>
      <c r="E2453" s="722">
        <v>42004</v>
      </c>
      <c r="F2453" s="40" t="s">
        <v>879</v>
      </c>
      <c r="G2453" s="40" t="s">
        <v>880</v>
      </c>
      <c r="H2453" s="7" t="s">
        <v>1372</v>
      </c>
      <c r="I2453" s="251">
        <v>2050</v>
      </c>
      <c r="J2453" s="251">
        <v>3454.7153731515036</v>
      </c>
      <c r="K2453" s="563">
        <f t="shared" si="485"/>
        <v>7082167</v>
      </c>
      <c r="L2453" s="194" t="s">
        <v>175</v>
      </c>
      <c r="M2453" s="194" t="s">
        <v>169</v>
      </c>
      <c r="N2453" s="52" t="str">
        <f>IF(AND('331-CT'!$E$7=TH!H2453,OR(L2453="331",M2453="331")),"331",IF(AND(OR(L2453="131",M2453="131"),H2453='131-CT'!$E$7),"131",""))</f>
        <v/>
      </c>
      <c r="O2453" s="89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8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484"/>
        <v>12</v>
      </c>
      <c r="C2454" s="37">
        <f t="shared" si="486"/>
        <v>42004</v>
      </c>
      <c r="D2454" s="37" t="s">
        <v>1379</v>
      </c>
      <c r="E2454" s="722">
        <v>42004</v>
      </c>
      <c r="F2454" s="40" t="s">
        <v>881</v>
      </c>
      <c r="G2454" s="40" t="s">
        <v>880</v>
      </c>
      <c r="H2454" s="7" t="s">
        <v>1372</v>
      </c>
      <c r="I2454" s="251">
        <v>210</v>
      </c>
      <c r="J2454" s="251">
        <v>5182.073059727255</v>
      </c>
      <c r="K2454" s="563">
        <f t="shared" si="485"/>
        <v>1088235</v>
      </c>
      <c r="L2454" s="194" t="s">
        <v>175</v>
      </c>
      <c r="M2454" s="194" t="s">
        <v>169</v>
      </c>
      <c r="N2454" s="52" t="str">
        <f>IF(AND('331-CT'!$E$7=TH!H2454,OR(L2454="331",M2454="331")),"331",IF(AND(OR(L2454="131",M2454="131"),H2454='131-CT'!$E$7),"131",""))</f>
        <v/>
      </c>
      <c r="O2454" s="89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8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484"/>
        <v>12</v>
      </c>
      <c r="C2455" s="37">
        <f t="shared" si="486"/>
        <v>42004</v>
      </c>
      <c r="D2455" s="37" t="s">
        <v>1379</v>
      </c>
      <c r="E2455" s="722">
        <v>42004</v>
      </c>
      <c r="F2455" s="40" t="s">
        <v>882</v>
      </c>
      <c r="G2455" s="40" t="s">
        <v>880</v>
      </c>
      <c r="H2455" s="7" t="s">
        <v>1372</v>
      </c>
      <c r="I2455" s="251">
        <v>130</v>
      </c>
      <c r="J2455" s="251">
        <v>5346.5833155916125</v>
      </c>
      <c r="K2455" s="563">
        <f t="shared" si="485"/>
        <v>695056</v>
      </c>
      <c r="L2455" s="194" t="s">
        <v>175</v>
      </c>
      <c r="M2455" s="194" t="s">
        <v>169</v>
      </c>
      <c r="N2455" s="52" t="str">
        <f>IF(AND('331-CT'!$E$7=TH!H2455,OR(L2455="331",M2455="331")),"331",IF(AND(OR(L2455="131",M2455="131"),H2455='131-CT'!$E$7),"131",""))</f>
        <v/>
      </c>
      <c r="O2455" s="89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8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484"/>
        <v>12</v>
      </c>
      <c r="C2456" s="37">
        <f t="shared" si="486"/>
        <v>42004</v>
      </c>
      <c r="D2456" s="37" t="s">
        <v>1379</v>
      </c>
      <c r="E2456" s="722">
        <v>42004</v>
      </c>
      <c r="F2456" s="40" t="s">
        <v>883</v>
      </c>
      <c r="G2456" s="40" t="s">
        <v>880</v>
      </c>
      <c r="H2456" s="7" t="s">
        <v>1372</v>
      </c>
      <c r="I2456" s="251">
        <v>170</v>
      </c>
      <c r="J2456" s="251">
        <v>4688.5422921341833</v>
      </c>
      <c r="K2456" s="563">
        <f t="shared" si="485"/>
        <v>797052</v>
      </c>
      <c r="L2456" s="194" t="s">
        <v>175</v>
      </c>
      <c r="M2456" s="194" t="s">
        <v>169</v>
      </c>
      <c r="N2456" s="52" t="str">
        <f>IF(AND('331-CT'!$E$7=TH!H2456,OR(L2456="331",M2456="331")),"331",IF(AND(OR(L2456="131",M2456="131"),H2456='131-CT'!$E$7),"131",""))</f>
        <v/>
      </c>
      <c r="O2456" s="89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8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484"/>
        <v>12</v>
      </c>
      <c r="C2457" s="37">
        <f t="shared" si="486"/>
        <v>42004</v>
      </c>
      <c r="D2457" s="37" t="s">
        <v>1379</v>
      </c>
      <c r="E2457" s="722">
        <v>42004</v>
      </c>
      <c r="F2457" s="40" t="s">
        <v>884</v>
      </c>
      <c r="G2457" s="40" t="s">
        <v>885</v>
      </c>
      <c r="H2457" s="7" t="s">
        <v>1372</v>
      </c>
      <c r="I2457" s="251">
        <v>200</v>
      </c>
      <c r="J2457" s="251">
        <v>9212.5743284040109</v>
      </c>
      <c r="K2457" s="563">
        <f t="shared" si="485"/>
        <v>1842515</v>
      </c>
      <c r="L2457" s="194" t="s">
        <v>175</v>
      </c>
      <c r="M2457" s="194" t="s">
        <v>169</v>
      </c>
      <c r="N2457" s="52" t="str">
        <f>IF(AND('331-CT'!$E$7=TH!H2457,OR(L2457="331",M2457="331")),"331",IF(AND(OR(L2457="131",M2457="131"),H2457='131-CT'!$E$7),"131",""))</f>
        <v/>
      </c>
      <c r="O2457" s="89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8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484"/>
        <v>12</v>
      </c>
      <c r="C2458" s="37">
        <f t="shared" si="486"/>
        <v>42004</v>
      </c>
      <c r="D2458" s="37" t="s">
        <v>1379</v>
      </c>
      <c r="E2458" s="722">
        <v>42004</v>
      </c>
      <c r="F2458" s="438" t="s">
        <v>887</v>
      </c>
      <c r="G2458" s="40" t="s">
        <v>885</v>
      </c>
      <c r="H2458" s="7" t="s">
        <v>1372</v>
      </c>
      <c r="I2458" s="251">
        <v>100</v>
      </c>
      <c r="J2458" s="251">
        <v>32984.306300803641</v>
      </c>
      <c r="K2458" s="563">
        <f t="shared" si="485"/>
        <v>3298431</v>
      </c>
      <c r="L2458" s="194" t="s">
        <v>175</v>
      </c>
      <c r="M2458" s="194" t="s">
        <v>169</v>
      </c>
      <c r="N2458" s="52" t="str">
        <f>IF(AND('331-CT'!$E$7=TH!H2458,OR(L2458="331",M2458="331")),"331",IF(AND(OR(L2458="131",M2458="131"),H2458='131-CT'!$E$7),"131",""))</f>
        <v/>
      </c>
      <c r="O2458" s="89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8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484"/>
        <v>12</v>
      </c>
      <c r="C2459" s="37">
        <f t="shared" si="486"/>
        <v>42004</v>
      </c>
      <c r="D2459" s="37" t="s">
        <v>1379</v>
      </c>
      <c r="E2459" s="722">
        <v>42004</v>
      </c>
      <c r="F2459" s="40" t="s">
        <v>888</v>
      </c>
      <c r="G2459" s="40" t="s">
        <v>885</v>
      </c>
      <c r="H2459" s="7" t="s">
        <v>1372</v>
      </c>
      <c r="I2459" s="251">
        <v>100</v>
      </c>
      <c r="J2459" s="251">
        <v>34300.388347718501</v>
      </c>
      <c r="K2459" s="563">
        <f t="shared" si="485"/>
        <v>3430039</v>
      </c>
      <c r="L2459" s="194" t="s">
        <v>175</v>
      </c>
      <c r="M2459" s="194" t="s">
        <v>169</v>
      </c>
      <c r="N2459" s="52" t="str">
        <f>IF(AND('331-CT'!$E$7=TH!H2459,OR(L2459="331",M2459="331")),"331",IF(AND(OR(L2459="131",M2459="131"),H2459='131-CT'!$E$7),"131",""))</f>
        <v/>
      </c>
      <c r="O2459" s="89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8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484"/>
        <v>12</v>
      </c>
      <c r="C2460" s="37">
        <f t="shared" si="486"/>
        <v>42004</v>
      </c>
      <c r="D2460" s="37" t="s">
        <v>1379</v>
      </c>
      <c r="E2460" s="722">
        <v>42004</v>
      </c>
      <c r="F2460" s="40" t="s">
        <v>889</v>
      </c>
      <c r="G2460" s="40" t="s">
        <v>885</v>
      </c>
      <c r="H2460" s="7" t="s">
        <v>1372</v>
      </c>
      <c r="I2460" s="251">
        <v>150</v>
      </c>
      <c r="J2460" s="251">
        <v>28871.549904194708</v>
      </c>
      <c r="K2460" s="563">
        <f t="shared" si="485"/>
        <v>4330732</v>
      </c>
      <c r="L2460" s="194" t="s">
        <v>175</v>
      </c>
      <c r="M2460" s="194" t="s">
        <v>169</v>
      </c>
      <c r="N2460" s="52" t="str">
        <f>IF(AND('331-CT'!$E$7=TH!H2460,OR(L2460="331",M2460="331")),"331",IF(AND(OR(L2460="131",M2460="131"),H2460='131-CT'!$E$7),"131",""))</f>
        <v/>
      </c>
      <c r="O2460" s="89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8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484"/>
        <v>12</v>
      </c>
      <c r="C2461" s="37">
        <f t="shared" si="486"/>
        <v>42004</v>
      </c>
      <c r="D2461" s="37" t="s">
        <v>1379</v>
      </c>
      <c r="E2461" s="722">
        <v>42004</v>
      </c>
      <c r="F2461" s="192" t="s">
        <v>890</v>
      </c>
      <c r="G2461" s="463" t="s">
        <v>891</v>
      </c>
      <c r="H2461" s="7" t="s">
        <v>1372</v>
      </c>
      <c r="I2461" s="251">
        <v>1280</v>
      </c>
      <c r="J2461" s="251">
        <v>13489.840980877299</v>
      </c>
      <c r="K2461" s="563">
        <f t="shared" si="485"/>
        <v>17266996</v>
      </c>
      <c r="L2461" s="194" t="s">
        <v>175</v>
      </c>
      <c r="M2461" s="194" t="s">
        <v>169</v>
      </c>
      <c r="N2461" s="52" t="str">
        <f>IF(AND('331-CT'!$E$7=TH!H2461,OR(L2461="331",M2461="331")),"331",IF(AND(OR(L2461="131",M2461="131"),H2461='131-CT'!$E$7),"131",""))</f>
        <v/>
      </c>
      <c r="O2461" s="89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8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484"/>
        <v/>
      </c>
      <c r="C2462" s="191"/>
      <c r="D2462" s="37"/>
      <c r="E2462" s="722"/>
      <c r="F2462" s="192"/>
      <c r="G2462" s="463"/>
      <c r="H2462" s="193"/>
      <c r="I2462" s="251"/>
      <c r="J2462" s="251"/>
      <c r="K2462" s="563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89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09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484"/>
        <v/>
      </c>
      <c r="C2463" s="191"/>
      <c r="D2463" s="37"/>
      <c r="E2463" s="722"/>
      <c r="F2463" s="192"/>
      <c r="G2463" s="463"/>
      <c r="H2463" s="193"/>
      <c r="I2463" s="251"/>
      <c r="J2463" s="251"/>
      <c r="K2463" s="563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89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09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484"/>
        <v/>
      </c>
      <c r="C2464" s="191"/>
      <c r="D2464" s="37"/>
      <c r="E2464" s="722"/>
      <c r="F2464" s="192"/>
      <c r="G2464" s="463"/>
      <c r="H2464" s="193"/>
      <c r="I2464" s="251"/>
      <c r="J2464" s="251"/>
      <c r="K2464" s="563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89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09"/>
    </row>
    <row r="2465" spans="1:31" s="211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si="484"/>
        <v/>
      </c>
      <c r="C2465" s="191"/>
      <c r="D2465" s="37"/>
      <c r="E2465" s="722"/>
      <c r="F2465" s="192"/>
      <c r="G2465" s="463"/>
      <c r="H2465" s="193"/>
      <c r="I2465" s="251"/>
      <c r="J2465" s="251"/>
      <c r="K2465" s="563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89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09"/>
    </row>
    <row r="2466" spans="1:31" s="211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484"/>
        <v/>
      </c>
      <c r="C2466" s="191"/>
      <c r="D2466" s="37"/>
      <c r="E2466" s="722"/>
      <c r="F2466" s="192"/>
      <c r="G2466" s="463"/>
      <c r="H2466" s="193"/>
      <c r="I2466" s="251"/>
      <c r="J2466" s="251"/>
      <c r="K2466" s="563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9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09"/>
    </row>
    <row r="2467" spans="1:31" s="211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484"/>
        <v/>
      </c>
      <c r="C2467" s="191"/>
      <c r="D2467" s="37"/>
      <c r="E2467" s="722"/>
      <c r="F2467" s="192"/>
      <c r="G2467" s="463"/>
      <c r="H2467" s="193"/>
      <c r="I2467" s="251"/>
      <c r="J2467" s="251"/>
      <c r="K2467" s="563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9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09"/>
    </row>
    <row r="2468" spans="1:31" s="211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ref="B2468:B2469" si="487">IF(C2468&lt;&gt;"",MONTH(C2468),"")</f>
        <v/>
      </c>
      <c r="C2468" s="37"/>
      <c r="D2468" s="37"/>
      <c r="E2468" s="37"/>
      <c r="F2468" s="40"/>
      <c r="G2468" s="40"/>
      <c r="H2468" s="44"/>
      <c r="I2468" s="251"/>
      <c r="J2468" s="251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9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09"/>
    </row>
    <row r="2469" spans="1:31" s="211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487"/>
        <v/>
      </c>
      <c r="C2469" s="37"/>
      <c r="D2469" s="37"/>
      <c r="E2469" s="37"/>
      <c r="F2469" s="40"/>
      <c r="G2469" s="40"/>
      <c r="H2469" s="44"/>
      <c r="I2469" s="251"/>
      <c r="J2469" s="251"/>
      <c r="K2469" s="38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89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09"/>
    </row>
    <row r="2471" spans="1:31">
      <c r="J2471" s="773"/>
    </row>
    <row r="2474" spans="1:31">
      <c r="H2474" s="772"/>
    </row>
    <row r="2475" spans="1:31">
      <c r="K2475" s="459">
        <f>SUBTOTAL(9,K10:K2469)</f>
        <v>26220046255</v>
      </c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customFormat="1"/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</sheetData>
  <autoFilter ref="A9:AE2469"/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O7:O8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5" customWidth="1"/>
    <col min="2" max="2" width="9.28515625" style="585" customWidth="1"/>
    <col min="3" max="3" width="10" style="585" customWidth="1"/>
    <col min="4" max="4" width="41.42578125" style="585" customWidth="1"/>
    <col min="5" max="5" width="6" style="585" customWidth="1"/>
    <col min="6" max="6" width="7.85546875" style="585" customWidth="1"/>
    <col min="7" max="7" width="8.5703125" style="585" customWidth="1"/>
    <col min="8" max="8" width="13.85546875" style="585" customWidth="1"/>
    <col min="9" max="9" width="14.140625" style="585" customWidth="1"/>
    <col min="10" max="11" width="9.140625" style="585"/>
    <col min="12" max="12" width="3.5703125" style="585" customWidth="1"/>
    <col min="13" max="256" width="9.140625" style="585"/>
    <col min="257" max="257" width="13" style="585" customWidth="1"/>
    <col min="258" max="258" width="9.140625" style="585"/>
    <col min="259" max="259" width="13" style="585" customWidth="1"/>
    <col min="260" max="260" width="29.7109375" style="585" customWidth="1"/>
    <col min="261" max="261" width="7.7109375" style="585" customWidth="1"/>
    <col min="262" max="262" width="6" style="585" customWidth="1"/>
    <col min="263" max="263" width="11.5703125" style="585" customWidth="1"/>
    <col min="264" max="264" width="13.42578125" style="585" customWidth="1"/>
    <col min="265" max="265" width="13.85546875" style="585" customWidth="1"/>
    <col min="266" max="512" width="9.140625" style="585"/>
    <col min="513" max="513" width="13" style="585" customWidth="1"/>
    <col min="514" max="514" width="9.140625" style="585"/>
    <col min="515" max="515" width="13" style="585" customWidth="1"/>
    <col min="516" max="516" width="29.7109375" style="585" customWidth="1"/>
    <col min="517" max="517" width="7.7109375" style="585" customWidth="1"/>
    <col min="518" max="518" width="6" style="585" customWidth="1"/>
    <col min="519" max="519" width="11.5703125" style="585" customWidth="1"/>
    <col min="520" max="520" width="13.42578125" style="585" customWidth="1"/>
    <col min="521" max="521" width="13.85546875" style="585" customWidth="1"/>
    <col min="522" max="768" width="9.140625" style="585"/>
    <col min="769" max="769" width="13" style="585" customWidth="1"/>
    <col min="770" max="770" width="9.140625" style="585"/>
    <col min="771" max="771" width="13" style="585" customWidth="1"/>
    <col min="772" max="772" width="29.7109375" style="585" customWidth="1"/>
    <col min="773" max="773" width="7.7109375" style="585" customWidth="1"/>
    <col min="774" max="774" width="6" style="585" customWidth="1"/>
    <col min="775" max="775" width="11.5703125" style="585" customWidth="1"/>
    <col min="776" max="776" width="13.42578125" style="585" customWidth="1"/>
    <col min="777" max="777" width="13.85546875" style="585" customWidth="1"/>
    <col min="778" max="1024" width="9.140625" style="585"/>
    <col min="1025" max="1025" width="13" style="585" customWidth="1"/>
    <col min="1026" max="1026" width="9.140625" style="585"/>
    <col min="1027" max="1027" width="13" style="585" customWidth="1"/>
    <col min="1028" max="1028" width="29.7109375" style="585" customWidth="1"/>
    <col min="1029" max="1029" width="7.7109375" style="585" customWidth="1"/>
    <col min="1030" max="1030" width="6" style="585" customWidth="1"/>
    <col min="1031" max="1031" width="11.5703125" style="585" customWidth="1"/>
    <col min="1032" max="1032" width="13.42578125" style="585" customWidth="1"/>
    <col min="1033" max="1033" width="13.85546875" style="585" customWidth="1"/>
    <col min="1034" max="1280" width="9.140625" style="585"/>
    <col min="1281" max="1281" width="13" style="585" customWidth="1"/>
    <col min="1282" max="1282" width="9.140625" style="585"/>
    <col min="1283" max="1283" width="13" style="585" customWidth="1"/>
    <col min="1284" max="1284" width="29.7109375" style="585" customWidth="1"/>
    <col min="1285" max="1285" width="7.7109375" style="585" customWidth="1"/>
    <col min="1286" max="1286" width="6" style="585" customWidth="1"/>
    <col min="1287" max="1287" width="11.5703125" style="585" customWidth="1"/>
    <col min="1288" max="1288" width="13.42578125" style="585" customWidth="1"/>
    <col min="1289" max="1289" width="13.85546875" style="585" customWidth="1"/>
    <col min="1290" max="1536" width="9.140625" style="585"/>
    <col min="1537" max="1537" width="13" style="585" customWidth="1"/>
    <col min="1538" max="1538" width="9.140625" style="585"/>
    <col min="1539" max="1539" width="13" style="585" customWidth="1"/>
    <col min="1540" max="1540" width="29.7109375" style="585" customWidth="1"/>
    <col min="1541" max="1541" width="7.7109375" style="585" customWidth="1"/>
    <col min="1542" max="1542" width="6" style="585" customWidth="1"/>
    <col min="1543" max="1543" width="11.5703125" style="585" customWidth="1"/>
    <col min="1544" max="1544" width="13.42578125" style="585" customWidth="1"/>
    <col min="1545" max="1545" width="13.85546875" style="585" customWidth="1"/>
    <col min="1546" max="1792" width="9.140625" style="585"/>
    <col min="1793" max="1793" width="13" style="585" customWidth="1"/>
    <col min="1794" max="1794" width="9.140625" style="585"/>
    <col min="1795" max="1795" width="13" style="585" customWidth="1"/>
    <col min="1796" max="1796" width="29.7109375" style="585" customWidth="1"/>
    <col min="1797" max="1797" width="7.7109375" style="585" customWidth="1"/>
    <col min="1798" max="1798" width="6" style="585" customWidth="1"/>
    <col min="1799" max="1799" width="11.5703125" style="585" customWidth="1"/>
    <col min="1800" max="1800" width="13.42578125" style="585" customWidth="1"/>
    <col min="1801" max="1801" width="13.85546875" style="585" customWidth="1"/>
    <col min="1802" max="2048" width="9.140625" style="585"/>
    <col min="2049" max="2049" width="13" style="585" customWidth="1"/>
    <col min="2050" max="2050" width="9.140625" style="585"/>
    <col min="2051" max="2051" width="13" style="585" customWidth="1"/>
    <col min="2052" max="2052" width="29.7109375" style="585" customWidth="1"/>
    <col min="2053" max="2053" width="7.7109375" style="585" customWidth="1"/>
    <col min="2054" max="2054" width="6" style="585" customWidth="1"/>
    <col min="2055" max="2055" width="11.5703125" style="585" customWidth="1"/>
    <col min="2056" max="2056" width="13.42578125" style="585" customWidth="1"/>
    <col min="2057" max="2057" width="13.85546875" style="585" customWidth="1"/>
    <col min="2058" max="2304" width="9.140625" style="585"/>
    <col min="2305" max="2305" width="13" style="585" customWidth="1"/>
    <col min="2306" max="2306" width="9.140625" style="585"/>
    <col min="2307" max="2307" width="13" style="585" customWidth="1"/>
    <col min="2308" max="2308" width="29.7109375" style="585" customWidth="1"/>
    <col min="2309" max="2309" width="7.7109375" style="585" customWidth="1"/>
    <col min="2310" max="2310" width="6" style="585" customWidth="1"/>
    <col min="2311" max="2311" width="11.5703125" style="585" customWidth="1"/>
    <col min="2312" max="2312" width="13.42578125" style="585" customWidth="1"/>
    <col min="2313" max="2313" width="13.85546875" style="585" customWidth="1"/>
    <col min="2314" max="2560" width="9.140625" style="585"/>
    <col min="2561" max="2561" width="13" style="585" customWidth="1"/>
    <col min="2562" max="2562" width="9.140625" style="585"/>
    <col min="2563" max="2563" width="13" style="585" customWidth="1"/>
    <col min="2564" max="2564" width="29.7109375" style="585" customWidth="1"/>
    <col min="2565" max="2565" width="7.7109375" style="585" customWidth="1"/>
    <col min="2566" max="2566" width="6" style="585" customWidth="1"/>
    <col min="2567" max="2567" width="11.5703125" style="585" customWidth="1"/>
    <col min="2568" max="2568" width="13.42578125" style="585" customWidth="1"/>
    <col min="2569" max="2569" width="13.85546875" style="585" customWidth="1"/>
    <col min="2570" max="2816" width="9.140625" style="585"/>
    <col min="2817" max="2817" width="13" style="585" customWidth="1"/>
    <col min="2818" max="2818" width="9.140625" style="585"/>
    <col min="2819" max="2819" width="13" style="585" customWidth="1"/>
    <col min="2820" max="2820" width="29.7109375" style="585" customWidth="1"/>
    <col min="2821" max="2821" width="7.7109375" style="585" customWidth="1"/>
    <col min="2822" max="2822" width="6" style="585" customWidth="1"/>
    <col min="2823" max="2823" width="11.5703125" style="585" customWidth="1"/>
    <col min="2824" max="2824" width="13.42578125" style="585" customWidth="1"/>
    <col min="2825" max="2825" width="13.85546875" style="585" customWidth="1"/>
    <col min="2826" max="3072" width="9.140625" style="585"/>
    <col min="3073" max="3073" width="13" style="585" customWidth="1"/>
    <col min="3074" max="3074" width="9.140625" style="585"/>
    <col min="3075" max="3075" width="13" style="585" customWidth="1"/>
    <col min="3076" max="3076" width="29.7109375" style="585" customWidth="1"/>
    <col min="3077" max="3077" width="7.7109375" style="585" customWidth="1"/>
    <col min="3078" max="3078" width="6" style="585" customWidth="1"/>
    <col min="3079" max="3079" width="11.5703125" style="585" customWidth="1"/>
    <col min="3080" max="3080" width="13.42578125" style="585" customWidth="1"/>
    <col min="3081" max="3081" width="13.85546875" style="585" customWidth="1"/>
    <col min="3082" max="3328" width="9.140625" style="585"/>
    <col min="3329" max="3329" width="13" style="585" customWidth="1"/>
    <col min="3330" max="3330" width="9.140625" style="585"/>
    <col min="3331" max="3331" width="13" style="585" customWidth="1"/>
    <col min="3332" max="3332" width="29.7109375" style="585" customWidth="1"/>
    <col min="3333" max="3333" width="7.7109375" style="585" customWidth="1"/>
    <col min="3334" max="3334" width="6" style="585" customWidth="1"/>
    <col min="3335" max="3335" width="11.5703125" style="585" customWidth="1"/>
    <col min="3336" max="3336" width="13.42578125" style="585" customWidth="1"/>
    <col min="3337" max="3337" width="13.85546875" style="585" customWidth="1"/>
    <col min="3338" max="3584" width="9.140625" style="585"/>
    <col min="3585" max="3585" width="13" style="585" customWidth="1"/>
    <col min="3586" max="3586" width="9.140625" style="585"/>
    <col min="3587" max="3587" width="13" style="585" customWidth="1"/>
    <col min="3588" max="3588" width="29.7109375" style="585" customWidth="1"/>
    <col min="3589" max="3589" width="7.7109375" style="585" customWidth="1"/>
    <col min="3590" max="3590" width="6" style="585" customWidth="1"/>
    <col min="3591" max="3591" width="11.5703125" style="585" customWidth="1"/>
    <col min="3592" max="3592" width="13.42578125" style="585" customWidth="1"/>
    <col min="3593" max="3593" width="13.85546875" style="585" customWidth="1"/>
    <col min="3594" max="3840" width="9.140625" style="585"/>
    <col min="3841" max="3841" width="13" style="585" customWidth="1"/>
    <col min="3842" max="3842" width="9.140625" style="585"/>
    <col min="3843" max="3843" width="13" style="585" customWidth="1"/>
    <col min="3844" max="3844" width="29.7109375" style="585" customWidth="1"/>
    <col min="3845" max="3845" width="7.7109375" style="585" customWidth="1"/>
    <col min="3846" max="3846" width="6" style="585" customWidth="1"/>
    <col min="3847" max="3847" width="11.5703125" style="585" customWidth="1"/>
    <col min="3848" max="3848" width="13.42578125" style="585" customWidth="1"/>
    <col min="3849" max="3849" width="13.85546875" style="585" customWidth="1"/>
    <col min="3850" max="4096" width="9.140625" style="585"/>
    <col min="4097" max="4097" width="13" style="585" customWidth="1"/>
    <col min="4098" max="4098" width="9.140625" style="585"/>
    <col min="4099" max="4099" width="13" style="585" customWidth="1"/>
    <col min="4100" max="4100" width="29.7109375" style="585" customWidth="1"/>
    <col min="4101" max="4101" width="7.7109375" style="585" customWidth="1"/>
    <col min="4102" max="4102" width="6" style="585" customWidth="1"/>
    <col min="4103" max="4103" width="11.5703125" style="585" customWidth="1"/>
    <col min="4104" max="4104" width="13.42578125" style="585" customWidth="1"/>
    <col min="4105" max="4105" width="13.85546875" style="585" customWidth="1"/>
    <col min="4106" max="4352" width="9.140625" style="585"/>
    <col min="4353" max="4353" width="13" style="585" customWidth="1"/>
    <col min="4354" max="4354" width="9.140625" style="585"/>
    <col min="4355" max="4355" width="13" style="585" customWidth="1"/>
    <col min="4356" max="4356" width="29.7109375" style="585" customWidth="1"/>
    <col min="4357" max="4357" width="7.7109375" style="585" customWidth="1"/>
    <col min="4358" max="4358" width="6" style="585" customWidth="1"/>
    <col min="4359" max="4359" width="11.5703125" style="585" customWidth="1"/>
    <col min="4360" max="4360" width="13.42578125" style="585" customWidth="1"/>
    <col min="4361" max="4361" width="13.85546875" style="585" customWidth="1"/>
    <col min="4362" max="4608" width="9.140625" style="585"/>
    <col min="4609" max="4609" width="13" style="585" customWidth="1"/>
    <col min="4610" max="4610" width="9.140625" style="585"/>
    <col min="4611" max="4611" width="13" style="585" customWidth="1"/>
    <col min="4612" max="4612" width="29.7109375" style="585" customWidth="1"/>
    <col min="4613" max="4613" width="7.7109375" style="585" customWidth="1"/>
    <col min="4614" max="4614" width="6" style="585" customWidth="1"/>
    <col min="4615" max="4615" width="11.5703125" style="585" customWidth="1"/>
    <col min="4616" max="4616" width="13.42578125" style="585" customWidth="1"/>
    <col min="4617" max="4617" width="13.85546875" style="585" customWidth="1"/>
    <col min="4618" max="4864" width="9.140625" style="585"/>
    <col min="4865" max="4865" width="13" style="585" customWidth="1"/>
    <col min="4866" max="4866" width="9.140625" style="585"/>
    <col min="4867" max="4867" width="13" style="585" customWidth="1"/>
    <col min="4868" max="4868" width="29.7109375" style="585" customWidth="1"/>
    <col min="4869" max="4869" width="7.7109375" style="585" customWidth="1"/>
    <col min="4870" max="4870" width="6" style="585" customWidth="1"/>
    <col min="4871" max="4871" width="11.5703125" style="585" customWidth="1"/>
    <col min="4872" max="4872" width="13.42578125" style="585" customWidth="1"/>
    <col min="4873" max="4873" width="13.85546875" style="585" customWidth="1"/>
    <col min="4874" max="5120" width="9.140625" style="585"/>
    <col min="5121" max="5121" width="13" style="585" customWidth="1"/>
    <col min="5122" max="5122" width="9.140625" style="585"/>
    <col min="5123" max="5123" width="13" style="585" customWidth="1"/>
    <col min="5124" max="5124" width="29.7109375" style="585" customWidth="1"/>
    <col min="5125" max="5125" width="7.7109375" style="585" customWidth="1"/>
    <col min="5126" max="5126" width="6" style="585" customWidth="1"/>
    <col min="5127" max="5127" width="11.5703125" style="585" customWidth="1"/>
    <col min="5128" max="5128" width="13.42578125" style="585" customWidth="1"/>
    <col min="5129" max="5129" width="13.85546875" style="585" customWidth="1"/>
    <col min="5130" max="5376" width="9.140625" style="585"/>
    <col min="5377" max="5377" width="13" style="585" customWidth="1"/>
    <col min="5378" max="5378" width="9.140625" style="585"/>
    <col min="5379" max="5379" width="13" style="585" customWidth="1"/>
    <col min="5380" max="5380" width="29.7109375" style="585" customWidth="1"/>
    <col min="5381" max="5381" width="7.7109375" style="585" customWidth="1"/>
    <col min="5382" max="5382" width="6" style="585" customWidth="1"/>
    <col min="5383" max="5383" width="11.5703125" style="585" customWidth="1"/>
    <col min="5384" max="5384" width="13.42578125" style="585" customWidth="1"/>
    <col min="5385" max="5385" width="13.85546875" style="585" customWidth="1"/>
    <col min="5386" max="5632" width="9.140625" style="585"/>
    <col min="5633" max="5633" width="13" style="585" customWidth="1"/>
    <col min="5634" max="5634" width="9.140625" style="585"/>
    <col min="5635" max="5635" width="13" style="585" customWidth="1"/>
    <col min="5636" max="5636" width="29.7109375" style="585" customWidth="1"/>
    <col min="5637" max="5637" width="7.7109375" style="585" customWidth="1"/>
    <col min="5638" max="5638" width="6" style="585" customWidth="1"/>
    <col min="5639" max="5639" width="11.5703125" style="585" customWidth="1"/>
    <col min="5640" max="5640" width="13.42578125" style="585" customWidth="1"/>
    <col min="5641" max="5641" width="13.85546875" style="585" customWidth="1"/>
    <col min="5642" max="5888" width="9.140625" style="585"/>
    <col min="5889" max="5889" width="13" style="585" customWidth="1"/>
    <col min="5890" max="5890" width="9.140625" style="585"/>
    <col min="5891" max="5891" width="13" style="585" customWidth="1"/>
    <col min="5892" max="5892" width="29.7109375" style="585" customWidth="1"/>
    <col min="5893" max="5893" width="7.7109375" style="585" customWidth="1"/>
    <col min="5894" max="5894" width="6" style="585" customWidth="1"/>
    <col min="5895" max="5895" width="11.5703125" style="585" customWidth="1"/>
    <col min="5896" max="5896" width="13.42578125" style="585" customWidth="1"/>
    <col min="5897" max="5897" width="13.85546875" style="585" customWidth="1"/>
    <col min="5898" max="6144" width="9.140625" style="585"/>
    <col min="6145" max="6145" width="13" style="585" customWidth="1"/>
    <col min="6146" max="6146" width="9.140625" style="585"/>
    <col min="6147" max="6147" width="13" style="585" customWidth="1"/>
    <col min="6148" max="6148" width="29.7109375" style="585" customWidth="1"/>
    <col min="6149" max="6149" width="7.7109375" style="585" customWidth="1"/>
    <col min="6150" max="6150" width="6" style="585" customWidth="1"/>
    <col min="6151" max="6151" width="11.5703125" style="585" customWidth="1"/>
    <col min="6152" max="6152" width="13.42578125" style="585" customWidth="1"/>
    <col min="6153" max="6153" width="13.85546875" style="585" customWidth="1"/>
    <col min="6154" max="6400" width="9.140625" style="585"/>
    <col min="6401" max="6401" width="13" style="585" customWidth="1"/>
    <col min="6402" max="6402" width="9.140625" style="585"/>
    <col min="6403" max="6403" width="13" style="585" customWidth="1"/>
    <col min="6404" max="6404" width="29.7109375" style="585" customWidth="1"/>
    <col min="6405" max="6405" width="7.7109375" style="585" customWidth="1"/>
    <col min="6406" max="6406" width="6" style="585" customWidth="1"/>
    <col min="6407" max="6407" width="11.5703125" style="585" customWidth="1"/>
    <col min="6408" max="6408" width="13.42578125" style="585" customWidth="1"/>
    <col min="6409" max="6409" width="13.85546875" style="585" customWidth="1"/>
    <col min="6410" max="6656" width="9.140625" style="585"/>
    <col min="6657" max="6657" width="13" style="585" customWidth="1"/>
    <col min="6658" max="6658" width="9.140625" style="585"/>
    <col min="6659" max="6659" width="13" style="585" customWidth="1"/>
    <col min="6660" max="6660" width="29.7109375" style="585" customWidth="1"/>
    <col min="6661" max="6661" width="7.7109375" style="585" customWidth="1"/>
    <col min="6662" max="6662" width="6" style="585" customWidth="1"/>
    <col min="6663" max="6663" width="11.5703125" style="585" customWidth="1"/>
    <col min="6664" max="6664" width="13.42578125" style="585" customWidth="1"/>
    <col min="6665" max="6665" width="13.85546875" style="585" customWidth="1"/>
    <col min="6666" max="6912" width="9.140625" style="585"/>
    <col min="6913" max="6913" width="13" style="585" customWidth="1"/>
    <col min="6914" max="6914" width="9.140625" style="585"/>
    <col min="6915" max="6915" width="13" style="585" customWidth="1"/>
    <col min="6916" max="6916" width="29.7109375" style="585" customWidth="1"/>
    <col min="6917" max="6917" width="7.7109375" style="585" customWidth="1"/>
    <col min="6918" max="6918" width="6" style="585" customWidth="1"/>
    <col min="6919" max="6919" width="11.5703125" style="585" customWidth="1"/>
    <col min="6920" max="6920" width="13.42578125" style="585" customWidth="1"/>
    <col min="6921" max="6921" width="13.85546875" style="585" customWidth="1"/>
    <col min="6922" max="7168" width="9.140625" style="585"/>
    <col min="7169" max="7169" width="13" style="585" customWidth="1"/>
    <col min="7170" max="7170" width="9.140625" style="585"/>
    <col min="7171" max="7171" width="13" style="585" customWidth="1"/>
    <col min="7172" max="7172" width="29.7109375" style="585" customWidth="1"/>
    <col min="7173" max="7173" width="7.7109375" style="585" customWidth="1"/>
    <col min="7174" max="7174" width="6" style="585" customWidth="1"/>
    <col min="7175" max="7175" width="11.5703125" style="585" customWidth="1"/>
    <col min="7176" max="7176" width="13.42578125" style="585" customWidth="1"/>
    <col min="7177" max="7177" width="13.85546875" style="585" customWidth="1"/>
    <col min="7178" max="7424" width="9.140625" style="585"/>
    <col min="7425" max="7425" width="13" style="585" customWidth="1"/>
    <col min="7426" max="7426" width="9.140625" style="585"/>
    <col min="7427" max="7427" width="13" style="585" customWidth="1"/>
    <col min="7428" max="7428" width="29.7109375" style="585" customWidth="1"/>
    <col min="7429" max="7429" width="7.7109375" style="585" customWidth="1"/>
    <col min="7430" max="7430" width="6" style="585" customWidth="1"/>
    <col min="7431" max="7431" width="11.5703125" style="585" customWidth="1"/>
    <col min="7432" max="7432" width="13.42578125" style="585" customWidth="1"/>
    <col min="7433" max="7433" width="13.85546875" style="585" customWidth="1"/>
    <col min="7434" max="7680" width="9.140625" style="585"/>
    <col min="7681" max="7681" width="13" style="585" customWidth="1"/>
    <col min="7682" max="7682" width="9.140625" style="585"/>
    <col min="7683" max="7683" width="13" style="585" customWidth="1"/>
    <col min="7684" max="7684" width="29.7109375" style="585" customWidth="1"/>
    <col min="7685" max="7685" width="7.7109375" style="585" customWidth="1"/>
    <col min="7686" max="7686" width="6" style="585" customWidth="1"/>
    <col min="7687" max="7687" width="11.5703125" style="585" customWidth="1"/>
    <col min="7688" max="7688" width="13.42578125" style="585" customWidth="1"/>
    <col min="7689" max="7689" width="13.85546875" style="585" customWidth="1"/>
    <col min="7690" max="7936" width="9.140625" style="585"/>
    <col min="7937" max="7937" width="13" style="585" customWidth="1"/>
    <col min="7938" max="7938" width="9.140625" style="585"/>
    <col min="7939" max="7939" width="13" style="585" customWidth="1"/>
    <col min="7940" max="7940" width="29.7109375" style="585" customWidth="1"/>
    <col min="7941" max="7941" width="7.7109375" style="585" customWidth="1"/>
    <col min="7942" max="7942" width="6" style="585" customWidth="1"/>
    <col min="7943" max="7943" width="11.5703125" style="585" customWidth="1"/>
    <col min="7944" max="7944" width="13.42578125" style="585" customWidth="1"/>
    <col min="7945" max="7945" width="13.85546875" style="585" customWidth="1"/>
    <col min="7946" max="8192" width="9.140625" style="585"/>
    <col min="8193" max="8193" width="13" style="585" customWidth="1"/>
    <col min="8194" max="8194" width="9.140625" style="585"/>
    <col min="8195" max="8195" width="13" style="585" customWidth="1"/>
    <col min="8196" max="8196" width="29.7109375" style="585" customWidth="1"/>
    <col min="8197" max="8197" width="7.7109375" style="585" customWidth="1"/>
    <col min="8198" max="8198" width="6" style="585" customWidth="1"/>
    <col min="8199" max="8199" width="11.5703125" style="585" customWidth="1"/>
    <col min="8200" max="8200" width="13.42578125" style="585" customWidth="1"/>
    <col min="8201" max="8201" width="13.85546875" style="585" customWidth="1"/>
    <col min="8202" max="8448" width="9.140625" style="585"/>
    <col min="8449" max="8449" width="13" style="585" customWidth="1"/>
    <col min="8450" max="8450" width="9.140625" style="585"/>
    <col min="8451" max="8451" width="13" style="585" customWidth="1"/>
    <col min="8452" max="8452" width="29.7109375" style="585" customWidth="1"/>
    <col min="8453" max="8453" width="7.7109375" style="585" customWidth="1"/>
    <col min="8454" max="8454" width="6" style="585" customWidth="1"/>
    <col min="8455" max="8455" width="11.5703125" style="585" customWidth="1"/>
    <col min="8456" max="8456" width="13.42578125" style="585" customWidth="1"/>
    <col min="8457" max="8457" width="13.85546875" style="585" customWidth="1"/>
    <col min="8458" max="8704" width="9.140625" style="585"/>
    <col min="8705" max="8705" width="13" style="585" customWidth="1"/>
    <col min="8706" max="8706" width="9.140625" style="585"/>
    <col min="8707" max="8707" width="13" style="585" customWidth="1"/>
    <col min="8708" max="8708" width="29.7109375" style="585" customWidth="1"/>
    <col min="8709" max="8709" width="7.7109375" style="585" customWidth="1"/>
    <col min="8710" max="8710" width="6" style="585" customWidth="1"/>
    <col min="8711" max="8711" width="11.5703125" style="585" customWidth="1"/>
    <col min="8712" max="8712" width="13.42578125" style="585" customWidth="1"/>
    <col min="8713" max="8713" width="13.85546875" style="585" customWidth="1"/>
    <col min="8714" max="8960" width="9.140625" style="585"/>
    <col min="8961" max="8961" width="13" style="585" customWidth="1"/>
    <col min="8962" max="8962" width="9.140625" style="585"/>
    <col min="8963" max="8963" width="13" style="585" customWidth="1"/>
    <col min="8964" max="8964" width="29.7109375" style="585" customWidth="1"/>
    <col min="8965" max="8965" width="7.7109375" style="585" customWidth="1"/>
    <col min="8966" max="8966" width="6" style="585" customWidth="1"/>
    <col min="8967" max="8967" width="11.5703125" style="585" customWidth="1"/>
    <col min="8968" max="8968" width="13.42578125" style="585" customWidth="1"/>
    <col min="8969" max="8969" width="13.85546875" style="585" customWidth="1"/>
    <col min="8970" max="9216" width="9.140625" style="585"/>
    <col min="9217" max="9217" width="13" style="585" customWidth="1"/>
    <col min="9218" max="9218" width="9.140625" style="585"/>
    <col min="9219" max="9219" width="13" style="585" customWidth="1"/>
    <col min="9220" max="9220" width="29.7109375" style="585" customWidth="1"/>
    <col min="9221" max="9221" width="7.7109375" style="585" customWidth="1"/>
    <col min="9222" max="9222" width="6" style="585" customWidth="1"/>
    <col min="9223" max="9223" width="11.5703125" style="585" customWidth="1"/>
    <col min="9224" max="9224" width="13.42578125" style="585" customWidth="1"/>
    <col min="9225" max="9225" width="13.85546875" style="585" customWidth="1"/>
    <col min="9226" max="9472" width="9.140625" style="585"/>
    <col min="9473" max="9473" width="13" style="585" customWidth="1"/>
    <col min="9474" max="9474" width="9.140625" style="585"/>
    <col min="9475" max="9475" width="13" style="585" customWidth="1"/>
    <col min="9476" max="9476" width="29.7109375" style="585" customWidth="1"/>
    <col min="9477" max="9477" width="7.7109375" style="585" customWidth="1"/>
    <col min="9478" max="9478" width="6" style="585" customWidth="1"/>
    <col min="9479" max="9479" width="11.5703125" style="585" customWidth="1"/>
    <col min="9480" max="9480" width="13.42578125" style="585" customWidth="1"/>
    <col min="9481" max="9481" width="13.85546875" style="585" customWidth="1"/>
    <col min="9482" max="9728" width="9.140625" style="585"/>
    <col min="9729" max="9729" width="13" style="585" customWidth="1"/>
    <col min="9730" max="9730" width="9.140625" style="585"/>
    <col min="9731" max="9731" width="13" style="585" customWidth="1"/>
    <col min="9732" max="9732" width="29.7109375" style="585" customWidth="1"/>
    <col min="9733" max="9733" width="7.7109375" style="585" customWidth="1"/>
    <col min="9734" max="9734" width="6" style="585" customWidth="1"/>
    <col min="9735" max="9735" width="11.5703125" style="585" customWidth="1"/>
    <col min="9736" max="9736" width="13.42578125" style="585" customWidth="1"/>
    <col min="9737" max="9737" width="13.85546875" style="585" customWidth="1"/>
    <col min="9738" max="9984" width="9.140625" style="585"/>
    <col min="9985" max="9985" width="13" style="585" customWidth="1"/>
    <col min="9986" max="9986" width="9.140625" style="585"/>
    <col min="9987" max="9987" width="13" style="585" customWidth="1"/>
    <col min="9988" max="9988" width="29.7109375" style="585" customWidth="1"/>
    <col min="9989" max="9989" width="7.7109375" style="585" customWidth="1"/>
    <col min="9990" max="9990" width="6" style="585" customWidth="1"/>
    <col min="9991" max="9991" width="11.5703125" style="585" customWidth="1"/>
    <col min="9992" max="9992" width="13.42578125" style="585" customWidth="1"/>
    <col min="9993" max="9993" width="13.85546875" style="585" customWidth="1"/>
    <col min="9994" max="10240" width="9.140625" style="585"/>
    <col min="10241" max="10241" width="13" style="585" customWidth="1"/>
    <col min="10242" max="10242" width="9.140625" style="585"/>
    <col min="10243" max="10243" width="13" style="585" customWidth="1"/>
    <col min="10244" max="10244" width="29.7109375" style="585" customWidth="1"/>
    <col min="10245" max="10245" width="7.7109375" style="585" customWidth="1"/>
    <col min="10246" max="10246" width="6" style="585" customWidth="1"/>
    <col min="10247" max="10247" width="11.5703125" style="585" customWidth="1"/>
    <col min="10248" max="10248" width="13.42578125" style="585" customWidth="1"/>
    <col min="10249" max="10249" width="13.85546875" style="585" customWidth="1"/>
    <col min="10250" max="10496" width="9.140625" style="585"/>
    <col min="10497" max="10497" width="13" style="585" customWidth="1"/>
    <col min="10498" max="10498" width="9.140625" style="585"/>
    <col min="10499" max="10499" width="13" style="585" customWidth="1"/>
    <col min="10500" max="10500" width="29.7109375" style="585" customWidth="1"/>
    <col min="10501" max="10501" width="7.7109375" style="585" customWidth="1"/>
    <col min="10502" max="10502" width="6" style="585" customWidth="1"/>
    <col min="10503" max="10503" width="11.5703125" style="585" customWidth="1"/>
    <col min="10504" max="10504" width="13.42578125" style="585" customWidth="1"/>
    <col min="10505" max="10505" width="13.85546875" style="585" customWidth="1"/>
    <col min="10506" max="10752" width="9.140625" style="585"/>
    <col min="10753" max="10753" width="13" style="585" customWidth="1"/>
    <col min="10754" max="10754" width="9.140625" style="585"/>
    <col min="10755" max="10755" width="13" style="585" customWidth="1"/>
    <col min="10756" max="10756" width="29.7109375" style="585" customWidth="1"/>
    <col min="10757" max="10757" width="7.7109375" style="585" customWidth="1"/>
    <col min="10758" max="10758" width="6" style="585" customWidth="1"/>
    <col min="10759" max="10759" width="11.5703125" style="585" customWidth="1"/>
    <col min="10760" max="10760" width="13.42578125" style="585" customWidth="1"/>
    <col min="10761" max="10761" width="13.85546875" style="585" customWidth="1"/>
    <col min="10762" max="11008" width="9.140625" style="585"/>
    <col min="11009" max="11009" width="13" style="585" customWidth="1"/>
    <col min="11010" max="11010" width="9.140625" style="585"/>
    <col min="11011" max="11011" width="13" style="585" customWidth="1"/>
    <col min="11012" max="11012" width="29.7109375" style="585" customWidth="1"/>
    <col min="11013" max="11013" width="7.7109375" style="585" customWidth="1"/>
    <col min="11014" max="11014" width="6" style="585" customWidth="1"/>
    <col min="11015" max="11015" width="11.5703125" style="585" customWidth="1"/>
    <col min="11016" max="11016" width="13.42578125" style="585" customWidth="1"/>
    <col min="11017" max="11017" width="13.85546875" style="585" customWidth="1"/>
    <col min="11018" max="11264" width="9.140625" style="585"/>
    <col min="11265" max="11265" width="13" style="585" customWidth="1"/>
    <col min="11266" max="11266" width="9.140625" style="585"/>
    <col min="11267" max="11267" width="13" style="585" customWidth="1"/>
    <col min="11268" max="11268" width="29.7109375" style="585" customWidth="1"/>
    <col min="11269" max="11269" width="7.7109375" style="585" customWidth="1"/>
    <col min="11270" max="11270" width="6" style="585" customWidth="1"/>
    <col min="11271" max="11271" width="11.5703125" style="585" customWidth="1"/>
    <col min="11272" max="11272" width="13.42578125" style="585" customWidth="1"/>
    <col min="11273" max="11273" width="13.85546875" style="585" customWidth="1"/>
    <col min="11274" max="11520" width="9.140625" style="585"/>
    <col min="11521" max="11521" width="13" style="585" customWidth="1"/>
    <col min="11522" max="11522" width="9.140625" style="585"/>
    <col min="11523" max="11523" width="13" style="585" customWidth="1"/>
    <col min="11524" max="11524" width="29.7109375" style="585" customWidth="1"/>
    <col min="11525" max="11525" width="7.7109375" style="585" customWidth="1"/>
    <col min="11526" max="11526" width="6" style="585" customWidth="1"/>
    <col min="11527" max="11527" width="11.5703125" style="585" customWidth="1"/>
    <col min="11528" max="11528" width="13.42578125" style="585" customWidth="1"/>
    <col min="11529" max="11529" width="13.85546875" style="585" customWidth="1"/>
    <col min="11530" max="11776" width="9.140625" style="585"/>
    <col min="11777" max="11777" width="13" style="585" customWidth="1"/>
    <col min="11778" max="11778" width="9.140625" style="585"/>
    <col min="11779" max="11779" width="13" style="585" customWidth="1"/>
    <col min="11780" max="11780" width="29.7109375" style="585" customWidth="1"/>
    <col min="11781" max="11781" width="7.7109375" style="585" customWidth="1"/>
    <col min="11782" max="11782" width="6" style="585" customWidth="1"/>
    <col min="11783" max="11783" width="11.5703125" style="585" customWidth="1"/>
    <col min="11784" max="11784" width="13.42578125" style="585" customWidth="1"/>
    <col min="11785" max="11785" width="13.85546875" style="585" customWidth="1"/>
    <col min="11786" max="12032" width="9.140625" style="585"/>
    <col min="12033" max="12033" width="13" style="585" customWidth="1"/>
    <col min="12034" max="12034" width="9.140625" style="585"/>
    <col min="12035" max="12035" width="13" style="585" customWidth="1"/>
    <col min="12036" max="12036" width="29.7109375" style="585" customWidth="1"/>
    <col min="12037" max="12037" width="7.7109375" style="585" customWidth="1"/>
    <col min="12038" max="12038" width="6" style="585" customWidth="1"/>
    <col min="12039" max="12039" width="11.5703125" style="585" customWidth="1"/>
    <col min="12040" max="12040" width="13.42578125" style="585" customWidth="1"/>
    <col min="12041" max="12041" width="13.85546875" style="585" customWidth="1"/>
    <col min="12042" max="12288" width="9.140625" style="585"/>
    <col min="12289" max="12289" width="13" style="585" customWidth="1"/>
    <col min="12290" max="12290" width="9.140625" style="585"/>
    <col min="12291" max="12291" width="13" style="585" customWidth="1"/>
    <col min="12292" max="12292" width="29.7109375" style="585" customWidth="1"/>
    <col min="12293" max="12293" width="7.7109375" style="585" customWidth="1"/>
    <col min="12294" max="12294" width="6" style="585" customWidth="1"/>
    <col min="12295" max="12295" width="11.5703125" style="585" customWidth="1"/>
    <col min="12296" max="12296" width="13.42578125" style="585" customWidth="1"/>
    <col min="12297" max="12297" width="13.85546875" style="585" customWidth="1"/>
    <col min="12298" max="12544" width="9.140625" style="585"/>
    <col min="12545" max="12545" width="13" style="585" customWidth="1"/>
    <col min="12546" max="12546" width="9.140625" style="585"/>
    <col min="12547" max="12547" width="13" style="585" customWidth="1"/>
    <col min="12548" max="12548" width="29.7109375" style="585" customWidth="1"/>
    <col min="12549" max="12549" width="7.7109375" style="585" customWidth="1"/>
    <col min="12550" max="12550" width="6" style="585" customWidth="1"/>
    <col min="12551" max="12551" width="11.5703125" style="585" customWidth="1"/>
    <col min="12552" max="12552" width="13.42578125" style="585" customWidth="1"/>
    <col min="12553" max="12553" width="13.85546875" style="585" customWidth="1"/>
    <col min="12554" max="12800" width="9.140625" style="585"/>
    <col min="12801" max="12801" width="13" style="585" customWidth="1"/>
    <col min="12802" max="12802" width="9.140625" style="585"/>
    <col min="12803" max="12803" width="13" style="585" customWidth="1"/>
    <col min="12804" max="12804" width="29.7109375" style="585" customWidth="1"/>
    <col min="12805" max="12805" width="7.7109375" style="585" customWidth="1"/>
    <col min="12806" max="12806" width="6" style="585" customWidth="1"/>
    <col min="12807" max="12807" width="11.5703125" style="585" customWidth="1"/>
    <col min="12808" max="12808" width="13.42578125" style="585" customWidth="1"/>
    <col min="12809" max="12809" width="13.85546875" style="585" customWidth="1"/>
    <col min="12810" max="13056" width="9.140625" style="585"/>
    <col min="13057" max="13057" width="13" style="585" customWidth="1"/>
    <col min="13058" max="13058" width="9.140625" style="585"/>
    <col min="13059" max="13059" width="13" style="585" customWidth="1"/>
    <col min="13060" max="13060" width="29.7109375" style="585" customWidth="1"/>
    <col min="13061" max="13061" width="7.7109375" style="585" customWidth="1"/>
    <col min="13062" max="13062" width="6" style="585" customWidth="1"/>
    <col min="13063" max="13063" width="11.5703125" style="585" customWidth="1"/>
    <col min="13064" max="13064" width="13.42578125" style="585" customWidth="1"/>
    <col min="13065" max="13065" width="13.85546875" style="585" customWidth="1"/>
    <col min="13066" max="13312" width="9.140625" style="585"/>
    <col min="13313" max="13313" width="13" style="585" customWidth="1"/>
    <col min="13314" max="13314" width="9.140625" style="585"/>
    <col min="13315" max="13315" width="13" style="585" customWidth="1"/>
    <col min="13316" max="13316" width="29.7109375" style="585" customWidth="1"/>
    <col min="13317" max="13317" width="7.7109375" style="585" customWidth="1"/>
    <col min="13318" max="13318" width="6" style="585" customWidth="1"/>
    <col min="13319" max="13319" width="11.5703125" style="585" customWidth="1"/>
    <col min="13320" max="13320" width="13.42578125" style="585" customWidth="1"/>
    <col min="13321" max="13321" width="13.85546875" style="585" customWidth="1"/>
    <col min="13322" max="13568" width="9.140625" style="585"/>
    <col min="13569" max="13569" width="13" style="585" customWidth="1"/>
    <col min="13570" max="13570" width="9.140625" style="585"/>
    <col min="13571" max="13571" width="13" style="585" customWidth="1"/>
    <col min="13572" max="13572" width="29.7109375" style="585" customWidth="1"/>
    <col min="13573" max="13573" width="7.7109375" style="585" customWidth="1"/>
    <col min="13574" max="13574" width="6" style="585" customWidth="1"/>
    <col min="13575" max="13575" width="11.5703125" style="585" customWidth="1"/>
    <col min="13576" max="13576" width="13.42578125" style="585" customWidth="1"/>
    <col min="13577" max="13577" width="13.85546875" style="585" customWidth="1"/>
    <col min="13578" max="13824" width="9.140625" style="585"/>
    <col min="13825" max="13825" width="13" style="585" customWidth="1"/>
    <col min="13826" max="13826" width="9.140625" style="585"/>
    <col min="13827" max="13827" width="13" style="585" customWidth="1"/>
    <col min="13828" max="13828" width="29.7109375" style="585" customWidth="1"/>
    <col min="13829" max="13829" width="7.7109375" style="585" customWidth="1"/>
    <col min="13830" max="13830" width="6" style="585" customWidth="1"/>
    <col min="13831" max="13831" width="11.5703125" style="585" customWidth="1"/>
    <col min="13832" max="13832" width="13.42578125" style="585" customWidth="1"/>
    <col min="13833" max="13833" width="13.85546875" style="585" customWidth="1"/>
    <col min="13834" max="14080" width="9.140625" style="585"/>
    <col min="14081" max="14081" width="13" style="585" customWidth="1"/>
    <col min="14082" max="14082" width="9.140625" style="585"/>
    <col min="14083" max="14083" width="13" style="585" customWidth="1"/>
    <col min="14084" max="14084" width="29.7109375" style="585" customWidth="1"/>
    <col min="14085" max="14085" width="7.7109375" style="585" customWidth="1"/>
    <col min="14086" max="14086" width="6" style="585" customWidth="1"/>
    <col min="14087" max="14087" width="11.5703125" style="585" customWidth="1"/>
    <col min="14088" max="14088" width="13.42578125" style="585" customWidth="1"/>
    <col min="14089" max="14089" width="13.85546875" style="585" customWidth="1"/>
    <col min="14090" max="14336" width="9.140625" style="585"/>
    <col min="14337" max="14337" width="13" style="585" customWidth="1"/>
    <col min="14338" max="14338" width="9.140625" style="585"/>
    <col min="14339" max="14339" width="13" style="585" customWidth="1"/>
    <col min="14340" max="14340" width="29.7109375" style="585" customWidth="1"/>
    <col min="14341" max="14341" width="7.7109375" style="585" customWidth="1"/>
    <col min="14342" max="14342" width="6" style="585" customWidth="1"/>
    <col min="14343" max="14343" width="11.5703125" style="585" customWidth="1"/>
    <col min="14344" max="14344" width="13.42578125" style="585" customWidth="1"/>
    <col min="14345" max="14345" width="13.85546875" style="585" customWidth="1"/>
    <col min="14346" max="14592" width="9.140625" style="585"/>
    <col min="14593" max="14593" width="13" style="585" customWidth="1"/>
    <col min="14594" max="14594" width="9.140625" style="585"/>
    <col min="14595" max="14595" width="13" style="585" customWidth="1"/>
    <col min="14596" max="14596" width="29.7109375" style="585" customWidth="1"/>
    <col min="14597" max="14597" width="7.7109375" style="585" customWidth="1"/>
    <col min="14598" max="14598" width="6" style="585" customWidth="1"/>
    <col min="14599" max="14599" width="11.5703125" style="585" customWidth="1"/>
    <col min="14600" max="14600" width="13.42578125" style="585" customWidth="1"/>
    <col min="14601" max="14601" width="13.85546875" style="585" customWidth="1"/>
    <col min="14602" max="14848" width="9.140625" style="585"/>
    <col min="14849" max="14849" width="13" style="585" customWidth="1"/>
    <col min="14850" max="14850" width="9.140625" style="585"/>
    <col min="14851" max="14851" width="13" style="585" customWidth="1"/>
    <col min="14852" max="14852" width="29.7109375" style="585" customWidth="1"/>
    <col min="14853" max="14853" width="7.7109375" style="585" customWidth="1"/>
    <col min="14854" max="14854" width="6" style="585" customWidth="1"/>
    <col min="14855" max="14855" width="11.5703125" style="585" customWidth="1"/>
    <col min="14856" max="14856" width="13.42578125" style="585" customWidth="1"/>
    <col min="14857" max="14857" width="13.85546875" style="585" customWidth="1"/>
    <col min="14858" max="15104" width="9.140625" style="585"/>
    <col min="15105" max="15105" width="13" style="585" customWidth="1"/>
    <col min="15106" max="15106" width="9.140625" style="585"/>
    <col min="15107" max="15107" width="13" style="585" customWidth="1"/>
    <col min="15108" max="15108" width="29.7109375" style="585" customWidth="1"/>
    <col min="15109" max="15109" width="7.7109375" style="585" customWidth="1"/>
    <col min="15110" max="15110" width="6" style="585" customWidth="1"/>
    <col min="15111" max="15111" width="11.5703125" style="585" customWidth="1"/>
    <col min="15112" max="15112" width="13.42578125" style="585" customWidth="1"/>
    <col min="15113" max="15113" width="13.85546875" style="585" customWidth="1"/>
    <col min="15114" max="15360" width="9.140625" style="585"/>
    <col min="15361" max="15361" width="13" style="585" customWidth="1"/>
    <col min="15362" max="15362" width="9.140625" style="585"/>
    <col min="15363" max="15363" width="13" style="585" customWidth="1"/>
    <col min="15364" max="15364" width="29.7109375" style="585" customWidth="1"/>
    <col min="15365" max="15365" width="7.7109375" style="585" customWidth="1"/>
    <col min="15366" max="15366" width="6" style="585" customWidth="1"/>
    <col min="15367" max="15367" width="11.5703125" style="585" customWidth="1"/>
    <col min="15368" max="15368" width="13.42578125" style="585" customWidth="1"/>
    <col min="15369" max="15369" width="13.85546875" style="585" customWidth="1"/>
    <col min="15370" max="15616" width="9.140625" style="585"/>
    <col min="15617" max="15617" width="13" style="585" customWidth="1"/>
    <col min="15618" max="15618" width="9.140625" style="585"/>
    <col min="15619" max="15619" width="13" style="585" customWidth="1"/>
    <col min="15620" max="15620" width="29.7109375" style="585" customWidth="1"/>
    <col min="15621" max="15621" width="7.7109375" style="585" customWidth="1"/>
    <col min="15622" max="15622" width="6" style="585" customWidth="1"/>
    <col min="15623" max="15623" width="11.5703125" style="585" customWidth="1"/>
    <col min="15624" max="15624" width="13.42578125" style="585" customWidth="1"/>
    <col min="15625" max="15625" width="13.85546875" style="585" customWidth="1"/>
    <col min="15626" max="15872" width="9.140625" style="585"/>
    <col min="15873" max="15873" width="13" style="585" customWidth="1"/>
    <col min="15874" max="15874" width="9.140625" style="585"/>
    <col min="15875" max="15875" width="13" style="585" customWidth="1"/>
    <col min="15876" max="15876" width="29.7109375" style="585" customWidth="1"/>
    <col min="15877" max="15877" width="7.7109375" style="585" customWidth="1"/>
    <col min="15878" max="15878" width="6" style="585" customWidth="1"/>
    <col min="15879" max="15879" width="11.5703125" style="585" customWidth="1"/>
    <col min="15880" max="15880" width="13.42578125" style="585" customWidth="1"/>
    <col min="15881" max="15881" width="13.85546875" style="585" customWidth="1"/>
    <col min="15882" max="16128" width="9.140625" style="585"/>
    <col min="16129" max="16129" width="13" style="585" customWidth="1"/>
    <col min="16130" max="16130" width="9.140625" style="585"/>
    <col min="16131" max="16131" width="13" style="585" customWidth="1"/>
    <col min="16132" max="16132" width="29.7109375" style="585" customWidth="1"/>
    <col min="16133" max="16133" width="7.7109375" style="585" customWidth="1"/>
    <col min="16134" max="16134" width="6" style="585" customWidth="1"/>
    <col min="16135" max="16135" width="11.5703125" style="585" customWidth="1"/>
    <col min="16136" max="16136" width="13.42578125" style="585" customWidth="1"/>
    <col min="16137" max="16137" width="13.85546875" style="585" customWidth="1"/>
    <col min="16138" max="16384" width="9.140625" style="585"/>
  </cols>
  <sheetData>
    <row r="1" spans="1:14">
      <c r="A1" s="584" t="str">
        <f>TH!A1</f>
        <v>Đơn vị: CÔNG TY TNHH SX TM KIM DUNG PHÁT</v>
      </c>
      <c r="F1" s="981" t="s">
        <v>335</v>
      </c>
      <c r="G1" s="981"/>
      <c r="H1" s="981"/>
      <c r="I1" s="981"/>
    </row>
    <row r="2" spans="1:14">
      <c r="A2" s="585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586"/>
      <c r="I4" s="586"/>
    </row>
    <row r="5" spans="1:14" ht="26.25" customHeight="1">
      <c r="B5" s="587"/>
      <c r="C5" s="587"/>
      <c r="D5" s="588" t="s">
        <v>336</v>
      </c>
      <c r="E5" s="587"/>
      <c r="F5" s="587"/>
      <c r="G5" s="587"/>
      <c r="H5" s="587"/>
      <c r="I5" s="587"/>
      <c r="J5" s="587"/>
      <c r="K5" s="587"/>
    </row>
    <row r="6" spans="1:14">
      <c r="B6" s="589"/>
      <c r="C6" s="589"/>
      <c r="D6" s="590" t="str">
        <f ca="1">$K$9&amp;"   -   Năm:  " &amp;YEAR(A11)</f>
        <v>Quý III   -   Năm:  2014</v>
      </c>
      <c r="E6" s="589"/>
      <c r="F6" s="589"/>
      <c r="G6" s="589"/>
      <c r="H6" s="589"/>
      <c r="I6" s="589"/>
      <c r="J6" s="589"/>
      <c r="K6" s="589"/>
    </row>
    <row r="7" spans="1:14">
      <c r="A7" s="591"/>
      <c r="B7" s="591"/>
      <c r="C7" s="591"/>
      <c r="D7" s="591"/>
      <c r="E7" s="591"/>
      <c r="F7" s="591"/>
      <c r="G7" s="591"/>
      <c r="H7" s="984" t="s">
        <v>123</v>
      </c>
      <c r="I7" s="984"/>
      <c r="J7" s="591"/>
      <c r="K7" s="591"/>
      <c r="M7" s="983" t="s">
        <v>325</v>
      </c>
      <c r="N7" s="983"/>
    </row>
    <row r="8" spans="1:14" s="785" customFormat="1" ht="23.25" customHeight="1" thickBot="1">
      <c r="A8" s="985" t="s">
        <v>337</v>
      </c>
      <c r="B8" s="987" t="s">
        <v>1</v>
      </c>
      <c r="C8" s="988"/>
      <c r="D8" s="989" t="s">
        <v>0</v>
      </c>
      <c r="E8" s="985" t="s">
        <v>338</v>
      </c>
      <c r="F8" s="982" t="s">
        <v>94</v>
      </c>
      <c r="G8" s="982"/>
      <c r="H8" s="987" t="s">
        <v>21</v>
      </c>
      <c r="I8" s="988"/>
      <c r="J8" s="784"/>
      <c r="K8" s="784"/>
      <c r="M8" s="786">
        <f>IF(K9="Quý I",1,IF(K9="Quý II",4,IF(K9="Quý III",7,IF(K9="Quý IV",10,""))))</f>
        <v>7</v>
      </c>
      <c r="N8" s="786">
        <f>IF(K9="Quý I",3,IF(K9="Quý II",6,IF(K9="Quý III",9,IF(K9="Quý IV",12,""))))</f>
        <v>9</v>
      </c>
    </row>
    <row r="9" spans="1:14" s="785" customFormat="1" ht="28.5" customHeight="1" thickBot="1">
      <c r="A9" s="986"/>
      <c r="B9" s="787" t="s">
        <v>15</v>
      </c>
      <c r="C9" s="787" t="s">
        <v>32</v>
      </c>
      <c r="D9" s="990"/>
      <c r="E9" s="986"/>
      <c r="F9" s="788" t="s">
        <v>22</v>
      </c>
      <c r="G9" s="788" t="s">
        <v>23</v>
      </c>
      <c r="H9" s="787" t="s">
        <v>339</v>
      </c>
      <c r="I9" s="787" t="s">
        <v>23</v>
      </c>
      <c r="K9" s="686" t="s">
        <v>405</v>
      </c>
    </row>
    <row r="10" spans="1:14" s="785" customFormat="1" ht="21" customHeight="1">
      <c r="A10" s="789"/>
      <c r="B10" s="789"/>
      <c r="C10" s="789"/>
      <c r="D10" s="790" t="s">
        <v>342</v>
      </c>
      <c r="E10" s="791"/>
      <c r="F10" s="789"/>
      <c r="G10" s="789"/>
      <c r="H10" s="792">
        <f>SUMIF(_M,"&lt;"&amp;$M$8,TH)</f>
        <v>7516128830</v>
      </c>
      <c r="I10" s="792">
        <f>SUMIF(_M,"&lt;"&amp;$M$8,TH)</f>
        <v>7516128830</v>
      </c>
    </row>
    <row r="11" spans="1:14" s="785" customFormat="1" ht="21" customHeight="1">
      <c r="A11" s="793">
        <f ca="1">IF(ROWS($1:1)&gt;COUNT(Dong6),"",OFFSET(TH!C$1,SMALL(Dong6,ROWS($1:1)),))</f>
        <v>41821</v>
      </c>
      <c r="B11" s="794" t="str">
        <f ca="1">IF(ROWS($1:1)&gt;COUNT(Dong6),"",OFFSET(TH!D$1,SMALL(Dong6,ROWS($1:1)),))</f>
        <v>CTGS</v>
      </c>
      <c r="C11" s="793">
        <f ca="1">IF(ROWS($1:1)&gt;COUNT(Dong6),"",OFFSET(TH!E$1,SMALL(Dong6,ROWS($1:1)),))</f>
        <v>41821</v>
      </c>
      <c r="D11" s="795" t="str">
        <f ca="1">IF(ROWS($1:1)&gt;COUNT(Dong6),"",OFFSET(TH!F$1,SMALL(Dong6,ROWS($1:1)),))</f>
        <v>Trích khấu hao TSCĐ Hữu hình</v>
      </c>
      <c r="E11" s="794">
        <f t="shared" ref="E11:E40" ca="1" si="0">IF(D11&lt;&gt;"",ROW()-10,"")</f>
        <v>1</v>
      </c>
      <c r="F11" s="796" t="str">
        <f ca="1">IF(ROWS($1:1)&gt;COUNT(Dong6),"",OFFSET(TH!L$1,SMALL(Dong6,ROWS($1:1)),))</f>
        <v>154</v>
      </c>
      <c r="G11" s="796" t="str">
        <f ca="1">IF(ROWS($1:1)&gt;COUNT(Dong6),"",OFFSET(TH!M$1,SMALL(Dong6,ROWS($1:1)),))</f>
        <v>2141</v>
      </c>
      <c r="H11" s="671">
        <f ca="1">IF(ROWS($1:1)&gt;COUNT(Dong6),"",OFFSET(TH!K$1,SMALL(Dong6,ROWS($1:1)),))</f>
        <v>30750000</v>
      </c>
      <c r="I11" s="671">
        <f ca="1">IF(ROWS($1:1)&gt;COUNT(Dong6),"",OFFSET(TH!K$1,SMALL(Dong6,ROWS($1:1)),))</f>
        <v>30750000</v>
      </c>
    </row>
    <row r="12" spans="1:14" s="785" customFormat="1" ht="21" customHeight="1">
      <c r="A12" s="793">
        <f ca="1">IF(ROWS($1:2)&gt;COUNT(Dong6),"",OFFSET(TH!C$1,SMALL(Dong6,ROWS($1:2)),))</f>
        <v>41851</v>
      </c>
      <c r="B12" s="794" t="str">
        <f ca="1">IF(ROWS($1:2)&gt;COUNT(Dong6),"",OFFSET(TH!D$1,SMALL(Dong6,ROWS($1:2)),))</f>
        <v>CTGS</v>
      </c>
      <c r="C12" s="793">
        <f ca="1">IF(ROWS($1:2)&gt;COUNT(Dong6),"",OFFSET(TH!E$1,SMALL(Dong6,ROWS($1:2)),))</f>
        <v>41851</v>
      </c>
      <c r="D12" s="795" t="str">
        <f ca="1">IF(ROWS($1:2)&gt;COUNT(Dong6),"",OFFSET(TH!F$1,SMALL(Dong6,ROWS($1:2)),))</f>
        <v>Tiền lương BP Văn phòng</v>
      </c>
      <c r="E12" s="794">
        <f t="shared" ca="1" si="0"/>
        <v>2</v>
      </c>
      <c r="F12" s="796" t="str">
        <f ca="1">IF(ROWS($1:2)&gt;COUNT(Dong6),"",OFFSET(TH!L$1,SMALL(Dong6,ROWS($1:2)),))</f>
        <v>642</v>
      </c>
      <c r="G12" s="796" t="str">
        <f ca="1">IF(ROWS($1:2)&gt;COUNT(Dong6),"",OFFSET(TH!M$1,SMALL(Dong6,ROWS($1:2)),))</f>
        <v>3341</v>
      </c>
      <c r="H12" s="671">
        <f ca="1">IF(ROWS($1:2)&gt;COUNT(Dong6),"",OFFSET(TH!K$1,SMALL(Dong6,ROWS($1:2)),))</f>
        <v>15215000</v>
      </c>
      <c r="I12" s="671">
        <f ca="1">IF(ROWS($1:2)&gt;COUNT(Dong6),"",OFFSET(TH!K$1,SMALL(Dong6,ROWS($1:2)),))</f>
        <v>15215000</v>
      </c>
    </row>
    <row r="13" spans="1:14" s="785" customFormat="1" ht="21" customHeight="1">
      <c r="A13" s="793">
        <f ca="1">IF(ROWS($1:3)&gt;COUNT(Dong6),"",OFFSET(TH!C$1,SMALL(Dong6,ROWS($1:3)),))</f>
        <v>41851</v>
      </c>
      <c r="B13" s="794" t="str">
        <f ca="1">IF(ROWS($1:3)&gt;COUNT(Dong6),"",OFFSET(TH!D$1,SMALL(Dong6,ROWS($1:3)),))</f>
        <v>CTGS</v>
      </c>
      <c r="C13" s="793">
        <f ca="1">IF(ROWS($1:3)&gt;COUNT(Dong6),"",OFFSET(TH!E$1,SMALL(Dong6,ROWS($1:3)),))</f>
        <v>41851</v>
      </c>
      <c r="D13" s="795" t="str">
        <f ca="1">IF(ROWS($1:3)&gt;COUNT(Dong6),"",OFFSET(TH!F$1,SMALL(Dong6,ROWS($1:3)),))</f>
        <v>Tiền lương BP Phân Xưởng &amp; CN</v>
      </c>
      <c r="E13" s="794">
        <f t="shared" ca="1" si="0"/>
        <v>3</v>
      </c>
      <c r="F13" s="796" t="str">
        <f ca="1">IF(ROWS($1:3)&gt;COUNT(Dong6),"",OFFSET(TH!L$1,SMALL(Dong6,ROWS($1:3)),))</f>
        <v>154</v>
      </c>
      <c r="G13" s="796" t="str">
        <f ca="1">IF(ROWS($1:3)&gt;COUNT(Dong6),"",OFFSET(TH!M$1,SMALL(Dong6,ROWS($1:3)),))</f>
        <v>3341</v>
      </c>
      <c r="H13" s="671">
        <f ca="1">IF(ROWS($1:3)&gt;COUNT(Dong6),"",OFFSET(TH!K$1,SMALL(Dong6,ROWS($1:3)),))</f>
        <v>31135000</v>
      </c>
      <c r="I13" s="671">
        <f ca="1">IF(ROWS($1:3)&gt;COUNT(Dong6),"",OFFSET(TH!K$1,SMALL(Dong6,ROWS($1:3)),))</f>
        <v>31135000</v>
      </c>
    </row>
    <row r="14" spans="1:14" s="785" customFormat="1" ht="21" customHeight="1">
      <c r="A14" s="793">
        <f ca="1">IF(ROWS($1:4)&gt;COUNT(Dong6),"",OFFSET(TH!C$1,SMALL(Dong6,ROWS($1:4)),))</f>
        <v>41851</v>
      </c>
      <c r="B14" s="794" t="str">
        <f ca="1">IF(ROWS($1:4)&gt;COUNT(Dong6),"",OFFSET(TH!D$1,SMALL(Dong6,ROWS($1:4)),))</f>
        <v>CTGS</v>
      </c>
      <c r="C14" s="793">
        <f ca="1">IF(ROWS($1:4)&gt;COUNT(Dong6),"",OFFSET(TH!E$1,SMALL(Dong6,ROWS($1:4)),))</f>
        <v>41851</v>
      </c>
      <c r="D14" s="795" t="str">
        <f ca="1">IF(ROWS($1:4)&gt;COUNT(Dong6),"",OFFSET(TH!F$1,SMALL(Dong6,ROWS($1:4)),))</f>
        <v>Thanh toán tiền lương tháng 7/2014</v>
      </c>
      <c r="E14" s="794">
        <f t="shared" ca="1" si="0"/>
        <v>4</v>
      </c>
      <c r="F14" s="796" t="str">
        <f ca="1">IF(ROWS($1:4)&gt;COUNT(Dong6),"",OFFSET(TH!L$1,SMALL(Dong6,ROWS($1:4)),))</f>
        <v>3341</v>
      </c>
      <c r="G14" s="796" t="str">
        <f ca="1">IF(ROWS($1:4)&gt;COUNT(Dong6),"",OFFSET(TH!M$1,SMALL(Dong6,ROWS($1:4)),))</f>
        <v>1111</v>
      </c>
      <c r="H14" s="671">
        <f ca="1">IF(ROWS($1:4)&gt;COUNT(Dong6),"",OFFSET(TH!K$1,SMALL(Dong6,ROWS($1:4)),))</f>
        <v>46350000</v>
      </c>
      <c r="I14" s="671">
        <f ca="1">IF(ROWS($1:4)&gt;COUNT(Dong6),"",OFFSET(TH!K$1,SMALL(Dong6,ROWS($1:4)),))</f>
        <v>46350000</v>
      </c>
    </row>
    <row r="15" spans="1:14" s="785" customFormat="1" ht="21" customHeight="1">
      <c r="A15" s="793">
        <f ca="1">IF(ROWS($1:5)&gt;COUNT(Dong6),"",OFFSET(TH!C$1,SMALL(Dong6,ROWS($1:5)),))</f>
        <v>41882</v>
      </c>
      <c r="B15" s="794" t="str">
        <f ca="1">IF(ROWS($1:5)&gt;COUNT(Dong6),"",OFFSET(TH!D$1,SMALL(Dong6,ROWS($1:5)),))</f>
        <v>CTGS</v>
      </c>
      <c r="C15" s="793">
        <f ca="1">IF(ROWS($1:5)&gt;COUNT(Dong6),"",OFFSET(TH!E$1,SMALL(Dong6,ROWS($1:5)),))</f>
        <v>41882</v>
      </c>
      <c r="D15" s="795" t="str">
        <f ca="1">IF(ROWS($1:5)&gt;COUNT(Dong6),"",OFFSET(TH!F$1,SMALL(Dong6,ROWS($1:5)),))</f>
        <v>Tiền lương BP Văn phòng</v>
      </c>
      <c r="E15" s="794">
        <f t="shared" ca="1" si="0"/>
        <v>5</v>
      </c>
      <c r="F15" s="796" t="str">
        <f ca="1">IF(ROWS($1:5)&gt;COUNT(Dong6),"",OFFSET(TH!L$1,SMALL(Dong6,ROWS($1:5)),))</f>
        <v>642</v>
      </c>
      <c r="G15" s="796" t="str">
        <f ca="1">IF(ROWS($1:5)&gt;COUNT(Dong6),"",OFFSET(TH!M$1,SMALL(Dong6,ROWS($1:5)),))</f>
        <v>3341</v>
      </c>
      <c r="H15" s="671">
        <f ca="1">IF(ROWS($1:5)&gt;COUNT(Dong6),"",OFFSET(TH!K$1,SMALL(Dong6,ROWS($1:5)),))</f>
        <v>15170000</v>
      </c>
      <c r="I15" s="671">
        <f ca="1">IF(ROWS($1:5)&gt;COUNT(Dong6),"",OFFSET(TH!K$1,SMALL(Dong6,ROWS($1:5)),))</f>
        <v>15170000</v>
      </c>
    </row>
    <row r="16" spans="1:14" s="785" customFormat="1" ht="21" customHeight="1">
      <c r="A16" s="793">
        <f ca="1">IF(ROWS($1:6)&gt;COUNT(Dong6),"",OFFSET(TH!C$1,SMALL(Dong6,ROWS($1:6)),))</f>
        <v>41882</v>
      </c>
      <c r="B16" s="794" t="str">
        <f ca="1">IF(ROWS($1:6)&gt;COUNT(Dong6),"",OFFSET(TH!D$1,SMALL(Dong6,ROWS($1:6)),))</f>
        <v>CTGS</v>
      </c>
      <c r="C16" s="793">
        <f ca="1">IF(ROWS($1:6)&gt;COUNT(Dong6),"",OFFSET(TH!E$1,SMALL(Dong6,ROWS($1:6)),))</f>
        <v>41882</v>
      </c>
      <c r="D16" s="795" t="str">
        <f ca="1">IF(ROWS($1:6)&gt;COUNT(Dong6),"",OFFSET(TH!F$1,SMALL(Dong6,ROWS($1:6)),))</f>
        <v>Tiền lương BP Phân Xưởng &amp; CN</v>
      </c>
      <c r="E16" s="794">
        <f t="shared" ca="1" si="0"/>
        <v>6</v>
      </c>
      <c r="F16" s="796" t="str">
        <f ca="1">IF(ROWS($1:6)&gt;COUNT(Dong6),"",OFFSET(TH!L$1,SMALL(Dong6,ROWS($1:6)),))</f>
        <v>154</v>
      </c>
      <c r="G16" s="796" t="str">
        <f ca="1">IF(ROWS($1:6)&gt;COUNT(Dong6),"",OFFSET(TH!M$1,SMALL(Dong6,ROWS($1:6)),))</f>
        <v>3341</v>
      </c>
      <c r="H16" s="671">
        <f ca="1">IF(ROWS($1:6)&gt;COUNT(Dong6),"",OFFSET(TH!K$1,SMALL(Dong6,ROWS($1:6)),))</f>
        <v>31030000</v>
      </c>
      <c r="I16" s="671">
        <f ca="1">IF(ROWS($1:6)&gt;COUNT(Dong6),"",OFFSET(TH!K$1,SMALL(Dong6,ROWS($1:6)),))</f>
        <v>31030000</v>
      </c>
    </row>
    <row r="17" spans="1:9" s="785" customFormat="1" ht="21" customHeight="1">
      <c r="A17" s="793">
        <f ca="1">IF(ROWS($1:7)&gt;COUNT(Dong6),"",OFFSET(TH!C$1,SMALL(Dong6,ROWS($1:7)),))</f>
        <v>41882</v>
      </c>
      <c r="B17" s="794" t="str">
        <f ca="1">IF(ROWS($1:7)&gt;COUNT(Dong6),"",OFFSET(TH!D$1,SMALL(Dong6,ROWS($1:7)),))</f>
        <v>CTGS</v>
      </c>
      <c r="C17" s="793">
        <f ca="1">IF(ROWS($1:7)&gt;COUNT(Dong6),"",OFFSET(TH!E$1,SMALL(Dong6,ROWS($1:7)),))</f>
        <v>41882</v>
      </c>
      <c r="D17" s="795" t="str">
        <f ca="1">IF(ROWS($1:7)&gt;COUNT(Dong6),"",OFFSET(TH!F$1,SMALL(Dong6,ROWS($1:7)),))</f>
        <v>Thanh toán tiền lương tháng 8/2014</v>
      </c>
      <c r="E17" s="794">
        <f t="shared" ca="1" si="0"/>
        <v>7</v>
      </c>
      <c r="F17" s="796" t="str">
        <f ca="1">IF(ROWS($1:7)&gt;COUNT(Dong6),"",OFFSET(TH!L$1,SMALL(Dong6,ROWS($1:7)),))</f>
        <v>3341</v>
      </c>
      <c r="G17" s="796" t="str">
        <f ca="1">IF(ROWS($1:7)&gt;COUNT(Dong6),"",OFFSET(TH!M$1,SMALL(Dong6,ROWS($1:7)),))</f>
        <v>1111</v>
      </c>
      <c r="H17" s="671">
        <f ca="1">IF(ROWS($1:7)&gt;COUNT(Dong6),"",OFFSET(TH!K$1,SMALL(Dong6,ROWS($1:7)),))</f>
        <v>46200000</v>
      </c>
      <c r="I17" s="671">
        <f ca="1">IF(ROWS($1:7)&gt;COUNT(Dong6),"",OFFSET(TH!K$1,SMALL(Dong6,ROWS($1:7)),))</f>
        <v>46200000</v>
      </c>
    </row>
    <row r="18" spans="1:9" s="785" customFormat="1" ht="21" customHeight="1">
      <c r="A18" s="793">
        <f ca="1">IF(ROWS($1:8)&gt;COUNT(Dong6),"",OFFSET(TH!C$1,SMALL(Dong6,ROWS($1:8)),))</f>
        <v>41912</v>
      </c>
      <c r="B18" s="794" t="str">
        <f ca="1">IF(ROWS($1:8)&gt;COUNT(Dong6),"",OFFSET(TH!D$1,SMALL(Dong6,ROWS($1:8)),))</f>
        <v>CTGS</v>
      </c>
      <c r="C18" s="793">
        <f ca="1">IF(ROWS($1:8)&gt;COUNT(Dong6),"",OFFSET(TH!E$1,SMALL(Dong6,ROWS($1:8)),))</f>
        <v>41912</v>
      </c>
      <c r="D18" s="795" t="str">
        <f ca="1">IF(ROWS($1:8)&gt;COUNT(Dong6),"",OFFSET(TH!F$1,SMALL(Dong6,ROWS($1:8)),))</f>
        <v>Tiền lương BP Văn phòng</v>
      </c>
      <c r="E18" s="794">
        <f t="shared" ca="1" si="0"/>
        <v>8</v>
      </c>
      <c r="F18" s="796" t="str">
        <f ca="1">IF(ROWS($1:8)&gt;COUNT(Dong6),"",OFFSET(TH!L$1,SMALL(Dong6,ROWS($1:8)),))</f>
        <v>642</v>
      </c>
      <c r="G18" s="796" t="str">
        <f ca="1">IF(ROWS($1:8)&gt;COUNT(Dong6),"",OFFSET(TH!M$1,SMALL(Dong6,ROWS($1:8)),))</f>
        <v>3341</v>
      </c>
      <c r="H18" s="671">
        <f ca="1">IF(ROWS($1:8)&gt;COUNT(Dong6),"",OFFSET(TH!K$1,SMALL(Dong6,ROWS($1:8)),))</f>
        <v>15125000</v>
      </c>
      <c r="I18" s="671">
        <f ca="1">IF(ROWS($1:8)&gt;COUNT(Dong6),"",OFFSET(TH!K$1,SMALL(Dong6,ROWS($1:8)),))</f>
        <v>15125000</v>
      </c>
    </row>
    <row r="19" spans="1:9" s="785" customFormat="1" ht="21" customHeight="1">
      <c r="A19" s="793">
        <f ca="1">IF(ROWS($1:9)&gt;COUNT(Dong6),"",OFFSET(TH!C$1,SMALL(Dong6,ROWS($1:9)),))</f>
        <v>41912</v>
      </c>
      <c r="B19" s="794" t="str">
        <f ca="1">IF(ROWS($1:9)&gt;COUNT(Dong6),"",OFFSET(TH!D$1,SMALL(Dong6,ROWS($1:9)),))</f>
        <v>CTGS</v>
      </c>
      <c r="C19" s="793">
        <f ca="1">IF(ROWS($1:9)&gt;COUNT(Dong6),"",OFFSET(TH!E$1,SMALL(Dong6,ROWS($1:9)),))</f>
        <v>41912</v>
      </c>
      <c r="D19" s="795" t="str">
        <f ca="1">IF(ROWS($1:9)&gt;COUNT(Dong6),"",OFFSET(TH!F$1,SMALL(Dong6,ROWS($1:9)),))</f>
        <v>Tiền lương BP Phân Xưởng &amp; CN</v>
      </c>
      <c r="E19" s="794">
        <f t="shared" ca="1" si="0"/>
        <v>9</v>
      </c>
      <c r="F19" s="796" t="str">
        <f ca="1">IF(ROWS($1:9)&gt;COUNT(Dong6),"",OFFSET(TH!L$1,SMALL(Dong6,ROWS($1:9)),))</f>
        <v>154</v>
      </c>
      <c r="G19" s="796" t="str">
        <f ca="1">IF(ROWS($1:9)&gt;COUNT(Dong6),"",OFFSET(TH!M$1,SMALL(Dong6,ROWS($1:9)),))</f>
        <v>3341</v>
      </c>
      <c r="H19" s="671">
        <f ca="1">IF(ROWS($1:9)&gt;COUNT(Dong6),"",OFFSET(TH!K$1,SMALL(Dong6,ROWS($1:9)),))</f>
        <v>30925000</v>
      </c>
      <c r="I19" s="671">
        <f ca="1">IF(ROWS($1:9)&gt;COUNT(Dong6),"",OFFSET(TH!K$1,SMALL(Dong6,ROWS($1:9)),))</f>
        <v>30925000</v>
      </c>
    </row>
    <row r="20" spans="1:9" s="785" customFormat="1" ht="21" customHeight="1">
      <c r="A20" s="793">
        <f ca="1">IF(ROWS($1:10)&gt;COUNT(Dong6),"",OFFSET(TH!C$1,SMALL(Dong6,ROWS($1:10)),))</f>
        <v>41912</v>
      </c>
      <c r="B20" s="794" t="str">
        <f ca="1">IF(ROWS($1:10)&gt;COUNT(Dong6),"",OFFSET(TH!D$1,SMALL(Dong6,ROWS($1:10)),))</f>
        <v>CTGS</v>
      </c>
      <c r="C20" s="793">
        <f ca="1">IF(ROWS($1:10)&gt;COUNT(Dong6),"",OFFSET(TH!E$1,SMALL(Dong6,ROWS($1:10)),))</f>
        <v>41912</v>
      </c>
      <c r="D20" s="795" t="str">
        <f ca="1">IF(ROWS($1:10)&gt;COUNT(Dong6),"",OFFSET(TH!F$1,SMALL(Dong6,ROWS($1:10)),))</f>
        <v>Thanh toán tiền lương tháng 9/2014</v>
      </c>
      <c r="E20" s="794">
        <f t="shared" ca="1" si="0"/>
        <v>10</v>
      </c>
      <c r="F20" s="796" t="str">
        <f ca="1">IF(ROWS($1:10)&gt;COUNT(Dong6),"",OFFSET(TH!L$1,SMALL(Dong6,ROWS($1:10)),))</f>
        <v>3341</v>
      </c>
      <c r="G20" s="796" t="str">
        <f ca="1">IF(ROWS($1:10)&gt;COUNT(Dong6),"",OFFSET(TH!M$1,SMALL(Dong6,ROWS($1:10)),))</f>
        <v>1111</v>
      </c>
      <c r="H20" s="671">
        <f ca="1">IF(ROWS($1:10)&gt;COUNT(Dong6),"",OFFSET(TH!K$1,SMALL(Dong6,ROWS($1:10)),))</f>
        <v>46050000</v>
      </c>
      <c r="I20" s="671">
        <f ca="1">IF(ROWS($1:10)&gt;COUNT(Dong6),"",OFFSET(TH!K$1,SMALL(Dong6,ROWS($1:10)),))</f>
        <v>46050000</v>
      </c>
    </row>
    <row r="21" spans="1:9" s="785" customFormat="1" ht="21" customHeight="1">
      <c r="A21" s="793">
        <f ca="1">IF(ROWS($1:11)&gt;COUNT(Dong6),"",OFFSET(TH!C$1,SMALL(Dong6,ROWS($1:11)),))</f>
        <v>41831</v>
      </c>
      <c r="B21" s="794" t="str">
        <f ca="1">IF(ROWS($1:11)&gt;COUNT(Dong6),"",OFFSET(TH!D$1,SMALL(Dong6,ROWS($1:11)),))</f>
        <v>TP/X01</v>
      </c>
      <c r="C21" s="793">
        <f ca="1">IF(ROWS($1:11)&gt;COUNT(Dong6),"",OFFSET(TH!E$1,SMALL(Dong6,ROWS($1:11)),))</f>
        <v>41831</v>
      </c>
      <c r="D21" s="795" t="str">
        <f ca="1">IF(ROWS($1:11)&gt;COUNT(Dong6),"",OFFSET(TH!F$1,SMALL(Dong6,ROWS($1:11)),))</f>
        <v>Thùng (59x38x17)</v>
      </c>
      <c r="E21" s="794">
        <f t="shared" ca="1" si="0"/>
        <v>11</v>
      </c>
      <c r="F21" s="796" t="str">
        <f ca="1">IF(ROWS($1:11)&gt;COUNT(Dong6),"",OFFSET(TH!L$1,SMALL(Dong6,ROWS($1:11)),))</f>
        <v>131</v>
      </c>
      <c r="G21" s="796" t="str">
        <f ca="1">IF(ROWS($1:11)&gt;COUNT(Dong6),"",OFFSET(TH!M$1,SMALL(Dong6,ROWS($1:11)),))</f>
        <v>5112</v>
      </c>
      <c r="H21" s="671">
        <f ca="1">IF(ROWS($1:11)&gt;COUNT(Dong6),"",OFFSET(TH!K$1,SMALL(Dong6,ROWS($1:11)),))</f>
        <v>4788000</v>
      </c>
      <c r="I21" s="671">
        <f ca="1">IF(ROWS($1:11)&gt;COUNT(Dong6),"",OFFSET(TH!K$1,SMALL(Dong6,ROWS($1:11)),))</f>
        <v>4788000</v>
      </c>
    </row>
    <row r="22" spans="1:9" s="785" customFormat="1" ht="21" customHeight="1">
      <c r="A22" s="793">
        <f ca="1">IF(ROWS($1:12)&gt;COUNT(Dong6),"",OFFSET(TH!C$1,SMALL(Dong6,ROWS($1:12)),))</f>
        <v>41831</v>
      </c>
      <c r="B22" s="794" t="str">
        <f ca="1">IF(ROWS($1:12)&gt;COUNT(Dong6),"",OFFSET(TH!D$1,SMALL(Dong6,ROWS($1:12)),))</f>
        <v>TP/X01</v>
      </c>
      <c r="C22" s="793">
        <f ca="1">IF(ROWS($1:12)&gt;COUNT(Dong6),"",OFFSET(TH!E$1,SMALL(Dong6,ROWS($1:12)),))</f>
        <v>41831</v>
      </c>
      <c r="D22" s="795" t="str">
        <f ca="1">IF(ROWS($1:12)&gt;COUNT(Dong6),"",OFFSET(TH!F$1,SMALL(Dong6,ROWS($1:12)),))</f>
        <v>Thùng (59x38x17)</v>
      </c>
      <c r="E22" s="794">
        <f t="shared" ca="1" si="0"/>
        <v>12</v>
      </c>
      <c r="F22" s="796" t="str">
        <f ca="1">IF(ROWS($1:12)&gt;COUNT(Dong6),"",OFFSET(TH!L$1,SMALL(Dong6,ROWS($1:12)),))</f>
        <v>131</v>
      </c>
      <c r="G22" s="796" t="str">
        <f ca="1">IF(ROWS($1:12)&gt;COUNT(Dong6),"",OFFSET(TH!M$1,SMALL(Dong6,ROWS($1:12)),))</f>
        <v>5112</v>
      </c>
      <c r="H22" s="671">
        <f ca="1">IF(ROWS($1:12)&gt;COUNT(Dong6),"",OFFSET(TH!K$1,SMALL(Dong6,ROWS($1:12)),))</f>
        <v>6768000</v>
      </c>
      <c r="I22" s="671">
        <f ca="1">IF(ROWS($1:12)&gt;COUNT(Dong6),"",OFFSET(TH!K$1,SMALL(Dong6,ROWS($1:12)),))</f>
        <v>6768000</v>
      </c>
    </row>
    <row r="23" spans="1:9" s="785" customFormat="1" ht="21" customHeight="1">
      <c r="A23" s="793">
        <f ca="1">IF(ROWS($1:13)&gt;COUNT(Dong6),"",OFFSET(TH!C$1,SMALL(Dong6,ROWS($1:13)),))</f>
        <v>41831</v>
      </c>
      <c r="B23" s="794" t="str">
        <f ca="1">IF(ROWS($1:13)&gt;COUNT(Dong6),"",OFFSET(TH!D$1,SMALL(Dong6,ROWS($1:13)),))</f>
        <v>TP/X01</v>
      </c>
      <c r="C23" s="793">
        <f ca="1">IF(ROWS($1:13)&gt;COUNT(Dong6),"",OFFSET(TH!E$1,SMALL(Dong6,ROWS($1:13)),))</f>
        <v>41831</v>
      </c>
      <c r="D23" s="795" t="str">
        <f ca="1">IF(ROWS($1:13)&gt;COUNT(Dong6),"",OFFSET(TH!F$1,SMALL(Dong6,ROWS($1:13)),))</f>
        <v>VAT Thùng carton</v>
      </c>
      <c r="E23" s="794">
        <f t="shared" ca="1" si="0"/>
        <v>13</v>
      </c>
      <c r="F23" s="796" t="str">
        <f ca="1">IF(ROWS($1:13)&gt;COUNT(Dong6),"",OFFSET(TH!L$1,SMALL(Dong6,ROWS($1:13)),))</f>
        <v>131</v>
      </c>
      <c r="G23" s="796" t="str">
        <f ca="1">IF(ROWS($1:13)&gt;COUNT(Dong6),"",OFFSET(TH!M$1,SMALL(Dong6,ROWS($1:13)),))</f>
        <v>3331</v>
      </c>
      <c r="H23" s="671">
        <f ca="1">IF(ROWS($1:13)&gt;COUNT(Dong6),"",OFFSET(TH!K$1,SMALL(Dong6,ROWS($1:13)),))</f>
        <v>1155600</v>
      </c>
      <c r="I23" s="671">
        <f ca="1">IF(ROWS($1:13)&gt;COUNT(Dong6),"",OFFSET(TH!K$1,SMALL(Dong6,ROWS($1:13)),))</f>
        <v>1155600</v>
      </c>
    </row>
    <row r="24" spans="1:9" s="785" customFormat="1" ht="21" customHeight="1">
      <c r="A24" s="793">
        <f ca="1">IF(ROWS($1:14)&gt;COUNT(Dong6),"",OFFSET(TH!C$1,SMALL(Dong6,ROWS($1:14)),))</f>
        <v>41832</v>
      </c>
      <c r="B24" s="794" t="str">
        <f ca="1">IF(ROWS($1:14)&gt;COUNT(Dong6),"",OFFSET(TH!D$1,SMALL(Dong6,ROWS($1:14)),))</f>
        <v>TP/X02</v>
      </c>
      <c r="C24" s="793">
        <f ca="1">IF(ROWS($1:14)&gt;COUNT(Dong6),"",OFFSET(TH!E$1,SMALL(Dong6,ROWS($1:14)),))</f>
        <v>41832</v>
      </c>
      <c r="D24" s="795" t="str">
        <f ca="1">IF(ROWS($1:14)&gt;COUNT(Dong6),"",OFFSET(TH!F$1,SMALL(Dong6,ROWS($1:14)),))</f>
        <v>Thùng (47x34x25)</v>
      </c>
      <c r="E24" s="794">
        <f t="shared" ca="1" si="0"/>
        <v>14</v>
      </c>
      <c r="F24" s="796" t="str">
        <f ca="1">IF(ROWS($1:14)&gt;COUNT(Dong6),"",OFFSET(TH!L$1,SMALL(Dong6,ROWS($1:14)),))</f>
        <v>131</v>
      </c>
      <c r="G24" s="796" t="str">
        <f ca="1">IF(ROWS($1:14)&gt;COUNT(Dong6),"",OFFSET(TH!M$1,SMALL(Dong6,ROWS($1:14)),))</f>
        <v>5112</v>
      </c>
      <c r="H24" s="671">
        <f ca="1">IF(ROWS($1:14)&gt;COUNT(Dong6),"",OFFSET(TH!K$1,SMALL(Dong6,ROWS($1:14)),))</f>
        <v>4126500</v>
      </c>
      <c r="I24" s="671">
        <f ca="1">IF(ROWS($1:14)&gt;COUNT(Dong6),"",OFFSET(TH!K$1,SMALL(Dong6,ROWS($1:14)),))</f>
        <v>4126500</v>
      </c>
    </row>
    <row r="25" spans="1:9" s="785" customFormat="1" ht="21" customHeight="1">
      <c r="A25" s="793">
        <f ca="1">IF(ROWS($1:15)&gt;COUNT(Dong6),"",OFFSET(TH!C$1,SMALL(Dong6,ROWS($1:15)),))</f>
        <v>41832</v>
      </c>
      <c r="B25" s="794" t="str">
        <f ca="1">IF(ROWS($1:15)&gt;COUNT(Dong6),"",OFFSET(TH!D$1,SMALL(Dong6,ROWS($1:15)),))</f>
        <v>TP/X02</v>
      </c>
      <c r="C25" s="793">
        <f ca="1">IF(ROWS($1:15)&gt;COUNT(Dong6),"",OFFSET(TH!E$1,SMALL(Dong6,ROWS($1:15)),))</f>
        <v>41832</v>
      </c>
      <c r="D25" s="795" t="str">
        <f ca="1">IF(ROWS($1:15)&gt;COUNT(Dong6),"",OFFSET(TH!F$1,SMALL(Dong6,ROWS($1:15)),))</f>
        <v>Thùng (51x38x25)</v>
      </c>
      <c r="E25" s="794">
        <f t="shared" ca="1" si="0"/>
        <v>15</v>
      </c>
      <c r="F25" s="796" t="str">
        <f ca="1">IF(ROWS($1:15)&gt;COUNT(Dong6),"",OFFSET(TH!L$1,SMALL(Dong6,ROWS($1:15)),))</f>
        <v>131</v>
      </c>
      <c r="G25" s="796" t="str">
        <f ca="1">IF(ROWS($1:15)&gt;COUNT(Dong6),"",OFFSET(TH!M$1,SMALL(Dong6,ROWS($1:15)),))</f>
        <v>5112</v>
      </c>
      <c r="H25" s="671">
        <f ca="1">IF(ROWS($1:15)&gt;COUNT(Dong6),"",OFFSET(TH!K$1,SMALL(Dong6,ROWS($1:15)),))</f>
        <v>6144000</v>
      </c>
      <c r="I25" s="671">
        <f ca="1">IF(ROWS($1:15)&gt;COUNT(Dong6),"",OFFSET(TH!K$1,SMALL(Dong6,ROWS($1:15)),))</f>
        <v>6144000</v>
      </c>
    </row>
    <row r="26" spans="1:9" s="785" customFormat="1" ht="21" customHeight="1">
      <c r="A26" s="793">
        <f ca="1">IF(ROWS($1:16)&gt;COUNT(Dong6),"",OFFSET(TH!C$1,SMALL(Dong6,ROWS($1:16)),))</f>
        <v>41832</v>
      </c>
      <c r="B26" s="794" t="str">
        <f ca="1">IF(ROWS($1:16)&gt;COUNT(Dong6),"",OFFSET(TH!D$1,SMALL(Dong6,ROWS($1:16)),))</f>
        <v>TP/X02</v>
      </c>
      <c r="C26" s="793">
        <f ca="1">IF(ROWS($1:16)&gt;COUNT(Dong6),"",OFFSET(TH!E$1,SMALL(Dong6,ROWS($1:16)),))</f>
        <v>41832</v>
      </c>
      <c r="D26" s="795" t="str">
        <f ca="1">IF(ROWS($1:16)&gt;COUNT(Dong6),"",OFFSET(TH!F$1,SMALL(Dong6,ROWS($1:16)),))</f>
        <v>Thùng (45x42x22)</v>
      </c>
      <c r="E26" s="794">
        <f t="shared" ca="1" si="0"/>
        <v>16</v>
      </c>
      <c r="F26" s="796" t="str">
        <f ca="1">IF(ROWS($1:16)&gt;COUNT(Dong6),"",OFFSET(TH!L$1,SMALL(Dong6,ROWS($1:16)),))</f>
        <v>131</v>
      </c>
      <c r="G26" s="796" t="str">
        <f ca="1">IF(ROWS($1:16)&gt;COUNT(Dong6),"",OFFSET(TH!M$1,SMALL(Dong6,ROWS($1:16)),))</f>
        <v>5112</v>
      </c>
      <c r="H26" s="671">
        <f ca="1">IF(ROWS($1:16)&gt;COUNT(Dong6),"",OFFSET(TH!K$1,SMALL(Dong6,ROWS($1:16)),))</f>
        <v>2781300</v>
      </c>
      <c r="I26" s="671">
        <f ca="1">IF(ROWS($1:16)&gt;COUNT(Dong6),"",OFFSET(TH!K$1,SMALL(Dong6,ROWS($1:16)),))</f>
        <v>2781300</v>
      </c>
    </row>
    <row r="27" spans="1:9" s="785" customFormat="1" ht="21" customHeight="1">
      <c r="A27" s="793">
        <f ca="1">IF(ROWS($1:17)&gt;COUNT(Dong6),"",OFFSET(TH!C$1,SMALL(Dong6,ROWS($1:17)),))</f>
        <v>41832</v>
      </c>
      <c r="B27" s="794" t="str">
        <f ca="1">IF(ROWS($1:17)&gt;COUNT(Dong6),"",OFFSET(TH!D$1,SMALL(Dong6,ROWS($1:17)),))</f>
        <v>TP/X02</v>
      </c>
      <c r="C27" s="793">
        <f ca="1">IF(ROWS($1:17)&gt;COUNT(Dong6),"",OFFSET(TH!E$1,SMALL(Dong6,ROWS($1:17)),))</f>
        <v>41832</v>
      </c>
      <c r="D27" s="795" t="str">
        <f ca="1">IF(ROWS($1:17)&gt;COUNT(Dong6),"",OFFSET(TH!F$1,SMALL(Dong6,ROWS($1:17)),))</f>
        <v>VAT Thùng carton</v>
      </c>
      <c r="E27" s="794">
        <f t="shared" ca="1" si="0"/>
        <v>17</v>
      </c>
      <c r="F27" s="796" t="str">
        <f ca="1">IF(ROWS($1:17)&gt;COUNT(Dong6),"",OFFSET(TH!L$1,SMALL(Dong6,ROWS($1:17)),))</f>
        <v>131</v>
      </c>
      <c r="G27" s="796" t="str">
        <f ca="1">IF(ROWS($1:17)&gt;COUNT(Dong6),"",OFFSET(TH!M$1,SMALL(Dong6,ROWS($1:17)),))</f>
        <v>3331</v>
      </c>
      <c r="H27" s="671">
        <f ca="1">IF(ROWS($1:17)&gt;COUNT(Dong6),"",OFFSET(TH!K$1,SMALL(Dong6,ROWS($1:17)),))</f>
        <v>1305180</v>
      </c>
      <c r="I27" s="671">
        <f ca="1">IF(ROWS($1:17)&gt;COUNT(Dong6),"",OFFSET(TH!K$1,SMALL(Dong6,ROWS($1:17)),))</f>
        <v>1305180</v>
      </c>
    </row>
    <row r="28" spans="1:9" s="785" customFormat="1" ht="21" customHeight="1">
      <c r="A28" s="793">
        <f ca="1">IF(ROWS($1:18)&gt;COUNT(Dong6),"",OFFSET(TH!C$1,SMALL(Dong6,ROWS($1:18)),))</f>
        <v>41832</v>
      </c>
      <c r="B28" s="794">
        <f ca="1">IF(ROWS($1:18)&gt;COUNT(Dong6),"",OFFSET(TH!D$1,SMALL(Dong6,ROWS($1:18)),))</f>
        <v>0</v>
      </c>
      <c r="C28" s="793">
        <f ca="1">IF(ROWS($1:18)&gt;COUNT(Dong6),"",OFFSET(TH!E$1,SMALL(Dong6,ROWS($1:18)),))</f>
        <v>41832</v>
      </c>
      <c r="D28" s="795" t="str">
        <f ca="1">IF(ROWS($1:18)&gt;COUNT(Dong6),"",OFFSET(TH!F$1,SMALL(Dong6,ROWS($1:18)),))</f>
        <v>Thu tiền hàng</v>
      </c>
      <c r="E28" s="794">
        <f t="shared" ca="1" si="0"/>
        <v>18</v>
      </c>
      <c r="F28" s="796" t="str">
        <f ca="1">IF(ROWS($1:18)&gt;COUNT(Dong6),"",OFFSET(TH!L$1,SMALL(Dong6,ROWS($1:18)),))</f>
        <v>1111</v>
      </c>
      <c r="G28" s="796" t="str">
        <f ca="1">IF(ROWS($1:18)&gt;COUNT(Dong6),"",OFFSET(TH!M$1,SMALL(Dong6,ROWS($1:18)),))</f>
        <v>131</v>
      </c>
      <c r="H28" s="671">
        <f ca="1">IF(ROWS($1:18)&gt;COUNT(Dong6),"",OFFSET(TH!K$1,SMALL(Dong6,ROWS($1:18)),))</f>
        <v>14356980</v>
      </c>
      <c r="I28" s="671">
        <f ca="1">IF(ROWS($1:18)&gt;COUNT(Dong6),"",OFFSET(TH!K$1,SMALL(Dong6,ROWS($1:18)),))</f>
        <v>14356980</v>
      </c>
    </row>
    <row r="29" spans="1:9" s="785" customFormat="1" ht="21" customHeight="1">
      <c r="A29" s="793">
        <f ca="1">IF(ROWS($1:19)&gt;COUNT(Dong6),"",OFFSET(TH!C$1,SMALL(Dong6,ROWS($1:19)),))</f>
        <v>41834</v>
      </c>
      <c r="B29" s="794" t="str">
        <f ca="1">IF(ROWS($1:19)&gt;COUNT(Dong6),"",OFFSET(TH!D$1,SMALL(Dong6,ROWS($1:19)),))</f>
        <v>TP/X03</v>
      </c>
      <c r="C29" s="793">
        <f ca="1">IF(ROWS($1:19)&gt;COUNT(Dong6),"",OFFSET(TH!E$1,SMALL(Dong6,ROWS($1:19)),))</f>
        <v>41834</v>
      </c>
      <c r="D29" s="795" t="str">
        <f ca="1">IF(ROWS($1:19)&gt;COUNT(Dong6),"",OFFSET(TH!F$1,SMALL(Dong6,ROWS($1:19)),))</f>
        <v>Thùng (34x34x40)</v>
      </c>
      <c r="E29" s="794">
        <f t="shared" ca="1" si="0"/>
        <v>19</v>
      </c>
      <c r="F29" s="796" t="str">
        <f ca="1">IF(ROWS($1:19)&gt;COUNT(Dong6),"",OFFSET(TH!L$1,SMALL(Dong6,ROWS($1:19)),))</f>
        <v>131</v>
      </c>
      <c r="G29" s="796" t="str">
        <f ca="1">IF(ROWS($1:19)&gt;COUNT(Dong6),"",OFFSET(TH!M$1,SMALL(Dong6,ROWS($1:19)),))</f>
        <v>5112</v>
      </c>
      <c r="H29" s="671">
        <f ca="1">IF(ROWS($1:19)&gt;COUNT(Dong6),"",OFFSET(TH!K$1,SMALL(Dong6,ROWS($1:19)),))</f>
        <v>3485700</v>
      </c>
      <c r="I29" s="671">
        <f ca="1">IF(ROWS($1:19)&gt;COUNT(Dong6),"",OFFSET(TH!K$1,SMALL(Dong6,ROWS($1:19)),))</f>
        <v>3485700</v>
      </c>
    </row>
    <row r="30" spans="1:9" s="785" customFormat="1" ht="21" customHeight="1">
      <c r="A30" s="793">
        <f ca="1">IF(ROWS($1:20)&gt;COUNT(Dong6),"",OFFSET(TH!C$1,SMALL(Dong6,ROWS($1:20)),))</f>
        <v>41834</v>
      </c>
      <c r="B30" s="794" t="str">
        <f ca="1">IF(ROWS($1:20)&gt;COUNT(Dong6),"",OFFSET(TH!D$1,SMALL(Dong6,ROWS($1:20)),))</f>
        <v>TP/X03</v>
      </c>
      <c r="C30" s="793">
        <f ca="1">IF(ROWS($1:20)&gt;COUNT(Dong6),"",OFFSET(TH!E$1,SMALL(Dong6,ROWS($1:20)),))</f>
        <v>41834</v>
      </c>
      <c r="D30" s="795" t="str">
        <f ca="1">IF(ROWS($1:20)&gt;COUNT(Dong6),"",OFFSET(TH!F$1,SMALL(Dong6,ROWS($1:20)),))</f>
        <v>Thùng (34x34x43)</v>
      </c>
      <c r="E30" s="794">
        <f t="shared" ca="1" si="0"/>
        <v>20</v>
      </c>
      <c r="F30" s="796" t="str">
        <f ca="1">IF(ROWS($1:20)&gt;COUNT(Dong6),"",OFFSET(TH!L$1,SMALL(Dong6,ROWS($1:20)),))</f>
        <v>131</v>
      </c>
      <c r="G30" s="796" t="str">
        <f ca="1">IF(ROWS($1:20)&gt;COUNT(Dong6),"",OFFSET(TH!M$1,SMALL(Dong6,ROWS($1:20)),))</f>
        <v>5112</v>
      </c>
      <c r="H30" s="671">
        <f ca="1">IF(ROWS($1:20)&gt;COUNT(Dong6),"",OFFSET(TH!K$1,SMALL(Dong6,ROWS($1:20)),))</f>
        <v>8676000</v>
      </c>
      <c r="I30" s="671">
        <f ca="1">IF(ROWS($1:20)&gt;COUNT(Dong6),"",OFFSET(TH!K$1,SMALL(Dong6,ROWS($1:20)),))</f>
        <v>8676000</v>
      </c>
    </row>
    <row r="31" spans="1:9" s="785" customFormat="1" ht="21" customHeight="1">
      <c r="A31" s="793">
        <f ca="1">IF(ROWS($1:21)&gt;COUNT(Dong6),"",OFFSET(TH!C$1,SMALL(Dong6,ROWS($1:21)),))</f>
        <v>41834</v>
      </c>
      <c r="B31" s="794" t="str">
        <f ca="1">IF(ROWS($1:21)&gt;COUNT(Dong6),"",OFFSET(TH!D$1,SMALL(Dong6,ROWS($1:21)),))</f>
        <v>TP/X03</v>
      </c>
      <c r="C31" s="793">
        <f ca="1">IF(ROWS($1:21)&gt;COUNT(Dong6),"",OFFSET(TH!E$1,SMALL(Dong6,ROWS($1:21)),))</f>
        <v>41834</v>
      </c>
      <c r="D31" s="795" t="str">
        <f ca="1">IF(ROWS($1:21)&gt;COUNT(Dong6),"",OFFSET(TH!F$1,SMALL(Dong6,ROWS($1:21)),))</f>
        <v>VAT Thùng carton</v>
      </c>
      <c r="E31" s="794">
        <f t="shared" ca="1" si="0"/>
        <v>21</v>
      </c>
      <c r="F31" s="796" t="str">
        <f ca="1">IF(ROWS($1:21)&gt;COUNT(Dong6),"",OFFSET(TH!L$1,SMALL(Dong6,ROWS($1:21)),))</f>
        <v>131</v>
      </c>
      <c r="G31" s="796" t="str">
        <f ca="1">IF(ROWS($1:21)&gt;COUNT(Dong6),"",OFFSET(TH!M$1,SMALL(Dong6,ROWS($1:21)),))</f>
        <v>3331</v>
      </c>
      <c r="H31" s="671">
        <f ca="1">IF(ROWS($1:21)&gt;COUNT(Dong6),"",OFFSET(TH!K$1,SMALL(Dong6,ROWS($1:21)),))</f>
        <v>1216170</v>
      </c>
      <c r="I31" s="671">
        <f ca="1">IF(ROWS($1:21)&gt;COUNT(Dong6),"",OFFSET(TH!K$1,SMALL(Dong6,ROWS($1:21)),))</f>
        <v>1216170</v>
      </c>
    </row>
    <row r="32" spans="1:9" s="785" customFormat="1" ht="21" customHeight="1">
      <c r="A32" s="793">
        <f ca="1">IF(ROWS($1:22)&gt;COUNT(Dong6),"",OFFSET(TH!C$1,SMALL(Dong6,ROWS($1:22)),))</f>
        <v>41834</v>
      </c>
      <c r="B32" s="794">
        <f ca="1">IF(ROWS($1:22)&gt;COUNT(Dong6),"",OFFSET(TH!D$1,SMALL(Dong6,ROWS($1:22)),))</f>
        <v>0</v>
      </c>
      <c r="C32" s="793">
        <f ca="1">IF(ROWS($1:22)&gt;COUNT(Dong6),"",OFFSET(TH!E$1,SMALL(Dong6,ROWS($1:22)),))</f>
        <v>41834</v>
      </c>
      <c r="D32" s="795" t="str">
        <f ca="1">IF(ROWS($1:22)&gt;COUNT(Dong6),"",OFFSET(TH!F$1,SMALL(Dong6,ROWS($1:22)),))</f>
        <v>Thu tiền hàng</v>
      </c>
      <c r="E32" s="794">
        <f t="shared" ca="1" si="0"/>
        <v>22</v>
      </c>
      <c r="F32" s="796" t="str">
        <f ca="1">IF(ROWS($1:22)&gt;COUNT(Dong6),"",OFFSET(TH!L$1,SMALL(Dong6,ROWS($1:22)),))</f>
        <v>1111</v>
      </c>
      <c r="G32" s="796" t="str">
        <f ca="1">IF(ROWS($1:22)&gt;COUNT(Dong6),"",OFFSET(TH!M$1,SMALL(Dong6,ROWS($1:22)),))</f>
        <v>131</v>
      </c>
      <c r="H32" s="671">
        <f ca="1">IF(ROWS($1:22)&gt;COUNT(Dong6),"",OFFSET(TH!K$1,SMALL(Dong6,ROWS($1:22)),))</f>
        <v>13377870</v>
      </c>
      <c r="I32" s="671">
        <f ca="1">IF(ROWS($1:22)&gt;COUNT(Dong6),"",OFFSET(TH!K$1,SMALL(Dong6,ROWS($1:22)),))</f>
        <v>13377870</v>
      </c>
    </row>
    <row r="33" spans="1:9" s="785" customFormat="1" ht="21" customHeight="1">
      <c r="A33" s="793">
        <f ca="1">IF(ROWS($1:23)&gt;COUNT(Dong6),"",OFFSET(TH!C$1,SMALL(Dong6,ROWS($1:23)),))</f>
        <v>41834</v>
      </c>
      <c r="B33" s="794" t="str">
        <f ca="1">IF(ROWS($1:23)&gt;COUNT(Dong6),"",OFFSET(TH!D$1,SMALL(Dong6,ROWS($1:23)),))</f>
        <v>TP/X04</v>
      </c>
      <c r="C33" s="793">
        <f ca="1">IF(ROWS($1:23)&gt;COUNT(Dong6),"",OFFSET(TH!E$1,SMALL(Dong6,ROWS($1:23)),))</f>
        <v>41834</v>
      </c>
      <c r="D33" s="795" t="str">
        <f ca="1">IF(ROWS($1:23)&gt;COUNT(Dong6),"",OFFSET(TH!F$1,SMALL(Dong6,ROWS($1:23)),))</f>
        <v>Thùng (49x38x12)</v>
      </c>
      <c r="E33" s="794">
        <f t="shared" ca="1" si="0"/>
        <v>23</v>
      </c>
      <c r="F33" s="796" t="str">
        <f ca="1">IF(ROWS($1:23)&gt;COUNT(Dong6),"",OFFSET(TH!L$1,SMALL(Dong6,ROWS($1:23)),))</f>
        <v>131</v>
      </c>
      <c r="G33" s="796" t="str">
        <f ca="1">IF(ROWS($1:23)&gt;COUNT(Dong6),"",OFFSET(TH!M$1,SMALL(Dong6,ROWS($1:23)),))</f>
        <v>5112</v>
      </c>
      <c r="H33" s="671">
        <f ca="1">IF(ROWS($1:23)&gt;COUNT(Dong6),"",OFFSET(TH!K$1,SMALL(Dong6,ROWS($1:23)),))</f>
        <v>5481000</v>
      </c>
      <c r="I33" s="671">
        <f ca="1">IF(ROWS($1:23)&gt;COUNT(Dong6),"",OFFSET(TH!K$1,SMALL(Dong6,ROWS($1:23)),))</f>
        <v>5481000</v>
      </c>
    </row>
    <row r="34" spans="1:9" s="785" customFormat="1" ht="21" customHeight="1">
      <c r="A34" s="793">
        <f ca="1">IF(ROWS($1:24)&gt;COUNT(Dong6),"",OFFSET(TH!C$1,SMALL(Dong6,ROWS($1:24)),))</f>
        <v>41834</v>
      </c>
      <c r="B34" s="794" t="str">
        <f ca="1">IF(ROWS($1:24)&gt;COUNT(Dong6),"",OFFSET(TH!D$1,SMALL(Dong6,ROWS($1:24)),))</f>
        <v>TP/X04</v>
      </c>
      <c r="C34" s="793">
        <f ca="1">IF(ROWS($1:24)&gt;COUNT(Dong6),"",OFFSET(TH!E$1,SMALL(Dong6,ROWS($1:24)),))</f>
        <v>41834</v>
      </c>
      <c r="D34" s="795" t="str">
        <f ca="1">IF(ROWS($1:24)&gt;COUNT(Dong6),"",OFFSET(TH!F$1,SMALL(Dong6,ROWS($1:24)),))</f>
        <v>Thùng (45x42x22)</v>
      </c>
      <c r="E34" s="794">
        <f t="shared" ca="1" si="0"/>
        <v>24</v>
      </c>
      <c r="F34" s="796" t="str">
        <f ca="1">IF(ROWS($1:24)&gt;COUNT(Dong6),"",OFFSET(TH!L$1,SMALL(Dong6,ROWS($1:24)),))</f>
        <v>131</v>
      </c>
      <c r="G34" s="796" t="str">
        <f ca="1">IF(ROWS($1:24)&gt;COUNT(Dong6),"",OFFSET(TH!M$1,SMALL(Dong6,ROWS($1:24)),))</f>
        <v>5112</v>
      </c>
      <c r="H34" s="671">
        <f ca="1">IF(ROWS($1:24)&gt;COUNT(Dong6),"",OFFSET(TH!K$1,SMALL(Dong6,ROWS($1:24)),))</f>
        <v>4987500</v>
      </c>
      <c r="I34" s="671">
        <f ca="1">IF(ROWS($1:24)&gt;COUNT(Dong6),"",OFFSET(TH!K$1,SMALL(Dong6,ROWS($1:24)),))</f>
        <v>4987500</v>
      </c>
    </row>
    <row r="35" spans="1:9" s="785" customFormat="1" ht="21" customHeight="1">
      <c r="A35" s="793">
        <f ca="1">IF(ROWS($1:25)&gt;COUNT(Dong6),"",OFFSET(TH!C$1,SMALL(Dong6,ROWS($1:25)),))</f>
        <v>41834</v>
      </c>
      <c r="B35" s="794" t="str">
        <f ca="1">IF(ROWS($1:25)&gt;COUNT(Dong6),"",OFFSET(TH!D$1,SMALL(Dong6,ROWS($1:25)),))</f>
        <v>TP/X04</v>
      </c>
      <c r="C35" s="793">
        <f ca="1">IF(ROWS($1:25)&gt;COUNT(Dong6),"",OFFSET(TH!E$1,SMALL(Dong6,ROWS($1:25)),))</f>
        <v>41834</v>
      </c>
      <c r="D35" s="795" t="str">
        <f ca="1">IF(ROWS($1:25)&gt;COUNT(Dong6),"",OFFSET(TH!F$1,SMALL(Dong6,ROWS($1:25)),))</f>
        <v>VAT Thùng carton</v>
      </c>
      <c r="E35" s="794">
        <f t="shared" ca="1" si="0"/>
        <v>25</v>
      </c>
      <c r="F35" s="796" t="str">
        <f ca="1">IF(ROWS($1:25)&gt;COUNT(Dong6),"",OFFSET(TH!L$1,SMALL(Dong6,ROWS($1:25)),))</f>
        <v>131</v>
      </c>
      <c r="G35" s="796" t="str">
        <f ca="1">IF(ROWS($1:25)&gt;COUNT(Dong6),"",OFFSET(TH!M$1,SMALL(Dong6,ROWS($1:25)),))</f>
        <v>3331</v>
      </c>
      <c r="H35" s="671">
        <f ca="1">IF(ROWS($1:25)&gt;COUNT(Dong6),"",OFFSET(TH!K$1,SMALL(Dong6,ROWS($1:25)),))</f>
        <v>1046850</v>
      </c>
      <c r="I35" s="671">
        <f ca="1">IF(ROWS($1:25)&gt;COUNT(Dong6),"",OFFSET(TH!K$1,SMALL(Dong6,ROWS($1:25)),))</f>
        <v>1046850</v>
      </c>
    </row>
    <row r="36" spans="1:9" s="785" customFormat="1" ht="21" customHeight="1">
      <c r="A36" s="793">
        <f ca="1">IF(ROWS($1:26)&gt;COUNT(Dong6),"",OFFSET(TH!C$1,SMALL(Dong6,ROWS($1:26)),))</f>
        <v>41834</v>
      </c>
      <c r="B36" s="794">
        <f ca="1">IF(ROWS($1:26)&gt;COUNT(Dong6),"",OFFSET(TH!D$1,SMALL(Dong6,ROWS($1:26)),))</f>
        <v>0</v>
      </c>
      <c r="C36" s="793">
        <f ca="1">IF(ROWS($1:26)&gt;COUNT(Dong6),"",OFFSET(TH!E$1,SMALL(Dong6,ROWS($1:26)),))</f>
        <v>41834</v>
      </c>
      <c r="D36" s="795" t="str">
        <f ca="1">IF(ROWS($1:26)&gt;COUNT(Dong6),"",OFFSET(TH!F$1,SMALL(Dong6,ROWS($1:26)),))</f>
        <v>Thu tiền hàng</v>
      </c>
      <c r="E36" s="794">
        <f t="shared" ca="1" si="0"/>
        <v>26</v>
      </c>
      <c r="F36" s="796" t="str">
        <f ca="1">IF(ROWS($1:26)&gt;COUNT(Dong6),"",OFFSET(TH!L$1,SMALL(Dong6,ROWS($1:26)),))</f>
        <v>1111</v>
      </c>
      <c r="G36" s="796" t="str">
        <f ca="1">IF(ROWS($1:26)&gt;COUNT(Dong6),"",OFFSET(TH!M$1,SMALL(Dong6,ROWS($1:26)),))</f>
        <v>131</v>
      </c>
      <c r="H36" s="671">
        <f ca="1">IF(ROWS($1:26)&gt;COUNT(Dong6),"",OFFSET(TH!K$1,SMALL(Dong6,ROWS($1:26)),))</f>
        <v>11515350</v>
      </c>
      <c r="I36" s="671">
        <f ca="1">IF(ROWS($1:26)&gt;COUNT(Dong6),"",OFFSET(TH!K$1,SMALL(Dong6,ROWS($1:26)),))</f>
        <v>11515350</v>
      </c>
    </row>
    <row r="37" spans="1:9" s="785" customFormat="1" ht="21" customHeight="1">
      <c r="A37" s="793">
        <f ca="1">IF(ROWS($1:27)&gt;COUNT(Dong6),"",OFFSET(TH!C$1,SMALL(Dong6,ROWS($1:27)),))</f>
        <v>41834</v>
      </c>
      <c r="B37" s="794" t="str">
        <f ca="1">IF(ROWS($1:27)&gt;COUNT(Dong6),"",OFFSET(TH!D$1,SMALL(Dong6,ROWS($1:27)),))</f>
        <v>TP/X05</v>
      </c>
      <c r="C37" s="793">
        <f ca="1">IF(ROWS($1:27)&gt;COUNT(Dong6),"",OFFSET(TH!E$1,SMALL(Dong6,ROWS($1:27)),))</f>
        <v>41834</v>
      </c>
      <c r="D37" s="795" t="str">
        <f ca="1">IF(ROWS($1:27)&gt;COUNT(Dong6),"",OFFSET(TH!F$1,SMALL(Dong6,ROWS($1:27)),))</f>
        <v>Thùng (39,5x32,3x27,7)</v>
      </c>
      <c r="E37" s="794">
        <f t="shared" ca="1" si="0"/>
        <v>27</v>
      </c>
      <c r="F37" s="796" t="str">
        <f ca="1">IF(ROWS($1:27)&gt;COUNT(Dong6),"",OFFSET(TH!L$1,SMALL(Dong6,ROWS($1:27)),))</f>
        <v>131</v>
      </c>
      <c r="G37" s="796" t="str">
        <f ca="1">IF(ROWS($1:27)&gt;COUNT(Dong6),"",OFFSET(TH!M$1,SMALL(Dong6,ROWS($1:27)),))</f>
        <v>5112</v>
      </c>
      <c r="H37" s="671">
        <f ca="1">IF(ROWS($1:27)&gt;COUNT(Dong6),"",OFFSET(TH!K$1,SMALL(Dong6,ROWS($1:27)),))</f>
        <v>2011600</v>
      </c>
      <c r="I37" s="671">
        <f ca="1">IF(ROWS($1:27)&gt;COUNT(Dong6),"",OFFSET(TH!K$1,SMALL(Dong6,ROWS($1:27)),))</f>
        <v>2011600</v>
      </c>
    </row>
    <row r="38" spans="1:9" s="785" customFormat="1" ht="21" customHeight="1">
      <c r="A38" s="793">
        <f ca="1">IF(ROWS($1:28)&gt;COUNT(Dong6),"",OFFSET(TH!C$1,SMALL(Dong6,ROWS($1:28)),))</f>
        <v>41834</v>
      </c>
      <c r="B38" s="794" t="str">
        <f ca="1">IF(ROWS($1:28)&gt;COUNT(Dong6),"",OFFSET(TH!D$1,SMALL(Dong6,ROWS($1:28)),))</f>
        <v>TP/X05</v>
      </c>
      <c r="C38" s="793">
        <f ca="1">IF(ROWS($1:28)&gt;COUNT(Dong6),"",OFFSET(TH!E$1,SMALL(Dong6,ROWS($1:28)),))</f>
        <v>41834</v>
      </c>
      <c r="D38" s="795" t="str">
        <f ca="1">IF(ROWS($1:28)&gt;COUNT(Dong6),"",OFFSET(TH!F$1,SMALL(Dong6,ROWS($1:28)),))</f>
        <v>Thùng (41x31x25,5)</v>
      </c>
      <c r="E38" s="794">
        <f t="shared" ca="1" si="0"/>
        <v>28</v>
      </c>
      <c r="F38" s="796" t="str">
        <f ca="1">IF(ROWS($1:28)&gt;COUNT(Dong6),"",OFFSET(TH!L$1,SMALL(Dong6,ROWS($1:28)),))</f>
        <v>131</v>
      </c>
      <c r="G38" s="796" t="str">
        <f ca="1">IF(ROWS($1:28)&gt;COUNT(Dong6),"",OFFSET(TH!M$1,SMALL(Dong6,ROWS($1:28)),))</f>
        <v>5112</v>
      </c>
      <c r="H38" s="671">
        <f ca="1">IF(ROWS($1:28)&gt;COUNT(Dong6),"",OFFSET(TH!K$1,SMALL(Dong6,ROWS($1:28)),))</f>
        <v>1236900</v>
      </c>
      <c r="I38" s="671">
        <f ca="1">IF(ROWS($1:28)&gt;COUNT(Dong6),"",OFFSET(TH!K$1,SMALL(Dong6,ROWS($1:28)),))</f>
        <v>1236900</v>
      </c>
    </row>
    <row r="39" spans="1:9" s="785" customFormat="1" ht="21" customHeight="1">
      <c r="A39" s="793">
        <f ca="1">IF(ROWS($1:29)&gt;COUNT(Dong6),"",OFFSET(TH!C$1,SMALL(Dong6,ROWS($1:29)),))</f>
        <v>41834</v>
      </c>
      <c r="B39" s="794" t="str">
        <f ca="1">IF(ROWS($1:29)&gt;COUNT(Dong6),"",OFFSET(TH!D$1,SMALL(Dong6,ROWS($1:29)),))</f>
        <v>TP/X05</v>
      </c>
      <c r="C39" s="793">
        <f ca="1">IF(ROWS($1:29)&gt;COUNT(Dong6),"",OFFSET(TH!E$1,SMALL(Dong6,ROWS($1:29)),))</f>
        <v>41834</v>
      </c>
      <c r="D39" s="795" t="str">
        <f ca="1">IF(ROWS($1:29)&gt;COUNT(Dong6),"",OFFSET(TH!F$1,SMALL(Dong6,ROWS($1:29)),))</f>
        <v>VAT Thùng carton</v>
      </c>
      <c r="E39" s="794">
        <f t="shared" ca="1" si="0"/>
        <v>29</v>
      </c>
      <c r="F39" s="796" t="str">
        <f ca="1">IF(ROWS($1:29)&gt;COUNT(Dong6),"",OFFSET(TH!L$1,SMALL(Dong6,ROWS($1:29)),))</f>
        <v>131</v>
      </c>
      <c r="G39" s="796" t="str">
        <f ca="1">IF(ROWS($1:29)&gt;COUNT(Dong6),"",OFFSET(TH!M$1,SMALL(Dong6,ROWS($1:29)),))</f>
        <v>3331</v>
      </c>
      <c r="H39" s="671">
        <f ca="1">IF(ROWS($1:29)&gt;COUNT(Dong6),"",OFFSET(TH!K$1,SMALL(Dong6,ROWS($1:29)),))</f>
        <v>324850</v>
      </c>
      <c r="I39" s="671">
        <f ca="1">IF(ROWS($1:29)&gt;COUNT(Dong6),"",OFFSET(TH!K$1,SMALL(Dong6,ROWS($1:29)),))</f>
        <v>324850</v>
      </c>
    </row>
    <row r="40" spans="1:9" s="785" customFormat="1" ht="21" customHeight="1">
      <c r="A40" s="793">
        <f ca="1">IF(ROWS($1:30)&gt;COUNT(Dong6),"",OFFSET(TH!C$1,SMALL(Dong6,ROWS($1:30)),))</f>
        <v>41837</v>
      </c>
      <c r="B40" s="794" t="str">
        <f ca="1">IF(ROWS($1:30)&gt;COUNT(Dong6),"",OFFSET(TH!D$1,SMALL(Dong6,ROWS($1:30)),))</f>
        <v>TP/X06</v>
      </c>
      <c r="C40" s="793">
        <f ca="1">IF(ROWS($1:30)&gt;COUNT(Dong6),"",OFFSET(TH!E$1,SMALL(Dong6,ROWS($1:30)),))</f>
        <v>41837</v>
      </c>
      <c r="D40" s="795" t="str">
        <f ca="1">IF(ROWS($1:30)&gt;COUNT(Dong6),"",OFFSET(TH!F$1,SMALL(Dong6,ROWS($1:30)),))</f>
        <v>Thùng (46,5x41,5x25)</v>
      </c>
      <c r="E40" s="794">
        <f t="shared" ca="1" si="0"/>
        <v>30</v>
      </c>
      <c r="F40" s="796" t="str">
        <f ca="1">IF(ROWS($1:30)&gt;COUNT(Dong6),"",OFFSET(TH!L$1,SMALL(Dong6,ROWS($1:30)),))</f>
        <v>131</v>
      </c>
      <c r="G40" s="796" t="str">
        <f ca="1">IF(ROWS($1:30)&gt;COUNT(Dong6),"",OFFSET(TH!M$1,SMALL(Dong6,ROWS($1:30)),))</f>
        <v>5112</v>
      </c>
      <c r="H40" s="671">
        <f ca="1">IF(ROWS($1:30)&gt;COUNT(Dong6),"",OFFSET(TH!K$1,SMALL(Dong6,ROWS($1:30)),))</f>
        <v>1166100</v>
      </c>
      <c r="I40" s="671">
        <f ca="1">IF(ROWS($1:30)&gt;COUNT(Dong6),"",OFFSET(TH!K$1,SMALL(Dong6,ROWS($1:30)),))</f>
        <v>1166100</v>
      </c>
    </row>
    <row r="41" spans="1:9" s="785" customFormat="1" ht="21" customHeight="1">
      <c r="A41" s="793">
        <f ca="1">IF(ROWS($1:31)&gt;COUNT(Dong6),"",OFFSET(TH!C$1,SMALL(Dong6,ROWS($1:31)),))</f>
        <v>41837</v>
      </c>
      <c r="B41" s="794" t="str">
        <f ca="1">IF(ROWS($1:31)&gt;COUNT(Dong6),"",OFFSET(TH!D$1,SMALL(Dong6,ROWS($1:31)),))</f>
        <v>TP/X06</v>
      </c>
      <c r="C41" s="793">
        <f ca="1">IF(ROWS($1:31)&gt;COUNT(Dong6),"",OFFSET(TH!E$1,SMALL(Dong6,ROWS($1:31)),))</f>
        <v>41837</v>
      </c>
      <c r="D41" s="795" t="str">
        <f ca="1">IF(ROWS($1:31)&gt;COUNT(Dong6),"",OFFSET(TH!F$1,SMALL(Dong6,ROWS($1:31)),))</f>
        <v>Thùng (62x42x36)</v>
      </c>
      <c r="E41" s="794">
        <f t="shared" ref="E41:E50" ca="1" si="1">IF(D41&lt;&gt;"",ROW()-10,"")</f>
        <v>31</v>
      </c>
      <c r="F41" s="796" t="str">
        <f ca="1">IF(ROWS($1:31)&gt;COUNT(Dong6),"",OFFSET(TH!L$1,SMALL(Dong6,ROWS($1:31)),))</f>
        <v>131</v>
      </c>
      <c r="G41" s="796" t="str">
        <f ca="1">IF(ROWS($1:31)&gt;COUNT(Dong6),"",OFFSET(TH!M$1,SMALL(Dong6,ROWS($1:31)),))</f>
        <v>5112</v>
      </c>
      <c r="H41" s="671">
        <f ca="1">IF(ROWS($1:31)&gt;COUNT(Dong6),"",OFFSET(TH!K$1,SMALL(Dong6,ROWS($1:31)),))</f>
        <v>202350</v>
      </c>
      <c r="I41" s="671">
        <f ca="1">IF(ROWS($1:31)&gt;COUNT(Dong6),"",OFFSET(TH!K$1,SMALL(Dong6,ROWS($1:31)),))</f>
        <v>202350</v>
      </c>
    </row>
    <row r="42" spans="1:9" s="785" customFormat="1" ht="21" customHeight="1">
      <c r="A42" s="793">
        <f ca="1">IF(ROWS($1:32)&gt;COUNT(Dong6),"",OFFSET(TH!C$1,SMALL(Dong6,ROWS($1:32)),))</f>
        <v>41837</v>
      </c>
      <c r="B42" s="794" t="str">
        <f ca="1">IF(ROWS($1:32)&gt;COUNT(Dong6),"",OFFSET(TH!D$1,SMALL(Dong6,ROWS($1:32)),))</f>
        <v>TP/X06</v>
      </c>
      <c r="C42" s="793">
        <f ca="1">IF(ROWS($1:32)&gt;COUNT(Dong6),"",OFFSET(TH!E$1,SMALL(Dong6,ROWS($1:32)),))</f>
        <v>41837</v>
      </c>
      <c r="D42" s="795" t="str">
        <f ca="1">IF(ROWS($1:32)&gt;COUNT(Dong6),"",OFFSET(TH!F$1,SMALL(Dong6,ROWS($1:32)),))</f>
        <v>Thùng (39,5x39,5x25)</v>
      </c>
      <c r="E42" s="794">
        <f t="shared" ca="1" si="1"/>
        <v>32</v>
      </c>
      <c r="F42" s="796" t="str">
        <f ca="1">IF(ROWS($1:32)&gt;COUNT(Dong6),"",OFFSET(TH!L$1,SMALL(Dong6,ROWS($1:32)),))</f>
        <v>131</v>
      </c>
      <c r="G42" s="796" t="str">
        <f ca="1">IF(ROWS($1:32)&gt;COUNT(Dong6),"",OFFSET(TH!M$1,SMALL(Dong6,ROWS($1:32)),))</f>
        <v>5112</v>
      </c>
      <c r="H42" s="671">
        <f ca="1">IF(ROWS($1:32)&gt;COUNT(Dong6),"",OFFSET(TH!K$1,SMALL(Dong6,ROWS($1:32)),))</f>
        <v>360000</v>
      </c>
      <c r="I42" s="671">
        <f ca="1">IF(ROWS($1:32)&gt;COUNT(Dong6),"",OFFSET(TH!K$1,SMALL(Dong6,ROWS($1:32)),))</f>
        <v>360000</v>
      </c>
    </row>
    <row r="43" spans="1:9" s="785" customFormat="1" ht="21" customHeight="1">
      <c r="A43" s="793">
        <f ca="1">IF(ROWS($1:33)&gt;COUNT(Dong6),"",OFFSET(TH!C$1,SMALL(Dong6,ROWS($1:33)),))</f>
        <v>41837</v>
      </c>
      <c r="B43" s="794" t="str">
        <f ca="1">IF(ROWS($1:33)&gt;COUNT(Dong6),"",OFFSET(TH!D$1,SMALL(Dong6,ROWS($1:33)),))</f>
        <v>TP/X06</v>
      </c>
      <c r="C43" s="793">
        <f ca="1">IF(ROWS($1:33)&gt;COUNT(Dong6),"",OFFSET(TH!E$1,SMALL(Dong6,ROWS($1:33)),))</f>
        <v>41837</v>
      </c>
      <c r="D43" s="795" t="str">
        <f ca="1">IF(ROWS($1:33)&gt;COUNT(Dong6),"",OFFSET(TH!F$1,SMALL(Dong6,ROWS($1:33)),))</f>
        <v>Thùng (46,5x41,5x31)</v>
      </c>
      <c r="E43" s="794">
        <f t="shared" ca="1" si="1"/>
        <v>33</v>
      </c>
      <c r="F43" s="796" t="str">
        <f ca="1">IF(ROWS($1:33)&gt;COUNT(Dong6),"",OFFSET(TH!L$1,SMALL(Dong6,ROWS($1:33)),))</f>
        <v>131</v>
      </c>
      <c r="G43" s="796" t="str">
        <f ca="1">IF(ROWS($1:33)&gt;COUNT(Dong6),"",OFFSET(TH!M$1,SMALL(Dong6,ROWS($1:33)),))</f>
        <v>5112</v>
      </c>
      <c r="H43" s="671">
        <f ca="1">IF(ROWS($1:33)&gt;COUNT(Dong6),"",OFFSET(TH!K$1,SMALL(Dong6,ROWS($1:33)),))</f>
        <v>7876800</v>
      </c>
      <c r="I43" s="671">
        <f ca="1">IF(ROWS($1:33)&gt;COUNT(Dong6),"",OFFSET(TH!K$1,SMALL(Dong6,ROWS($1:33)),))</f>
        <v>7876800</v>
      </c>
    </row>
    <row r="44" spans="1:9" s="785" customFormat="1" ht="21" customHeight="1">
      <c r="A44" s="793">
        <f ca="1">IF(ROWS($1:34)&gt;COUNT(Dong6),"",OFFSET(TH!C$1,SMALL(Dong6,ROWS($1:34)),))</f>
        <v>41837</v>
      </c>
      <c r="B44" s="794" t="str">
        <f ca="1">IF(ROWS($1:34)&gt;COUNT(Dong6),"",OFFSET(TH!D$1,SMALL(Dong6,ROWS($1:34)),))</f>
        <v>TP/X06</v>
      </c>
      <c r="C44" s="793">
        <f ca="1">IF(ROWS($1:34)&gt;COUNT(Dong6),"",OFFSET(TH!E$1,SMALL(Dong6,ROWS($1:34)),))</f>
        <v>41837</v>
      </c>
      <c r="D44" s="795" t="str">
        <f ca="1">IF(ROWS($1:34)&gt;COUNT(Dong6),"",OFFSET(TH!F$1,SMALL(Dong6,ROWS($1:34)),))</f>
        <v>Thùng (45,5x41,5x25)</v>
      </c>
      <c r="E44" s="794">
        <f t="shared" ca="1" si="1"/>
        <v>34</v>
      </c>
      <c r="F44" s="796" t="str">
        <f ca="1">IF(ROWS($1:34)&gt;COUNT(Dong6),"",OFFSET(TH!L$1,SMALL(Dong6,ROWS($1:34)),))</f>
        <v>131</v>
      </c>
      <c r="G44" s="796" t="str">
        <f ca="1">IF(ROWS($1:34)&gt;COUNT(Dong6),"",OFFSET(TH!M$1,SMALL(Dong6,ROWS($1:34)),))</f>
        <v>5112</v>
      </c>
      <c r="H44" s="671">
        <f ca="1">IF(ROWS($1:34)&gt;COUNT(Dong6),"",OFFSET(TH!K$1,SMALL(Dong6,ROWS($1:34)),))</f>
        <v>3714800</v>
      </c>
      <c r="I44" s="671">
        <f ca="1">IF(ROWS($1:34)&gt;COUNT(Dong6),"",OFFSET(TH!K$1,SMALL(Dong6,ROWS($1:34)),))</f>
        <v>3714800</v>
      </c>
    </row>
    <row r="45" spans="1:9" s="785" customFormat="1" ht="21" customHeight="1">
      <c r="A45" s="793">
        <f ca="1">IF(ROWS($1:35)&gt;COUNT(Dong6),"",OFFSET(TH!C$1,SMALL(Dong6,ROWS($1:35)),))</f>
        <v>41837</v>
      </c>
      <c r="B45" s="794" t="str">
        <f ca="1">IF(ROWS($1:35)&gt;COUNT(Dong6),"",OFFSET(TH!D$1,SMALL(Dong6,ROWS($1:35)),))</f>
        <v>TP/X06</v>
      </c>
      <c r="C45" s="793">
        <f ca="1">IF(ROWS($1:35)&gt;COUNT(Dong6),"",OFFSET(TH!E$1,SMALL(Dong6,ROWS($1:35)),))</f>
        <v>41837</v>
      </c>
      <c r="D45" s="795" t="str">
        <f ca="1">IF(ROWS($1:35)&gt;COUNT(Dong6),"",OFFSET(TH!F$1,SMALL(Dong6,ROWS($1:35)),))</f>
        <v>VAT Thùng carton</v>
      </c>
      <c r="E45" s="794">
        <f t="shared" ca="1" si="1"/>
        <v>35</v>
      </c>
      <c r="F45" s="796" t="str">
        <f ca="1">IF(ROWS($1:35)&gt;COUNT(Dong6),"",OFFSET(TH!L$1,SMALL(Dong6,ROWS($1:35)),))</f>
        <v>131</v>
      </c>
      <c r="G45" s="796" t="str">
        <f ca="1">IF(ROWS($1:35)&gt;COUNT(Dong6),"",OFFSET(TH!M$1,SMALL(Dong6,ROWS($1:35)),))</f>
        <v>3331</v>
      </c>
      <c r="H45" s="671">
        <f ca="1">IF(ROWS($1:35)&gt;COUNT(Dong6),"",OFFSET(TH!K$1,SMALL(Dong6,ROWS($1:35)),))</f>
        <v>1332005</v>
      </c>
      <c r="I45" s="671">
        <f ca="1">IF(ROWS($1:35)&gt;COUNT(Dong6),"",OFFSET(TH!K$1,SMALL(Dong6,ROWS($1:35)),))</f>
        <v>1332005</v>
      </c>
    </row>
    <row r="46" spans="1:9" s="785" customFormat="1" ht="21" customHeight="1">
      <c r="A46" s="793">
        <f ca="1">IF(ROWS($1:36)&gt;COUNT(Dong6),"",OFFSET(TH!C$1,SMALL(Dong6,ROWS($1:36)),))</f>
        <v>41837</v>
      </c>
      <c r="B46" s="794" t="str">
        <f ca="1">IF(ROWS($1:36)&gt;COUNT(Dong6),"",OFFSET(TH!D$1,SMALL(Dong6,ROWS($1:36)),))</f>
        <v>TP/X07</v>
      </c>
      <c r="C46" s="793">
        <f ca="1">IF(ROWS($1:36)&gt;COUNT(Dong6),"",OFFSET(TH!E$1,SMALL(Dong6,ROWS($1:36)),))</f>
        <v>41837</v>
      </c>
      <c r="D46" s="795" t="str">
        <f ca="1">IF(ROWS($1:36)&gt;COUNT(Dong6),"",OFFSET(TH!F$1,SMALL(Dong6,ROWS($1:36)),))</f>
        <v>Thùng (42x26x33)</v>
      </c>
      <c r="E46" s="794">
        <f t="shared" ca="1" si="1"/>
        <v>36</v>
      </c>
      <c r="F46" s="796" t="str">
        <f ca="1">IF(ROWS($1:36)&gt;COUNT(Dong6),"",OFFSET(TH!L$1,SMALL(Dong6,ROWS($1:36)),))</f>
        <v>131</v>
      </c>
      <c r="G46" s="796" t="str">
        <f ca="1">IF(ROWS($1:36)&gt;COUNT(Dong6),"",OFFSET(TH!M$1,SMALL(Dong6,ROWS($1:36)),))</f>
        <v>5112</v>
      </c>
      <c r="H46" s="671">
        <f ca="1">IF(ROWS($1:36)&gt;COUNT(Dong6),"",OFFSET(TH!K$1,SMALL(Dong6,ROWS($1:36)),))</f>
        <v>4300000</v>
      </c>
      <c r="I46" s="671">
        <f ca="1">IF(ROWS($1:36)&gt;COUNT(Dong6),"",OFFSET(TH!K$1,SMALL(Dong6,ROWS($1:36)),))</f>
        <v>4300000</v>
      </c>
    </row>
    <row r="47" spans="1:9" s="785" customFormat="1" ht="21" customHeight="1">
      <c r="A47" s="793">
        <f ca="1">IF(ROWS($1:37)&gt;COUNT(Dong6),"",OFFSET(TH!C$1,SMALL(Dong6,ROWS($1:37)),))</f>
        <v>41837</v>
      </c>
      <c r="B47" s="794" t="str">
        <f ca="1">IF(ROWS($1:37)&gt;COUNT(Dong6),"",OFFSET(TH!D$1,SMALL(Dong6,ROWS($1:37)),))</f>
        <v>TP/X07</v>
      </c>
      <c r="C47" s="793">
        <f ca="1">IF(ROWS($1:37)&gt;COUNT(Dong6),"",OFFSET(TH!E$1,SMALL(Dong6,ROWS($1:37)),))</f>
        <v>41837</v>
      </c>
      <c r="D47" s="795" t="str">
        <f ca="1">IF(ROWS($1:37)&gt;COUNT(Dong6),"",OFFSET(TH!F$1,SMALL(Dong6,ROWS($1:37)),))</f>
        <v>Thùng (32,5x32,5x16)</v>
      </c>
      <c r="E47" s="794">
        <f t="shared" ca="1" si="1"/>
        <v>37</v>
      </c>
      <c r="F47" s="796" t="str">
        <f ca="1">IF(ROWS($1:37)&gt;COUNT(Dong6),"",OFFSET(TH!L$1,SMALL(Dong6,ROWS($1:37)),))</f>
        <v>131</v>
      </c>
      <c r="G47" s="796" t="str">
        <f ca="1">IF(ROWS($1:37)&gt;COUNT(Dong6),"",OFFSET(TH!M$1,SMALL(Dong6,ROWS($1:37)),))</f>
        <v>5112</v>
      </c>
      <c r="H47" s="671">
        <f ca="1">IF(ROWS($1:37)&gt;COUNT(Dong6),"",OFFSET(TH!K$1,SMALL(Dong6,ROWS($1:37)),))</f>
        <v>2870000</v>
      </c>
      <c r="I47" s="671">
        <f ca="1">IF(ROWS($1:37)&gt;COUNT(Dong6),"",OFFSET(TH!K$1,SMALL(Dong6,ROWS($1:37)),))</f>
        <v>2870000</v>
      </c>
    </row>
    <row r="48" spans="1:9" s="785" customFormat="1" ht="21" customHeight="1">
      <c r="A48" s="793">
        <f ca="1">IF(ROWS($1:38)&gt;COUNT(Dong6),"",OFFSET(TH!C$1,SMALL(Dong6,ROWS($1:38)),))</f>
        <v>41837</v>
      </c>
      <c r="B48" s="794" t="str">
        <f ca="1">IF(ROWS($1:38)&gt;COUNT(Dong6),"",OFFSET(TH!D$1,SMALL(Dong6,ROWS($1:38)),))</f>
        <v>TP/X07</v>
      </c>
      <c r="C48" s="793">
        <f ca="1">IF(ROWS($1:38)&gt;COUNT(Dong6),"",OFFSET(TH!E$1,SMALL(Dong6,ROWS($1:38)),))</f>
        <v>41837</v>
      </c>
      <c r="D48" s="795" t="str">
        <f ca="1">IF(ROWS($1:38)&gt;COUNT(Dong6),"",OFFSET(TH!F$1,SMALL(Dong6,ROWS($1:38)),))</f>
        <v>Thùng (49,5x38,5x32,5)</v>
      </c>
      <c r="E48" s="794">
        <f t="shared" ca="1" si="1"/>
        <v>38</v>
      </c>
      <c r="F48" s="796" t="str">
        <f ca="1">IF(ROWS($1:38)&gt;COUNT(Dong6),"",OFFSET(TH!L$1,SMALL(Dong6,ROWS($1:38)),))</f>
        <v>131</v>
      </c>
      <c r="G48" s="796" t="str">
        <f ca="1">IF(ROWS($1:38)&gt;COUNT(Dong6),"",OFFSET(TH!M$1,SMALL(Dong6,ROWS($1:38)),))</f>
        <v>5112</v>
      </c>
      <c r="H48" s="671">
        <f ca="1">IF(ROWS($1:38)&gt;COUNT(Dong6),"",OFFSET(TH!K$1,SMALL(Dong6,ROWS($1:38)),))</f>
        <v>3612000</v>
      </c>
      <c r="I48" s="671">
        <f ca="1">IF(ROWS($1:38)&gt;COUNT(Dong6),"",OFFSET(TH!K$1,SMALL(Dong6,ROWS($1:38)),))</f>
        <v>3612000</v>
      </c>
    </row>
    <row r="49" spans="1:10" s="785" customFormat="1" ht="21" customHeight="1">
      <c r="A49" s="793">
        <f ca="1">IF(ROWS($1:39)&gt;COUNT(Dong6),"",OFFSET(TH!C$1,SMALL(Dong6,ROWS($1:39)),))</f>
        <v>41837</v>
      </c>
      <c r="B49" s="794" t="str">
        <f ca="1">IF(ROWS($1:39)&gt;COUNT(Dong6),"",OFFSET(TH!D$1,SMALL(Dong6,ROWS($1:39)),))</f>
        <v>TP/X07</v>
      </c>
      <c r="C49" s="793">
        <f ca="1">IF(ROWS($1:39)&gt;COUNT(Dong6),"",OFFSET(TH!E$1,SMALL(Dong6,ROWS($1:39)),))</f>
        <v>41837</v>
      </c>
      <c r="D49" s="795" t="str">
        <f ca="1">IF(ROWS($1:39)&gt;COUNT(Dong6),"",OFFSET(TH!F$1,SMALL(Dong6,ROWS($1:39)),))</f>
        <v>VAT Thùng carton</v>
      </c>
      <c r="E49" s="794">
        <f t="shared" ca="1" si="1"/>
        <v>39</v>
      </c>
      <c r="F49" s="796" t="str">
        <f ca="1">IF(ROWS($1:39)&gt;COUNT(Dong6),"",OFFSET(TH!L$1,SMALL(Dong6,ROWS($1:39)),))</f>
        <v>131</v>
      </c>
      <c r="G49" s="796" t="str">
        <f ca="1">IF(ROWS($1:39)&gt;COUNT(Dong6),"",OFFSET(TH!M$1,SMALL(Dong6,ROWS($1:39)),))</f>
        <v>3331</v>
      </c>
      <c r="H49" s="671">
        <f ca="1">IF(ROWS($1:39)&gt;COUNT(Dong6),"",OFFSET(TH!K$1,SMALL(Dong6,ROWS($1:39)),))</f>
        <v>1078200</v>
      </c>
      <c r="I49" s="671">
        <f ca="1">IF(ROWS($1:39)&gt;COUNT(Dong6),"",OFFSET(TH!K$1,SMALL(Dong6,ROWS($1:39)),))</f>
        <v>1078200</v>
      </c>
    </row>
    <row r="50" spans="1:10" s="785" customFormat="1" ht="21" customHeight="1">
      <c r="A50" s="793">
        <f ca="1">IF(ROWS($1:40)&gt;COUNT(Dong6),"",OFFSET(TH!C$1,SMALL(Dong6,ROWS($1:40)),))</f>
        <v>41842</v>
      </c>
      <c r="B50" s="794" t="str">
        <f ca="1">IF(ROWS($1:40)&gt;COUNT(Dong6),"",OFFSET(TH!D$1,SMALL(Dong6,ROWS($1:40)),))</f>
        <v>TP/X08</v>
      </c>
      <c r="C50" s="793">
        <f ca="1">IF(ROWS($1:40)&gt;COUNT(Dong6),"",OFFSET(TH!E$1,SMALL(Dong6,ROWS($1:40)),))</f>
        <v>41842</v>
      </c>
      <c r="D50" s="795" t="str">
        <f ca="1">IF(ROWS($1:40)&gt;COUNT(Dong6),"",OFFSET(TH!F$1,SMALL(Dong6,ROWS($1:40)),))</f>
        <v>Thùng (56x48x17)</v>
      </c>
      <c r="E50" s="794">
        <f t="shared" ca="1" si="1"/>
        <v>40</v>
      </c>
      <c r="F50" s="796" t="str">
        <f ca="1">IF(ROWS($1:40)&gt;COUNT(Dong6),"",OFFSET(TH!L$1,SMALL(Dong6,ROWS($1:40)),))</f>
        <v>131</v>
      </c>
      <c r="G50" s="796" t="str">
        <f ca="1">IF(ROWS($1:40)&gt;COUNT(Dong6),"",OFFSET(TH!M$1,SMALL(Dong6,ROWS($1:40)),))</f>
        <v>5112</v>
      </c>
      <c r="H50" s="671">
        <f ca="1">IF(ROWS($1:40)&gt;COUNT(Dong6),"",OFFSET(TH!K$1,SMALL(Dong6,ROWS($1:40)),))</f>
        <v>8874900</v>
      </c>
      <c r="I50" s="671">
        <f ca="1">IF(ROWS($1:40)&gt;COUNT(Dong6),"",OFFSET(TH!K$1,SMALL(Dong6,ROWS($1:40)),))</f>
        <v>8874900</v>
      </c>
    </row>
    <row r="51" spans="1:10" s="785" customFormat="1" ht="21" customHeight="1">
      <c r="A51" s="793"/>
      <c r="B51" s="794"/>
      <c r="C51" s="793"/>
      <c r="D51" s="795"/>
      <c r="E51" s="794"/>
      <c r="F51" s="796"/>
      <c r="G51" s="796"/>
      <c r="H51" s="671"/>
      <c r="I51" s="671"/>
    </row>
    <row r="52" spans="1:10" s="785" customFormat="1" ht="21" customHeight="1">
      <c r="A52" s="797"/>
      <c r="B52" s="797"/>
      <c r="C52" s="797"/>
      <c r="D52" s="798" t="s">
        <v>343</v>
      </c>
      <c r="E52" s="799" t="s">
        <v>19</v>
      </c>
      <c r="F52" s="799"/>
      <c r="G52" s="799" t="s">
        <v>19</v>
      </c>
      <c r="H52" s="800">
        <f ca="1">SUBTOTAL(9,$H$10:$H$51)</f>
        <v>7954251335</v>
      </c>
      <c r="I52" s="800">
        <f ca="1">SUBTOTAL(9,I10:I51)</f>
        <v>7954251335</v>
      </c>
    </row>
    <row r="53" spans="1:10" s="785" customFormat="1" ht="15">
      <c r="A53" s="801" t="s">
        <v>413</v>
      </c>
    </row>
    <row r="54" spans="1:10" s="785" customFormat="1" ht="15">
      <c r="A54" s="801" t="str">
        <f ca="1">"- Ngày mở sổ: "&amp;DAY($A$11)&amp;"/"&amp;MONTH($A$11)&amp;"/ " &amp;YEAR($A$11)</f>
        <v>- Ngày mở sổ: 1/7/ 2014</v>
      </c>
    </row>
    <row r="55" spans="1:10" s="785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02"/>
      <c r="J55" s="802"/>
    </row>
    <row r="56" spans="1:10" s="785" customFormat="1" ht="15">
      <c r="B56" s="802" t="s">
        <v>340</v>
      </c>
      <c r="D56" s="802" t="s">
        <v>12</v>
      </c>
      <c r="H56" s="802" t="s">
        <v>341</v>
      </c>
      <c r="I56" s="802"/>
      <c r="J56" s="802"/>
    </row>
    <row r="57" spans="1:10" s="785" customFormat="1" ht="15">
      <c r="B57" s="802" t="s">
        <v>13</v>
      </c>
      <c r="D57" s="802" t="s">
        <v>13</v>
      </c>
      <c r="H57" s="802" t="s">
        <v>136</v>
      </c>
      <c r="I57" s="802"/>
      <c r="J57" s="802"/>
    </row>
    <row r="58" spans="1:10" s="78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5" t="s">
        <v>145</v>
      </c>
      <c r="H2" s="995"/>
      <c r="I2" s="995"/>
    </row>
    <row r="3" spans="1:9" ht="15.75" customHeight="1">
      <c r="A3" s="1" t="str">
        <f>TH!A2</f>
        <v>Địa chỉ: 1A227/1 Ấp 1, Phạm Văn Hai, Bình Chánh, TPHCM</v>
      </c>
      <c r="G3" s="99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6"/>
      <c r="I3" s="996"/>
    </row>
    <row r="4" spans="1:9">
      <c r="F4" s="17"/>
      <c r="G4" s="996"/>
      <c r="H4" s="996"/>
      <c r="I4" s="996"/>
    </row>
    <row r="5" spans="1:9" ht="17.25" customHeight="1">
      <c r="A5" s="997" t="s">
        <v>146</v>
      </c>
      <c r="B5" s="997"/>
      <c r="C5" s="997"/>
      <c r="D5" s="997"/>
      <c r="E5" s="997"/>
      <c r="F5" s="997"/>
      <c r="G5" s="997"/>
      <c r="H5" s="997"/>
      <c r="I5" s="997"/>
    </row>
    <row r="6" spans="1:9">
      <c r="A6" s="998" t="s">
        <v>147</v>
      </c>
      <c r="B6" s="999"/>
      <c r="C6" s="999"/>
      <c r="D6" s="999"/>
      <c r="E6" s="999"/>
      <c r="F6" s="999"/>
      <c r="G6" s="999"/>
      <c r="H6" s="999"/>
      <c r="I6" s="99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9" t="s">
        <v>29</v>
      </c>
      <c r="B9" s="1000"/>
      <c r="C9" s="1000"/>
      <c r="D9" s="1000"/>
      <c r="E9" s="1000"/>
      <c r="F9" s="1000"/>
      <c r="G9" s="1000"/>
      <c r="H9" s="1000"/>
      <c r="I9" s="1000"/>
    </row>
    <row r="10" spans="1:9" ht="9.75" customHeight="1">
      <c r="C10" s="1001"/>
      <c r="D10" s="1002"/>
      <c r="E10" s="1002"/>
      <c r="F10" s="1002"/>
      <c r="G10" s="1002"/>
      <c r="H10" s="1002"/>
      <c r="I10" s="1002"/>
    </row>
    <row r="11" spans="1:9" s="18" customFormat="1" ht="19.5" customHeight="1">
      <c r="A11" s="1003" t="s">
        <v>20</v>
      </c>
      <c r="B11" s="993" t="s">
        <v>1</v>
      </c>
      <c r="C11" s="1004"/>
      <c r="D11" s="1003" t="s">
        <v>0</v>
      </c>
      <c r="E11" s="1003" t="s">
        <v>14</v>
      </c>
      <c r="F11" s="993" t="s">
        <v>21</v>
      </c>
      <c r="G11" s="1004"/>
      <c r="H11" s="993" t="s">
        <v>31</v>
      </c>
      <c r="I11" s="994"/>
    </row>
    <row r="12" spans="1:9" s="18" customFormat="1" ht="32.25" customHeight="1">
      <c r="A12" s="1003"/>
      <c r="B12" s="237" t="s">
        <v>15</v>
      </c>
      <c r="C12" s="237" t="s">
        <v>32</v>
      </c>
      <c r="D12" s="1003"/>
      <c r="E12" s="1003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0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157001740</v>
      </c>
      <c r="H15" s="242">
        <f ca="1">IF(D15&lt;&gt;"",MAX(H14+F15-G15-I14,0),0)</f>
        <v>0</v>
      </c>
      <c r="I15" s="242">
        <f ca="1">IF(D15&lt;&gt;"",MAX(I14+G15-H14-F15,0),0)</f>
        <v>157001740</v>
      </c>
    </row>
    <row r="16" spans="1:9" s="18" customFormat="1" ht="18" customHeight="1">
      <c r="A16" s="199">
        <f ca="1">IF(ROWS($1:2)&gt;COUNT(Dong5),"",OFFSET(TH!C$1,SMALL(Dong5,ROWS($1:2)),))</f>
        <v>41670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41670</v>
      </c>
      <c r="D16" s="240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1">
        <f ca="1">IF(ROWS($1:2)&gt;COUNT(Dong5),0,IF(OFFSET(TH!L$1,SMALL(Dong5,ROWS($1:2)),)=$E$7,OFFSET(TH!K$1,SMALL(Dong5,ROWS($1:2)),),0))</f>
        <v>5820000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151181740</v>
      </c>
    </row>
    <row r="17" spans="1:9" s="18" customFormat="1" ht="18" customHeight="1">
      <c r="A17" s="199">
        <f ca="1">IF(ROWS($1:3)&gt;COUNT(Dong5),"",OFFSET(TH!C$1,SMALL(Dong5,ROWS($1:3)),))</f>
        <v>41698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41698</v>
      </c>
      <c r="D17" s="240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1">
        <f ca="1">IF(ROWS($1:3)&gt;COUNT(Dong5),0,IF(OFFSET(TH!L$1,SMALL(Dong5,ROWS($1:3)),)=$E$7,OFFSET(TH!K$1,SMALL(Dong5,ROWS($1:3)),),0))</f>
        <v>5760000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145421740</v>
      </c>
    </row>
    <row r="18" spans="1:9" s="18" customFormat="1" ht="18" customHeight="1">
      <c r="A18" s="199">
        <f ca="1">IF(ROWS($1:4)&gt;COUNT(Dong5),"",OFFSET(TH!C$1,SMALL(Dong5,ROWS($1:4)),))</f>
        <v>41729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41729</v>
      </c>
      <c r="D18" s="240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1">
        <f ca="1">IF(ROWS($1:4)&gt;COUNT(Dong5),0,IF(OFFSET(TH!L$1,SMALL(Dong5,ROWS($1:4)),)=$E$7,OFFSET(TH!K$1,SMALL(Dong5,ROWS($1:4)),),0))</f>
        <v>5880000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139541740</v>
      </c>
    </row>
    <row r="19" spans="1:9" s="18" customFormat="1" ht="18" customHeight="1">
      <c r="A19" s="199">
        <f ca="1">IF(ROWS($1:5)&gt;COUNT(Dong5),"",OFFSET(TH!C$1,SMALL(Dong5,ROWS($1:5)),))</f>
        <v>41759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41759</v>
      </c>
      <c r="D19" s="240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1">
        <f ca="1">IF(ROWS($1:5)&gt;COUNT(Dong5),0,IF(OFFSET(TH!L$1,SMALL(Dong5,ROWS($1:5)),)=$E$7,OFFSET(TH!K$1,SMALL(Dong5,ROWS($1:5)),),0))</f>
        <v>5850000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133691740</v>
      </c>
    </row>
    <row r="20" spans="1:9" s="18" customFormat="1" ht="18" customHeight="1">
      <c r="A20" s="199">
        <f ca="1">IF(ROWS($1:6)&gt;COUNT(Dong5),"",OFFSET(TH!C$1,SMALL(Dong5,ROWS($1:6)),))</f>
        <v>41790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41790</v>
      </c>
      <c r="D20" s="240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1">
        <f ca="1">IF(ROWS($1:6)&gt;COUNT(Dong5),0,IF(OFFSET(TH!L$1,SMALL(Dong5,ROWS($1:6)),)=$E$7,OFFSET(TH!K$1,SMALL(Dong5,ROWS($1:6)),),0))</f>
        <v>5880000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127811740</v>
      </c>
    </row>
    <row r="21" spans="1:9" s="18" customFormat="1" ht="18" customHeight="1">
      <c r="A21" s="199">
        <f ca="1">IF(ROWS($1:7)&gt;COUNT(Dong5),"",OFFSET(TH!C$1,SMALL(Dong5,ROWS($1:7)),))</f>
        <v>41820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41820</v>
      </c>
      <c r="D21" s="240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1">
        <f ca="1">IF(ROWS($1:7)&gt;COUNT(Dong5),0,IF(OFFSET(TH!L$1,SMALL(Dong5,ROWS($1:7)),)=$E$7,OFFSET(TH!K$1,SMALL(Dong5,ROWS($1:7)),),0))</f>
        <v>5850000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121961740</v>
      </c>
    </row>
    <row r="22" spans="1:9" s="18" customFormat="1" ht="18" customHeight="1">
      <c r="A22" s="199">
        <f ca="1">IF(ROWS($1:8)&gt;COUNT(Dong5),"",OFFSET(TH!C$1,SMALL(Dong5,ROWS($1:8)),))</f>
        <v>41851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41851</v>
      </c>
      <c r="D22" s="240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1">
        <f ca="1">IF(ROWS($1:8)&gt;COUNT(Dong5),0,IF(OFFSET(TH!L$1,SMALL(Dong5,ROWS($1:8)),)=$E$7,OFFSET(TH!K$1,SMALL(Dong5,ROWS($1:8)),),0))</f>
        <v>15215000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106746740</v>
      </c>
    </row>
    <row r="23" spans="1:9" s="18" customFormat="1" ht="18" customHeight="1">
      <c r="A23" s="199">
        <f ca="1">IF(ROWS($1:9)&gt;COUNT(Dong5),"",OFFSET(TH!C$1,SMALL(Dong5,ROWS($1:9)),))</f>
        <v>41882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41882</v>
      </c>
      <c r="D23" s="240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1">
        <f ca="1">IF(ROWS($1:9)&gt;COUNT(Dong5),0,IF(OFFSET(TH!L$1,SMALL(Dong5,ROWS($1:9)),)=$E$7,OFFSET(TH!K$1,SMALL(Dong5,ROWS($1:9)),),0))</f>
        <v>15170000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91576740</v>
      </c>
    </row>
    <row r="24" spans="1:9" s="18" customFormat="1" ht="18" customHeight="1">
      <c r="A24" s="199">
        <f ca="1">IF(ROWS($1:10)&gt;COUNT(Dong5),"",OFFSET(TH!C$1,SMALL(Dong5,ROWS($1:10)),))</f>
        <v>41912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41912</v>
      </c>
      <c r="D24" s="240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1">
        <f ca="1">IF(ROWS($1:10)&gt;COUNT(Dong5),0,IF(OFFSET(TH!L$1,SMALL(Dong5,ROWS($1:10)),)=$E$7,OFFSET(TH!K$1,SMALL(Dong5,ROWS($1:10)),),0))</f>
        <v>15125000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76451740</v>
      </c>
    </row>
    <row r="25" spans="1:9" s="18" customFormat="1" ht="18" customHeight="1">
      <c r="A25" s="199">
        <f ca="1">IF(ROWS($1:11)&gt;COUNT(Dong5),"",OFFSET(TH!C$1,SMALL(Dong5,ROWS($1:11)),))</f>
        <v>41943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41943</v>
      </c>
      <c r="D25" s="240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1">
        <f ca="1">IF(ROWS($1:11)&gt;COUNT(Dong5),0,IF(OFFSET(TH!L$1,SMALL(Dong5,ROWS($1:11)),)=$E$7,OFFSET(TH!K$1,SMALL(Dong5,ROWS($1:11)),),0))</f>
        <v>15215000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61236740</v>
      </c>
    </row>
    <row r="26" spans="1:9" s="18" customFormat="1" ht="18" customHeight="1">
      <c r="A26" s="199">
        <f ca="1">IF(ROWS($1:12)&gt;COUNT(Dong5),"",OFFSET(TH!C$1,SMALL(Dong5,ROWS($1:12)),))</f>
        <v>41973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41973</v>
      </c>
      <c r="D26" s="240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1">
        <f ca="1">IF(ROWS($1:12)&gt;COUNT(Dong5),0,IF(OFFSET(TH!L$1,SMALL(Dong5,ROWS($1:12)),)=$E$7,OFFSET(TH!K$1,SMALL(Dong5,ROWS($1:12)),),0))</f>
        <v>15125000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46111740</v>
      </c>
    </row>
    <row r="27" spans="1:9" s="18" customFormat="1" ht="18" customHeight="1">
      <c r="A27" s="199">
        <f ca="1">IF(ROWS($1:13)&gt;COUNT(Dong5),"",OFFSET(TH!C$1,SMALL(Dong5,ROWS($1:13)),))</f>
        <v>42004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42004</v>
      </c>
      <c r="D27" s="240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15215000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30896740</v>
      </c>
    </row>
    <row r="28" spans="1:9" s="18" customFormat="1" ht="18" customHeight="1">
      <c r="A28" s="199">
        <f ca="1">IF(ROWS($1:14)&gt;COUNT(Dong5),"",OFFSET(TH!C$1,SMALL(Dong5,ROWS($1:14)),))</f>
        <v>41729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41729</v>
      </c>
      <c r="D28" s="240" t="str">
        <f ca="1">IF(ROWS($1:14)&gt;COUNT(Dong5),"",OFFSET(TH!F$1,SMALL(Dong5,ROWS($1:14)),))</f>
        <v>Phí thanh toán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30881740</v>
      </c>
    </row>
    <row r="29" spans="1:9" s="18" customFormat="1" ht="18" customHeight="1">
      <c r="A29" s="199">
        <f ca="1">IF(ROWS($1:15)&gt;COUNT(Dong5),"",OFFSET(TH!C$1,SMALL(Dong5,ROWS($1:15)),))</f>
        <v>41731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41731</v>
      </c>
      <c r="D29" s="240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30866740</v>
      </c>
    </row>
    <row r="30" spans="1:9" s="18" customFormat="1" ht="18" customHeight="1">
      <c r="A30" s="199">
        <f ca="1">IF(ROWS($1:16)&gt;COUNT(Dong5),"",OFFSET(TH!C$1,SMALL(Dong5,ROWS($1:16)),))</f>
        <v>41810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41810</v>
      </c>
      <c r="D30" s="240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30851740</v>
      </c>
    </row>
    <row r="31" spans="1:9" s="18" customFormat="1" ht="18" customHeight="1">
      <c r="A31" s="199">
        <f ca="1">IF(ROWS($1:17)&gt;COUNT(Dong5),"",OFFSET(TH!C$1,SMALL(Dong5,ROWS($1:17)),))</f>
        <v>41810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41810</v>
      </c>
      <c r="D31" s="240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30836740</v>
      </c>
    </row>
    <row r="32" spans="1:9" s="18" customFormat="1" ht="18" customHeight="1">
      <c r="A32" s="199">
        <f ca="1">IF(ROWS($1:18)&gt;COUNT(Dong5),"",OFFSET(TH!C$1,SMALL(Dong5,ROWS($1:18)),))</f>
        <v>41814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41814</v>
      </c>
      <c r="D32" s="240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30821740</v>
      </c>
    </row>
    <row r="33" spans="1:9" s="18" customFormat="1" ht="18" customHeight="1">
      <c r="A33" s="199">
        <f ca="1">IF(ROWS($1:19)&gt;COUNT(Dong5),"",OFFSET(TH!C$1,SMALL(Dong5,ROWS($1:19)),))</f>
        <v>41814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41814</v>
      </c>
      <c r="D33" s="240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15000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30806740</v>
      </c>
    </row>
    <row r="34" spans="1:9" s="18" customFormat="1" ht="18" customHeight="1">
      <c r="A34" s="199">
        <f ca="1">IF(ROWS($1:20)&gt;COUNT(Dong5),"",OFFSET(TH!C$1,SMALL(Dong5,ROWS($1:20)),))</f>
        <v>41814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41814</v>
      </c>
      <c r="D34" s="240" t="str">
        <f ca="1">IF(ROWS($1:20)&gt;COUNT(Dong5),"",OFFSET(TH!F$1,SMALL(Dong5,ROWS($1:20)),))</f>
        <v>Phí kiểm đếm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1">
        <f ca="1">IF(ROWS($1:20)&gt;COUNT(Dong5),0,IF(OFFSET(TH!L$1,SMALL(Dong5,ROWS($1:20)),)=$E$7,OFFSET(TH!K$1,SMALL(Dong5,ROWS($1:20)),),0))</f>
        <v>15000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30791740</v>
      </c>
    </row>
    <row r="35" spans="1:9" s="18" customFormat="1" ht="18" customHeight="1">
      <c r="A35" s="199">
        <f ca="1">IF(ROWS($1:21)&gt;COUNT(Dong5),"",OFFSET(TH!C$1,SMALL(Dong5,ROWS($1:21)),))</f>
        <v>41829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41829</v>
      </c>
      <c r="D35" s="240" t="str">
        <f ca="1">IF(ROWS($1:21)&gt;COUNT(Dong5),"",OFFSET(TH!F$1,SMALL(Dong5,ROWS($1:21)),))</f>
        <v>Phí kiểm đếm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30776740</v>
      </c>
    </row>
    <row r="36" spans="1:9" s="18" customFormat="1" ht="18" customHeight="1">
      <c r="A36" s="199">
        <f ca="1">IF(ROWS($1:22)&gt;COUNT(Dong5),"",OFFSET(TH!C$1,SMALL(Dong5,ROWS($1:22)),))</f>
        <v>41829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41829</v>
      </c>
      <c r="D36" s="240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20000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30756740</v>
      </c>
    </row>
    <row r="37" spans="1:9" s="18" customFormat="1" ht="18" customHeight="1">
      <c r="A37" s="199">
        <f ca="1">IF(ROWS($1:23)&gt;COUNT(Dong5),"",OFFSET(TH!C$1,SMALL(Dong5,ROWS($1:23)),))</f>
        <v>41859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41859</v>
      </c>
      <c r="D37" s="240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15000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30741740</v>
      </c>
    </row>
    <row r="38" spans="1:9" s="18" customFormat="1" ht="18" customHeight="1">
      <c r="A38" s="199">
        <f ca="1">IF(ROWS($1:24)&gt;COUNT(Dong5),"",OFFSET(TH!C$1,SMALL(Dong5,ROWS($1:24)),))</f>
        <v>41871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41871</v>
      </c>
      <c r="D38" s="240" t="str">
        <f ca="1">IF(ROWS($1:24)&gt;COUNT(Dong5),"",OFFSET(TH!F$1,SMALL(Dong5,ROWS($1:24)),))</f>
        <v>Phí kiểm đếm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30726740</v>
      </c>
    </row>
    <row r="39" spans="1:9" s="18" customFormat="1" ht="18" customHeight="1">
      <c r="A39" s="199">
        <f ca="1">IF(ROWS($1:25)&gt;COUNT(Dong5),"",OFFSET(TH!C$1,SMALL(Dong5,ROWS($1:25)),))</f>
        <v>41871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41871</v>
      </c>
      <c r="D39" s="240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20000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30706740</v>
      </c>
    </row>
    <row r="40" spans="1:9" s="18" customFormat="1" ht="18" customHeight="1">
      <c r="A40" s="199">
        <f ca="1">IF(ROWS($1:26)&gt;COUNT(Dong5),"",OFFSET(TH!C$1,SMALL(Dong5,ROWS($1:26)),))</f>
        <v>41871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41871</v>
      </c>
      <c r="D40" s="240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1">
        <f ca="1">IF(ROWS($1:26)&gt;COUNT(Dong5),0,IF(OFFSET(TH!L$1,SMALL(Dong5,ROWS($1:26)),)=$E$7,OFFSET(TH!K$1,SMALL(Dong5,ROWS($1:26)),),0))</f>
        <v>20000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30686740</v>
      </c>
    </row>
    <row r="41" spans="1:9" s="18" customFormat="1" ht="18" customHeight="1">
      <c r="A41" s="199">
        <f ca="1">IF(ROWS($1:27)&gt;COUNT(Dong5),"",OFFSET(TH!C$1,SMALL(Dong5,ROWS($1:27)),))</f>
        <v>41871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41871</v>
      </c>
      <c r="D41" s="240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15000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30671740</v>
      </c>
    </row>
    <row r="42" spans="1:9" s="18" customFormat="1" ht="18" customHeight="1">
      <c r="A42" s="199">
        <f ca="1">IF(ROWS($1:28)&gt;COUNT(Dong5),"",OFFSET(TH!C$1,SMALL(Dong5,ROWS($1:28)),))</f>
        <v>41878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41878</v>
      </c>
      <c r="D42" s="240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15000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30656740</v>
      </c>
    </row>
    <row r="43" spans="1:9" s="18" customFormat="1" ht="18" customHeight="1">
      <c r="A43" s="199">
        <f ca="1">IF(ROWS($1:29)&gt;COUNT(Dong5),"",OFFSET(TH!C$1,SMALL(Dong5,ROWS($1:29)),))</f>
        <v>41878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41878</v>
      </c>
      <c r="D43" s="240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20000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30636740</v>
      </c>
    </row>
    <row r="44" spans="1:9" s="18" customFormat="1" ht="18" customHeight="1">
      <c r="A44" s="199">
        <f ca="1">IF(ROWS($1:30)&gt;COUNT(Dong5),"",OFFSET(TH!C$1,SMALL(Dong5,ROWS($1:30)),))</f>
        <v>41891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41891</v>
      </c>
      <c r="D44" s="240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1">
        <f ca="1">IF(ROWS($1:30)&gt;COUNT(Dong5),0,IF(OFFSET(TH!L$1,SMALL(Dong5,ROWS($1:30)),)=$E$7,OFFSET(TH!K$1,SMALL(Dong5,ROWS($1:30)),),0))</f>
        <v>15000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30621740</v>
      </c>
    </row>
    <row r="45" spans="1:9" s="18" customFormat="1" ht="18" customHeight="1">
      <c r="A45" s="199">
        <f ca="1">IF(ROWS($1:31)&gt;COUNT(Dong5),"",OFFSET(TH!C$1,SMALL(Dong5,ROWS($1:31)),))</f>
        <v>41891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41891</v>
      </c>
      <c r="D45" s="240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15000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30606740</v>
      </c>
    </row>
    <row r="46" spans="1:9" s="18" customFormat="1" ht="18" customHeight="1">
      <c r="A46" s="199">
        <f ca="1">IF(ROWS($1:32)&gt;COUNT(Dong5),"",OFFSET(TH!C$1,SMALL(Dong5,ROWS($1:32)),))</f>
        <v>41898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41898</v>
      </c>
      <c r="D46" s="240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15000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30591740</v>
      </c>
    </row>
    <row r="47" spans="1:9" s="18" customFormat="1" ht="18" customHeight="1">
      <c r="A47" s="199">
        <f ca="1">IF(ROWS($1:33)&gt;COUNT(Dong5),"",OFFSET(TH!C$1,SMALL(Dong5,ROWS($1:33)),))</f>
        <v>41898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41898</v>
      </c>
      <c r="D47" s="240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15000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30576740</v>
      </c>
    </row>
    <row r="48" spans="1:9" s="18" customFormat="1" ht="18" customHeight="1">
      <c r="A48" s="199">
        <f ca="1">IF(ROWS($1:34)&gt;COUNT(Dong5),"",OFFSET(TH!C$1,SMALL(Dong5,ROWS($1:34)),))</f>
        <v>41906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41906</v>
      </c>
      <c r="D48" s="240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20000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30556740</v>
      </c>
    </row>
    <row r="49" spans="1:9" s="18" customFormat="1" ht="18" customHeight="1">
      <c r="A49" s="199">
        <f ca="1">IF(ROWS($1:35)&gt;COUNT(Dong5),"",OFFSET(TH!C$1,SMALL(Dong5,ROWS($1:35)),))</f>
        <v>41914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41914</v>
      </c>
      <c r="D49" s="240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15000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30541740</v>
      </c>
    </row>
    <row r="50" spans="1:9" s="18" customFormat="1" ht="18" customHeight="1">
      <c r="A50" s="199">
        <f ca="1">IF(ROWS($1:36)&gt;COUNT(Dong5),"",OFFSET(TH!C$1,SMALL(Dong5,ROWS($1:36)),))</f>
        <v>41916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41916</v>
      </c>
      <c r="D50" s="240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1">
        <f ca="1">IF(ROWS($1:36)&gt;COUNT(Dong5),0,IF(OFFSET(TH!L$1,SMALL(Dong5,ROWS($1:36)),)=$E$7,OFFSET(TH!K$1,SMALL(Dong5,ROWS($1:36)),),0))</f>
        <v>15000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30526740</v>
      </c>
    </row>
    <row r="51" spans="1:9" s="18" customFormat="1" ht="18" customHeight="1">
      <c r="A51" s="199">
        <f ca="1">IF(ROWS($1:37)&gt;COUNT(Dong5),"",OFFSET(TH!C$1,SMALL(Dong5,ROWS($1:37)),))</f>
        <v>41933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41933</v>
      </c>
      <c r="D51" s="240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1">
        <f ca="1">IF(ROWS($1:37)&gt;COUNT(Dong5),0,IF(OFFSET(TH!L$1,SMALL(Dong5,ROWS($1:37)),)=$E$7,OFFSET(TH!K$1,SMALL(Dong5,ROWS($1:37)),),0))</f>
        <v>15000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30511740</v>
      </c>
    </row>
    <row r="52" spans="1:9" s="18" customFormat="1" ht="18" customHeight="1">
      <c r="A52" s="199">
        <f ca="1">IF(ROWS($1:38)&gt;COUNT(Dong5),"",OFFSET(TH!C$1,SMALL(Dong5,ROWS($1:38)),))</f>
        <v>41933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41933</v>
      </c>
      <c r="D52" s="240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15000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30496740</v>
      </c>
    </row>
    <row r="53" spans="1:9" s="18" customFormat="1" ht="18" customHeight="1">
      <c r="A53" s="199">
        <f ca="1">IF(ROWS($1:39)&gt;COUNT(Dong5),"",OFFSET(TH!C$1,SMALL(Dong5,ROWS($1:39)),))</f>
        <v>41946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41946</v>
      </c>
      <c r="D53" s="240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15000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30481740</v>
      </c>
    </row>
    <row r="54" spans="1:9" s="18" customFormat="1" ht="18" customHeight="1">
      <c r="A54" s="199">
        <f ca="1">IF(ROWS($1:40)&gt;COUNT(Dong5),"",OFFSET(TH!C$1,SMALL(Dong5,ROWS($1:40)),))</f>
        <v>41949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41949</v>
      </c>
      <c r="D54" s="240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1">
        <f ca="1">IF(ROWS($1:40)&gt;COUNT(Dong5),0,IF(OFFSET(TH!L$1,SMALL(Dong5,ROWS($1:40)),)=$E$7,OFFSET(TH!K$1,SMALL(Dong5,ROWS($1:40)),),0))</f>
        <v>45000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30436740</v>
      </c>
    </row>
    <row r="55" spans="1:9" s="18" customFormat="1" ht="18" customHeight="1">
      <c r="A55" s="199">
        <f ca="1">IF(ROWS($1:41)&gt;COUNT(Dong5),"",OFFSET(TH!C$1,SMALL(Dong5,ROWS($1:41)),))</f>
        <v>41956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41956</v>
      </c>
      <c r="D55" s="240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1">
        <f ca="1">IF(ROWS($1:41)&gt;COUNT(Dong5),0,IF(OFFSET(TH!L$1,SMALL(Dong5,ROWS($1:41)),)=$E$7,OFFSET(TH!K$1,SMALL(Dong5,ROWS($1:41)),),0))</f>
        <v>15000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30421740</v>
      </c>
    </row>
    <row r="56" spans="1:9" s="18" customFormat="1" ht="18" customHeight="1">
      <c r="A56" s="199">
        <f ca="1">IF(ROWS($1:42)&gt;COUNT(Dong5),"",OFFSET(TH!C$1,SMALL(Dong5,ROWS($1:42)),))</f>
        <v>41956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41956</v>
      </c>
      <c r="D56" s="240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15000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30406740</v>
      </c>
    </row>
    <row r="57" spans="1:9" s="18" customFormat="1" ht="18" customHeight="1">
      <c r="A57" s="199">
        <f ca="1">IF(ROWS($1:43)&gt;COUNT(Dong5),"",OFFSET(TH!C$1,SMALL(Dong5,ROWS($1:43)),))</f>
        <v>41965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41965</v>
      </c>
      <c r="D57" s="240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1">
        <f ca="1">IF(ROWS($1:43)&gt;COUNT(Dong5),0,IF(OFFSET(TH!L$1,SMALL(Dong5,ROWS($1:43)),)=$E$7,OFFSET(TH!K$1,SMALL(Dong5,ROWS($1:43)),),0))</f>
        <v>15000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30391740</v>
      </c>
    </row>
    <row r="58" spans="1:9" s="18" customFormat="1" ht="18" customHeight="1">
      <c r="A58" s="199">
        <f ca="1">IF(ROWS($1:44)&gt;COUNT(Dong5),"",OFFSET(TH!C$1,SMALL(Dong5,ROWS($1:44)),))</f>
        <v>41965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41965</v>
      </c>
      <c r="D58" s="240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1">
        <f ca="1">IF(ROWS($1:44)&gt;COUNT(Dong5),0,IF(OFFSET(TH!L$1,SMALL(Dong5,ROWS($1:44)),)=$E$7,OFFSET(TH!K$1,SMALL(Dong5,ROWS($1:44)),),0))</f>
        <v>15000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30376740</v>
      </c>
    </row>
    <row r="59" spans="1:9" s="18" customFormat="1" ht="18" customHeight="1">
      <c r="A59" s="199">
        <f ca="1">IF(ROWS($1:45)&gt;COUNT(Dong5),"",OFFSET(TH!C$1,SMALL(Dong5,ROWS($1:45)),))</f>
        <v>41968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41968</v>
      </c>
      <c r="D59" s="240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15000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30361740</v>
      </c>
    </row>
    <row r="60" spans="1:9" s="18" customFormat="1" ht="18" customHeight="1">
      <c r="A60" s="199">
        <f ca="1">IF(ROWS($1:46)&gt;COUNT(Dong5),"",OFFSET(TH!C$1,SMALL(Dong5,ROWS($1:46)),))</f>
        <v>41972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41972</v>
      </c>
      <c r="D60" s="240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15000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30346740</v>
      </c>
    </row>
    <row r="61" spans="1:9" s="18" customFormat="1" ht="18" customHeight="1">
      <c r="A61" s="199"/>
      <c r="B61" s="199"/>
      <c r="C61" s="199"/>
      <c r="D61" s="240"/>
      <c r="E61" s="199"/>
      <c r="F61" s="241"/>
      <c r="G61" s="239"/>
      <c r="H61" s="242"/>
      <c r="I61" s="242"/>
    </row>
    <row r="62" spans="1:9" s="18" customFormat="1" ht="18" customHeight="1">
      <c r="A62" s="199"/>
      <c r="B62" s="200"/>
      <c r="C62" s="199"/>
      <c r="D62" s="234" t="s">
        <v>133</v>
      </c>
      <c r="E62" s="200" t="s">
        <v>19</v>
      </c>
      <c r="F62" s="243">
        <f ca="1">SUM(F15:F61)</f>
        <v>126655000</v>
      </c>
      <c r="G62" s="243">
        <f ca="1">SUM(G15:G61)</f>
        <v>157001740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30346740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47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91" t="str">
        <f ca="1">"Ngày 31 tháng  12  năm  "&amp;YEAR($A$15)</f>
        <v>Ngày 31 tháng  12  năm  2014</v>
      </c>
      <c r="F67" s="991"/>
      <c r="G67" s="991"/>
      <c r="H67" s="991"/>
      <c r="I67" s="991"/>
    </row>
    <row r="68" spans="1:9" s="18" customFormat="1" ht="12.75">
      <c r="A68" s="991" t="s">
        <v>11</v>
      </c>
      <c r="B68" s="991"/>
      <c r="C68" s="991"/>
      <c r="D68" s="991"/>
      <c r="E68" s="991" t="s">
        <v>12</v>
      </c>
      <c r="F68" s="991"/>
      <c r="G68" s="991"/>
      <c r="H68" s="991"/>
      <c r="I68" s="991"/>
    </row>
    <row r="69" spans="1:9" s="18" customFormat="1" ht="12.75">
      <c r="A69" s="991" t="s">
        <v>13</v>
      </c>
      <c r="B69" s="991"/>
      <c r="C69" s="991"/>
      <c r="D69" s="991"/>
      <c r="E69" s="991" t="s">
        <v>13</v>
      </c>
      <c r="F69" s="991"/>
      <c r="G69" s="991"/>
      <c r="H69" s="991"/>
      <c r="I69" s="99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2"/>
      <c r="B76" s="992"/>
      <c r="C76" s="992"/>
      <c r="D76" s="99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95" t="s">
        <v>119</v>
      </c>
      <c r="H1" s="995"/>
      <c r="I1" s="995"/>
      <c r="J1" s="99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6"/>
      <c r="I2" s="996"/>
      <c r="J2" s="996"/>
    </row>
    <row r="3" spans="1:15" s="3" customFormat="1" ht="16.5" customHeight="1">
      <c r="A3" s="4"/>
      <c r="B3" s="16"/>
      <c r="C3" s="109"/>
      <c r="D3" s="109"/>
      <c r="E3" s="16"/>
      <c r="G3" s="996"/>
      <c r="H3" s="996"/>
      <c r="I3" s="996"/>
      <c r="J3" s="99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05" t="s">
        <v>120</v>
      </c>
      <c r="B5" s="1005"/>
      <c r="C5" s="1005"/>
      <c r="D5" s="1005"/>
      <c r="E5" s="1005"/>
      <c r="F5" s="1005"/>
      <c r="G5" s="1005"/>
      <c r="H5" s="1005"/>
      <c r="I5" s="1005"/>
      <c r="J5" s="1005"/>
    </row>
    <row r="6" spans="1:15" ht="14.25" customHeight="1">
      <c r="A6" s="1007" t="str">
        <f ca="1">$L$11&amp;" / "&amp;YEAR($A$14)</f>
        <v>Quý III / 2014</v>
      </c>
      <c r="B6" s="1007"/>
      <c r="C6" s="1007"/>
      <c r="D6" s="1007"/>
      <c r="E6" s="1007"/>
      <c r="F6" s="1007"/>
      <c r="G6" s="1007"/>
      <c r="H6" s="1007"/>
      <c r="I6" s="1007"/>
      <c r="J6" s="1007"/>
    </row>
    <row r="7" spans="1:15">
      <c r="A7" s="1006" t="s">
        <v>121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15">
      <c r="A8" s="1006" t="s">
        <v>122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15">
      <c r="A9" s="112"/>
      <c r="I9" s="112" t="s">
        <v>123</v>
      </c>
    </row>
    <row r="10" spans="1:15" ht="33" customHeight="1" thickBot="1">
      <c r="A10" s="1009" t="s">
        <v>20</v>
      </c>
      <c r="B10" s="1009" t="s">
        <v>124</v>
      </c>
      <c r="C10" s="1008" t="s">
        <v>125</v>
      </c>
      <c r="D10" s="1008"/>
      <c r="E10" s="1008" t="s">
        <v>0</v>
      </c>
      <c r="F10" s="1009" t="s">
        <v>14</v>
      </c>
      <c r="G10" s="1008" t="s">
        <v>21</v>
      </c>
      <c r="H10" s="1008"/>
      <c r="I10" s="1008" t="s">
        <v>126</v>
      </c>
      <c r="J10" s="1008" t="s">
        <v>127</v>
      </c>
      <c r="L10" s="572"/>
      <c r="N10" s="983" t="s">
        <v>325</v>
      </c>
      <c r="O10" s="983"/>
    </row>
    <row r="11" spans="1:15" ht="24" customHeight="1" thickBot="1">
      <c r="A11" s="1010"/>
      <c r="B11" s="1010"/>
      <c r="C11" s="113" t="s">
        <v>128</v>
      </c>
      <c r="D11" s="113" t="s">
        <v>129</v>
      </c>
      <c r="E11" s="1008"/>
      <c r="F11" s="1010"/>
      <c r="G11" s="113" t="s">
        <v>22</v>
      </c>
      <c r="H11" s="113" t="s">
        <v>23</v>
      </c>
      <c r="I11" s="1008"/>
      <c r="J11" s="1008"/>
      <c r="L11" s="178" t="s">
        <v>405</v>
      </c>
      <c r="N11" s="592">
        <f>IF(L11="Quý I",1,IF(L11="Quý II",4,IF(L11="Quý III",7,IF(L11="Quý IV",10,""))))</f>
        <v>7</v>
      </c>
      <c r="O11" s="59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3"/>
      <c r="O12" s="59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2066046400</v>
      </c>
      <c r="J13" s="117"/>
      <c r="N13" s="594"/>
      <c r="O13" s="594"/>
    </row>
    <row r="14" spans="1:15" ht="21.75" customHeight="1">
      <c r="A14" s="120">
        <f ca="1">IF(ROWS($1:1)&gt;COUNT(Dong1),"",OFFSET(TH!C$1,SMALL(Dong1,ROWS($1:1)),))</f>
        <v>41851</v>
      </c>
      <c r="B14" s="120">
        <f ca="1">IF(ROWS($1:1)&gt;COUNT(Dong1),"",OFFSET(TH!E$1,SMALL(Dong1,ROWS($1:1)),))</f>
        <v>41851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4" t="str">
        <f ca="1">IF(ROWS($1:1)&gt;COUNT(Dong1),"",OFFSET(TH!F$1,SMALL(Dong1,ROWS($1:1)),))</f>
        <v>Thanh toán tiền lương tháng 7/2014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46350000</v>
      </c>
      <c r="I14" s="121">
        <f ca="1">IF(E14&lt;&gt;"",I13+G14-H14,0)</f>
        <v>2019696400</v>
      </c>
      <c r="J14" s="126"/>
      <c r="N14" s="595"/>
      <c r="O14" s="595"/>
    </row>
    <row r="15" spans="1:15" ht="21.75" customHeight="1">
      <c r="A15" s="120">
        <f ca="1">IF(ROWS($1:2)&gt;COUNT(Dong1),"",OFFSET(TH!C$1,SMALL(Dong1,ROWS($1:2)),))</f>
        <v>41882</v>
      </c>
      <c r="B15" s="120">
        <f ca="1">IF(ROWS($1:2)&gt;COUNT(Dong1),"",OFFSET(TH!E$1,SMALL(Dong1,ROWS($1:2)),))</f>
        <v>41882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4" t="str">
        <f ca="1">IF(ROWS($1:2)&gt;COUNT(Dong1),"",OFFSET(TH!F$1,SMALL(Dong1,ROWS($1:2)),))</f>
        <v>Thanh toán tiền lương tháng 8/2014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46200000</v>
      </c>
      <c r="I15" s="121">
        <f t="shared" ref="I15:I62" ca="1" si="0">IF(E15&lt;&gt;"",I14+G15-H15,0)</f>
        <v>1973496400</v>
      </c>
      <c r="J15" s="126"/>
      <c r="N15" s="595"/>
      <c r="O15" s="595"/>
    </row>
    <row r="16" spans="1:15" ht="21.75" customHeight="1">
      <c r="A16" s="120">
        <f ca="1">IF(ROWS($1:3)&gt;COUNT(Dong1),"",OFFSET(TH!C$1,SMALL(Dong1,ROWS($1:3)),))</f>
        <v>41912</v>
      </c>
      <c r="B16" s="120">
        <f ca="1">IF(ROWS($1:3)&gt;COUNT(Dong1),"",OFFSET(TH!E$1,SMALL(Dong1,ROWS($1:3)),))</f>
        <v>41912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4" t="str">
        <f ca="1">IF(ROWS($1:3)&gt;COUNT(Dong1),"",OFFSET(TH!F$1,SMALL(Dong1,ROWS($1:3)),))</f>
        <v>Thanh toán tiền lương tháng 9/2014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46050000</v>
      </c>
      <c r="I16" s="121">
        <f t="shared" ca="1" si="0"/>
        <v>1927446400</v>
      </c>
      <c r="J16" s="126"/>
      <c r="N16" s="595"/>
      <c r="O16" s="595"/>
    </row>
    <row r="17" spans="1:15" ht="21.75" customHeight="1">
      <c r="A17" s="120">
        <f ca="1">IF(ROWS($1:4)&gt;COUNT(Dong1),"",OFFSET(TH!C$1,SMALL(Dong1,ROWS($1:4)),))</f>
        <v>41832</v>
      </c>
      <c r="B17" s="120">
        <f ca="1">IF(ROWS($1:4)&gt;COUNT(Dong1),"",OFFSET(TH!E$1,SMALL(Dong1,ROWS($1:4)),))</f>
        <v>41832</v>
      </c>
      <c r="C17" s="121">
        <f ca="1">IF(ROWS($1:4)&gt;COUNT(Dong1),"",IF(OFFSET(TH!L$1,SMALL(Dong1,ROWS($1:4)),)="1111",OFFSET(TH!D$1,SMALL(Dong1,ROWS($1:4)),),""))</f>
        <v>0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14356980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1941803380</v>
      </c>
      <c r="J17" s="126"/>
      <c r="N17" s="595"/>
      <c r="O17" s="595"/>
    </row>
    <row r="18" spans="1:15" ht="21.75" customHeight="1">
      <c r="A18" s="120">
        <f ca="1">IF(ROWS($1:5)&gt;COUNT(Dong1),"",OFFSET(TH!C$1,SMALL(Dong1,ROWS($1:5)),))</f>
        <v>41834</v>
      </c>
      <c r="B18" s="120">
        <f ca="1">IF(ROWS($1:5)&gt;COUNT(Dong1),"",OFFSET(TH!E$1,SMALL(Dong1,ROWS($1:5)),))</f>
        <v>41834</v>
      </c>
      <c r="C18" s="121">
        <f ca="1">IF(ROWS($1:5)&gt;COUNT(Dong1),"",IF(OFFSET(TH!L$1,SMALL(Dong1,ROWS($1:5)),)="1111",OFFSET(TH!D$1,SMALL(Dong1,ROWS($1:5)),),""))</f>
        <v>0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13377870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1955181250</v>
      </c>
      <c r="J18" s="126"/>
      <c r="N18" s="595"/>
      <c r="O18" s="595"/>
    </row>
    <row r="19" spans="1:15" ht="21.75" customHeight="1">
      <c r="A19" s="120">
        <f ca="1">IF(ROWS($1:6)&gt;COUNT(Dong1),"",OFFSET(TH!C$1,SMALL(Dong1,ROWS($1:6)),))</f>
        <v>41834</v>
      </c>
      <c r="B19" s="120">
        <f ca="1">IF(ROWS($1:6)&gt;COUNT(Dong1),"",OFFSET(TH!E$1,SMALL(Dong1,ROWS($1:6)),))</f>
        <v>41834</v>
      </c>
      <c r="C19" s="121">
        <f ca="1">IF(ROWS($1:6)&gt;COUNT(Dong1),"",IF(OFFSET(TH!L$1,SMALL(Dong1,ROWS($1:6)),)="1111",OFFSET(TH!D$1,SMALL(Dong1,ROWS($1:6)),),""))</f>
        <v>0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11515350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1966696600</v>
      </c>
      <c r="J19" s="126"/>
      <c r="N19" s="595"/>
      <c r="O19" s="595"/>
    </row>
    <row r="20" spans="1:15" ht="21.75" customHeight="1">
      <c r="A20" s="120">
        <f ca="1">IF(ROWS($1:7)&gt;COUNT(Dong1),"",OFFSET(TH!C$1,SMALL(Dong1,ROWS($1:7)),))</f>
        <v>41842</v>
      </c>
      <c r="B20" s="120">
        <f ca="1">IF(ROWS($1:7)&gt;COUNT(Dong1),"",OFFSET(TH!E$1,SMALL(Dong1,ROWS($1:7)),))</f>
        <v>41842</v>
      </c>
      <c r="C20" s="121">
        <f ca="1">IF(ROWS($1:7)&gt;COUNT(Dong1),"",IF(OFFSET(TH!L$1,SMALL(Dong1,ROWS($1:7)),)="1111",OFFSET(TH!D$1,SMALL(Dong1,ROWS($1:7)),),""))</f>
        <v>0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19360000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1986056600</v>
      </c>
      <c r="J20" s="126"/>
      <c r="N20" s="595"/>
      <c r="O20" s="595"/>
    </row>
    <row r="21" spans="1:15" ht="21.75" customHeight="1">
      <c r="A21" s="120">
        <f ca="1">IF(ROWS($1:8)&gt;COUNT(Dong1),"",OFFSET(TH!C$1,SMALL(Dong1,ROWS($1:8)),))</f>
        <v>41843</v>
      </c>
      <c r="B21" s="120">
        <f ca="1">IF(ROWS($1:8)&gt;COUNT(Dong1),"",OFFSET(TH!E$1,SMALL(Dong1,ROWS($1:8)),))</f>
        <v>41843</v>
      </c>
      <c r="C21" s="121">
        <f ca="1">IF(ROWS($1:8)&gt;COUNT(Dong1),"",IF(OFFSET(TH!L$1,SMALL(Dong1,ROWS($1:8)),)="1111",OFFSET(TH!D$1,SMALL(Dong1,ROWS($1:8)),),""))</f>
        <v>0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8141210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1994197810</v>
      </c>
      <c r="J21" s="126"/>
      <c r="N21" s="595"/>
      <c r="O21" s="595"/>
    </row>
    <row r="22" spans="1:15" ht="21.75" customHeight="1">
      <c r="A22" s="120">
        <f ca="1">IF(ROWS($1:9)&gt;COUNT(Dong1),"",OFFSET(TH!C$1,SMALL(Dong1,ROWS($1:9)),))</f>
        <v>41843</v>
      </c>
      <c r="B22" s="120">
        <f ca="1">IF(ROWS($1:9)&gt;COUNT(Dong1),"",OFFSET(TH!E$1,SMALL(Dong1,ROWS($1:9)),))</f>
        <v>41843</v>
      </c>
      <c r="C22" s="121">
        <f ca="1">IF(ROWS($1:9)&gt;COUNT(Dong1),"",IF(OFFSET(TH!L$1,SMALL(Dong1,ROWS($1:9)),)="1111",OFFSET(TH!D$1,SMALL(Dong1,ROWS($1:9)),),""))</f>
        <v>0</v>
      </c>
      <c r="D22" s="122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Thu tiền hàng</v>
      </c>
      <c r="F22" s="124" t="str">
        <f ca="1">IF(ROWS($1:9)&gt;COUNT(Dong1),"",IF(OFFSET(TH!M$1,SMALL(Dong1,ROWS($1:9)),)="1111",OFFSET(TH!L$1,SMALL(Dong1,ROWS($1:9)),),OFFSET(TH!M$1,SMALL(Dong1,ROWS($1:9)),)))</f>
        <v>131</v>
      </c>
      <c r="G22" s="125">
        <f ca="1">IF(ROWS($1:9)&gt;COUNT(Dong1),"",IF(OFFSET(TH!L$1,SMALL(Dong1,ROWS($1:9)),)="1111",OFFSET(TH!K$1,SMALL(Dong1,ROWS($1:9)),),0))</f>
        <v>8086540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2002284350</v>
      </c>
      <c r="J22" s="126"/>
      <c r="N22" s="595"/>
      <c r="O22" s="595"/>
    </row>
    <row r="23" spans="1:15" ht="21.75" customHeight="1">
      <c r="A23" s="120">
        <f ca="1">IF(ROWS($1:10)&gt;COUNT(Dong1),"",OFFSET(TH!C$1,SMALL(Dong1,ROWS($1:10)),))</f>
        <v>41843</v>
      </c>
      <c r="B23" s="120">
        <f ca="1">IF(ROWS($1:10)&gt;COUNT(Dong1),"",OFFSET(TH!E$1,SMALL(Dong1,ROWS($1:10)),))</f>
        <v>41843</v>
      </c>
      <c r="C23" s="121">
        <f ca="1">IF(ROWS($1:10)&gt;COUNT(Dong1),"",IF(OFFSET(TH!L$1,SMALL(Dong1,ROWS($1:10)),)="1111",OFFSET(TH!D$1,SMALL(Dong1,ROWS($1:10)),),""))</f>
        <v>0</v>
      </c>
      <c r="D23" s="122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4" t="str">
        <f ca="1">IF(ROWS($1:10)&gt;COUNT(Dong1),"",IF(OFFSET(TH!M$1,SMALL(Dong1,ROWS($1:10)),)="1111",OFFSET(TH!L$1,SMALL(Dong1,ROWS($1:10)),),OFFSET(TH!M$1,SMALL(Dong1,ROWS($1:10)),)))</f>
        <v>131</v>
      </c>
      <c r="G23" s="125">
        <f ca="1">IF(ROWS($1:10)&gt;COUNT(Dong1),"",IF(OFFSET(TH!L$1,SMALL(Dong1,ROWS($1:10)),)="1111",OFFSET(TH!K$1,SMALL(Dong1,ROWS($1:10)),),0))</f>
        <v>3971000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2006255350</v>
      </c>
      <c r="J23" s="126"/>
      <c r="N23" s="595"/>
      <c r="O23" s="595"/>
    </row>
    <row r="24" spans="1:15" ht="21.75" customHeight="1">
      <c r="A24" s="120">
        <f ca="1">IF(ROWS($1:11)&gt;COUNT(Dong1),"",OFFSET(TH!C$1,SMALL(Dong1,ROWS($1:11)),))</f>
        <v>41845</v>
      </c>
      <c r="B24" s="120">
        <f ca="1">IF(ROWS($1:11)&gt;COUNT(Dong1),"",OFFSET(TH!E$1,SMALL(Dong1,ROWS($1:11)),))</f>
        <v>41845</v>
      </c>
      <c r="C24" s="121">
        <f ca="1">IF(ROWS($1:11)&gt;COUNT(Dong1),"",IF(OFFSET(TH!L$1,SMALL(Dong1,ROWS($1:11)),)="1111",OFFSET(TH!D$1,SMALL(Dong1,ROWS($1:11)),),""))</f>
        <v>0</v>
      </c>
      <c r="D24" s="122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1155000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2007410350</v>
      </c>
      <c r="J24" s="126"/>
      <c r="N24" s="595"/>
      <c r="O24" s="595"/>
    </row>
    <row r="25" spans="1:15" ht="21.75" customHeight="1">
      <c r="A25" s="120">
        <f ca="1">IF(ROWS($1:12)&gt;COUNT(Dong1),"",OFFSET(TH!C$1,SMALL(Dong1,ROWS($1:12)),))</f>
        <v>41849</v>
      </c>
      <c r="B25" s="120">
        <f ca="1">IF(ROWS($1:12)&gt;COUNT(Dong1),"",OFFSET(TH!E$1,SMALL(Dong1,ROWS($1:12)),))</f>
        <v>41849</v>
      </c>
      <c r="C25" s="121">
        <f ca="1">IF(ROWS($1:12)&gt;COUNT(Dong1),"",IF(OFFSET(TH!L$1,SMALL(Dong1,ROWS($1:12)),)="1111",OFFSET(TH!D$1,SMALL(Dong1,ROWS($1:12)),),""))</f>
        <v>0</v>
      </c>
      <c r="D25" s="122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11723250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2019133600</v>
      </c>
      <c r="J25" s="126"/>
      <c r="N25" s="595"/>
      <c r="O25" s="595"/>
    </row>
    <row r="26" spans="1:15" ht="21.75" customHeight="1">
      <c r="A26" s="120">
        <f ca="1">IF(ROWS($1:13)&gt;COUNT(Dong1),"",OFFSET(TH!C$1,SMALL(Dong1,ROWS($1:13)),))</f>
        <v>41850</v>
      </c>
      <c r="B26" s="120">
        <f ca="1">IF(ROWS($1:13)&gt;COUNT(Dong1),"",OFFSET(TH!E$1,SMALL(Dong1,ROWS($1:13)),))</f>
        <v>41850</v>
      </c>
      <c r="C26" s="121">
        <f ca="1">IF(ROWS($1:13)&gt;COUNT(Dong1),"",IF(OFFSET(TH!L$1,SMALL(Dong1,ROWS($1:13)),)="1111",OFFSET(TH!D$1,SMALL(Dong1,ROWS($1:13)),),""))</f>
        <v>0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17085200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2036218800</v>
      </c>
      <c r="J26" s="126"/>
      <c r="N26" s="595"/>
      <c r="O26" s="595"/>
    </row>
    <row r="27" spans="1:15" ht="21.75" customHeight="1">
      <c r="A27" s="120">
        <f ca="1">IF(ROWS($1:14)&gt;COUNT(Dong1),"",OFFSET(TH!C$1,SMALL(Dong1,ROWS($1:14)),))</f>
        <v>41859</v>
      </c>
      <c r="B27" s="120">
        <f ca="1">IF(ROWS($1:14)&gt;COUNT(Dong1),"",OFFSET(TH!E$1,SMALL(Dong1,ROWS($1:14)),))</f>
        <v>41859</v>
      </c>
      <c r="C27" s="121">
        <f ca="1">IF(ROWS($1:14)&gt;COUNT(Dong1),"",IF(OFFSET(TH!L$1,SMALL(Dong1,ROWS($1:14)),)="1111",OFFSET(TH!D$1,SMALL(Dong1,ROWS($1:14)),),""))</f>
        <v>0</v>
      </c>
      <c r="D27" s="122" t="str">
        <f ca="1">IF(ROWS($1:14)&gt;COUNT(Dong1),"",IF(OFFSET(TH!M$1,SMALL(Dong1,ROWS($1:14)),)="1111",OFFSET(TH!D$1,SMALL(Dong1,ROWS($1:14)),),""))</f>
        <v/>
      </c>
      <c r="E27" s="224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4798530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2041017330</v>
      </c>
      <c r="J27" s="126"/>
      <c r="N27" s="595"/>
      <c r="O27" s="595"/>
    </row>
    <row r="28" spans="1:15" ht="21.75" customHeight="1">
      <c r="A28" s="120">
        <f ca="1">IF(ROWS($1:15)&gt;COUNT(Dong1),"",OFFSET(TH!C$1,SMALL(Dong1,ROWS($1:15)),))</f>
        <v>41863</v>
      </c>
      <c r="B28" s="120">
        <f ca="1">IF(ROWS($1:15)&gt;COUNT(Dong1),"",OFFSET(TH!E$1,SMALL(Dong1,ROWS($1:15)),))</f>
        <v>41863</v>
      </c>
      <c r="C28" s="121">
        <f ca="1">IF(ROWS($1:15)&gt;COUNT(Dong1),"",IF(OFFSET(TH!L$1,SMALL(Dong1,ROWS($1:15)),)="1111",OFFSET(TH!D$1,SMALL(Dong1,ROWS($1:15)),),""))</f>
        <v>0</v>
      </c>
      <c r="D28" s="122" t="str">
        <f ca="1">IF(ROWS($1:15)&gt;COUNT(Dong1),"",IF(OFFSET(TH!M$1,SMALL(Dong1,ROWS($1:15)),)="1111",OFFSET(TH!D$1,SMALL(Dong1,ROWS($1:15)),),""))</f>
        <v/>
      </c>
      <c r="E28" s="224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10027402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2051044732</v>
      </c>
      <c r="J28" s="126"/>
      <c r="N28" s="595"/>
      <c r="O28" s="595"/>
    </row>
    <row r="29" spans="1:15" ht="21.75" customHeight="1">
      <c r="A29" s="120">
        <f ca="1">IF(ROWS($1:16)&gt;COUNT(Dong1),"",OFFSET(TH!C$1,SMALL(Dong1,ROWS($1:16)),))</f>
        <v>41864</v>
      </c>
      <c r="B29" s="120">
        <f ca="1">IF(ROWS($1:16)&gt;COUNT(Dong1),"",OFFSET(TH!E$1,SMALL(Dong1,ROWS($1:16)),))</f>
        <v>41864</v>
      </c>
      <c r="C29" s="121">
        <f ca="1">IF(ROWS($1:16)&gt;COUNT(Dong1),"",IF(OFFSET(TH!L$1,SMALL(Dong1,ROWS($1:16)),)="1111",OFFSET(TH!D$1,SMALL(Dong1,ROWS($1:16)),),""))</f>
        <v>0</v>
      </c>
      <c r="D29" s="122" t="str">
        <f ca="1">IF(ROWS($1:16)&gt;COUNT(Dong1),"",IF(OFFSET(TH!M$1,SMALL(Dong1,ROWS($1:16)),)="1111",OFFSET(TH!D$1,SMALL(Dong1,ROWS($1:16)),),""))</f>
        <v/>
      </c>
      <c r="E29" s="224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7507500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2058552232</v>
      </c>
      <c r="J29" s="126"/>
      <c r="N29" s="595"/>
      <c r="O29" s="595"/>
    </row>
    <row r="30" spans="1:15" ht="21.75" customHeight="1">
      <c r="A30" s="120">
        <f ca="1">IF(ROWS($1:17)&gt;COUNT(Dong1),"",OFFSET(TH!C$1,SMALL(Dong1,ROWS($1:17)),))</f>
        <v>41866</v>
      </c>
      <c r="B30" s="120">
        <f ca="1">IF(ROWS($1:17)&gt;COUNT(Dong1),"",OFFSET(TH!E$1,SMALL(Dong1,ROWS($1:17)),))</f>
        <v>41866</v>
      </c>
      <c r="C30" s="121">
        <f ca="1">IF(ROWS($1:17)&gt;COUNT(Dong1),"",IF(OFFSET(TH!L$1,SMALL(Dong1,ROWS($1:17)),)="1111",OFFSET(TH!D$1,SMALL(Dong1,ROWS($1:17)),),""))</f>
        <v>0</v>
      </c>
      <c r="D30" s="122" t="str">
        <f ca="1">IF(ROWS($1:17)&gt;COUNT(Dong1),"",IF(OFFSET(TH!M$1,SMALL(Dong1,ROWS($1:17)),)="1111",OFFSET(TH!D$1,SMALL(Dong1,ROWS($1:17)),),""))</f>
        <v/>
      </c>
      <c r="E30" s="224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5475360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2064027592</v>
      </c>
      <c r="J30" s="126"/>
      <c r="N30" s="595"/>
      <c r="O30" s="595"/>
    </row>
    <row r="31" spans="1:15" ht="21.75" customHeight="1">
      <c r="A31" s="120">
        <f ca="1">IF(ROWS($1:18)&gt;COUNT(Dong1),"",OFFSET(TH!C$1,SMALL(Dong1,ROWS($1:18)),))</f>
        <v>41871</v>
      </c>
      <c r="B31" s="120">
        <f ca="1">IF(ROWS($1:18)&gt;COUNT(Dong1),"",OFFSET(TH!E$1,SMALL(Dong1,ROWS($1:18)),))</f>
        <v>41871</v>
      </c>
      <c r="C31" s="121">
        <f ca="1">IF(ROWS($1:18)&gt;COUNT(Dong1),"",IF(OFFSET(TH!L$1,SMALL(Dong1,ROWS($1:18)),)="1111",OFFSET(TH!D$1,SMALL(Dong1,ROWS($1:18)),),""))</f>
        <v>0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7425000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2071452592</v>
      </c>
      <c r="J31" s="126"/>
      <c r="N31" s="595"/>
      <c r="O31" s="595"/>
    </row>
    <row r="32" spans="1:15" ht="21.75" customHeight="1">
      <c r="A32" s="120">
        <f ca="1">IF(ROWS($1:19)&gt;COUNT(Dong1),"",OFFSET(TH!C$1,SMALL(Dong1,ROWS($1:19)),))</f>
        <v>41872</v>
      </c>
      <c r="B32" s="120">
        <f ca="1">IF(ROWS($1:19)&gt;COUNT(Dong1),"",OFFSET(TH!E$1,SMALL(Dong1,ROWS($1:19)),))</f>
        <v>41872</v>
      </c>
      <c r="C32" s="121">
        <f ca="1">IF(ROWS($1:19)&gt;COUNT(Dong1),"",IF(OFFSET(TH!L$1,SMALL(Dong1,ROWS($1:19)),)="1111",OFFSET(TH!D$1,SMALL(Dong1,ROWS($1:19)),),""))</f>
        <v>0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4937240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2076389832</v>
      </c>
      <c r="J32" s="126"/>
      <c r="N32" s="595"/>
      <c r="O32" s="595"/>
    </row>
    <row r="33" spans="1:15" ht="21.75" customHeight="1">
      <c r="A33" s="120">
        <f ca="1">IF(ROWS($1:20)&gt;COUNT(Dong1),"",OFFSET(TH!C$1,SMALL(Dong1,ROWS($1:20)),))</f>
        <v>41879</v>
      </c>
      <c r="B33" s="120">
        <f ca="1">IF(ROWS($1:20)&gt;COUNT(Dong1),"",OFFSET(TH!E$1,SMALL(Dong1,ROWS($1:20)),))</f>
        <v>41879</v>
      </c>
      <c r="C33" s="121">
        <f ca="1">IF(ROWS($1:20)&gt;COUNT(Dong1),"",IF(OFFSET(TH!L$1,SMALL(Dong1,ROWS($1:20)),)="1111",OFFSET(TH!D$1,SMALL(Dong1,ROWS($1:20)),),""))</f>
        <v>0</v>
      </c>
      <c r="D33" s="122" t="str">
        <f ca="1">IF(ROWS($1:20)&gt;COUNT(Dong1),"",IF(OFFSET(TH!M$1,SMALL(Dong1,ROWS($1:20)),)="1111",OFFSET(TH!D$1,SMALL(Dong1,ROWS($1:20)),),""))</f>
        <v/>
      </c>
      <c r="E33" s="224" t="str">
        <f ca="1">IF(ROWS($1:20)&gt;COUNT(Dong1),"",OFFSET(TH!F$1,SMALL(Dong1,ROWS($1:20)),))</f>
        <v>Thu tiền hàng</v>
      </c>
      <c r="F33" s="124" t="str">
        <f ca="1">IF(ROWS($1:20)&gt;COUNT(Dong1),"",IF(OFFSET(TH!M$1,SMALL(Dong1,ROWS($1:20)),)="1111",OFFSET(TH!L$1,SMALL(Dong1,ROWS($1:20)),),OFFSET(TH!M$1,SMALL(Dong1,ROWS($1:20)),)))</f>
        <v>131</v>
      </c>
      <c r="G33" s="125">
        <f ca="1">IF(ROWS($1:20)&gt;COUNT(Dong1),"",IF(OFFSET(TH!L$1,SMALL(Dong1,ROWS($1:20)),)="1111",OFFSET(TH!K$1,SMALL(Dong1,ROWS($1:20)),),0))</f>
        <v>2860000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2079249832</v>
      </c>
      <c r="J33" s="126"/>
      <c r="N33" s="595"/>
      <c r="O33" s="595"/>
    </row>
    <row r="34" spans="1:15" ht="21.75" customHeight="1">
      <c r="A34" s="120">
        <f ca="1">IF(ROWS($1:21)&gt;COUNT(Dong1),"",OFFSET(TH!C$1,SMALL(Dong1,ROWS($1:21)),))</f>
        <v>41883</v>
      </c>
      <c r="B34" s="120">
        <f ca="1">IF(ROWS($1:21)&gt;COUNT(Dong1),"",OFFSET(TH!E$1,SMALL(Dong1,ROWS($1:21)),))</f>
        <v>41883</v>
      </c>
      <c r="C34" s="121">
        <f ca="1">IF(ROWS($1:21)&gt;COUNT(Dong1),"",IF(OFFSET(TH!L$1,SMALL(Dong1,ROWS($1:21)),)="1111",OFFSET(TH!D$1,SMALL(Dong1,ROWS($1:21)),),""))</f>
        <v>0</v>
      </c>
      <c r="D34" s="122" t="str">
        <f ca="1">IF(ROWS($1:21)&gt;COUNT(Dong1),"",IF(OFFSET(TH!M$1,SMALL(Dong1,ROWS($1:21)),)="1111",OFFSET(TH!D$1,SMALL(Dong1,ROWS($1:21)),),""))</f>
        <v/>
      </c>
      <c r="E34" s="224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3850000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2083099832</v>
      </c>
      <c r="J34" s="126"/>
      <c r="N34" s="595"/>
      <c r="O34" s="595"/>
    </row>
    <row r="35" spans="1:15" ht="21.75" customHeight="1">
      <c r="A35" s="120">
        <f ca="1">IF(ROWS($1:22)&gt;COUNT(Dong1),"",OFFSET(TH!C$1,SMALL(Dong1,ROWS($1:22)),))</f>
        <v>41886</v>
      </c>
      <c r="B35" s="120">
        <f ca="1">IF(ROWS($1:22)&gt;COUNT(Dong1),"",OFFSET(TH!E$1,SMALL(Dong1,ROWS($1:22)),))</f>
        <v>41886</v>
      </c>
      <c r="C35" s="121">
        <f ca="1">IF(ROWS($1:22)&gt;COUNT(Dong1),"",IF(OFFSET(TH!L$1,SMALL(Dong1,ROWS($1:22)),)="1111",OFFSET(TH!D$1,SMALL(Dong1,ROWS($1:22)),),""))</f>
        <v>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7429950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2090529782</v>
      </c>
      <c r="J35" s="126"/>
      <c r="N35" s="595"/>
      <c r="O35" s="595"/>
    </row>
    <row r="36" spans="1:15" ht="21.75" customHeight="1">
      <c r="A36" s="120">
        <f ca="1">IF(ROWS($1:23)&gt;COUNT(Dong1),"",OFFSET(TH!C$1,SMALL(Dong1,ROWS($1:23)),))</f>
        <v>41890</v>
      </c>
      <c r="B36" s="120">
        <f ca="1">IF(ROWS($1:23)&gt;COUNT(Dong1),"",OFFSET(TH!E$1,SMALL(Dong1,ROWS($1:23)),))</f>
        <v>41890</v>
      </c>
      <c r="C36" s="121">
        <f ca="1">IF(ROWS($1:23)&gt;COUNT(Dong1),"",IF(OFFSET(TH!L$1,SMALL(Dong1,ROWS($1:23)),)="1111",OFFSET(TH!D$1,SMALL(Dong1,ROWS($1:23)),),""))</f>
        <v>0</v>
      </c>
      <c r="D36" s="122" t="str">
        <f ca="1">IF(ROWS($1:23)&gt;COUNT(Dong1),"",IF(OFFSET(TH!M$1,SMALL(Dong1,ROWS($1:23)),)="1111",OFFSET(TH!D$1,SMALL(Dong1,ROWS($1:23)),),""))</f>
        <v/>
      </c>
      <c r="E36" s="224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17595600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2108125382</v>
      </c>
      <c r="J36" s="126"/>
      <c r="N36" s="595"/>
      <c r="O36" s="595"/>
    </row>
    <row r="37" spans="1:15" ht="21.75" customHeight="1">
      <c r="A37" s="120">
        <f ca="1">IF(ROWS($1:24)&gt;COUNT(Dong1),"",OFFSET(TH!C$1,SMALL(Dong1,ROWS($1:24)),))</f>
        <v>41890</v>
      </c>
      <c r="B37" s="120">
        <f ca="1">IF(ROWS($1:24)&gt;COUNT(Dong1),"",OFFSET(TH!E$1,SMALL(Dong1,ROWS($1:24)),))</f>
        <v>41890</v>
      </c>
      <c r="C37" s="121">
        <f ca="1">IF(ROWS($1:24)&gt;COUNT(Dong1),"",IF(OFFSET(TH!L$1,SMALL(Dong1,ROWS($1:24)),)="1111",OFFSET(TH!D$1,SMALL(Dong1,ROWS($1:24)),),""))</f>
        <v>0</v>
      </c>
      <c r="D37" s="122" t="str">
        <f ca="1">IF(ROWS($1:24)&gt;COUNT(Dong1),"",IF(OFFSET(TH!M$1,SMALL(Dong1,ROWS($1:24)),)="1111",OFFSET(TH!D$1,SMALL(Dong1,ROWS($1:24)),),""))</f>
        <v/>
      </c>
      <c r="E37" s="224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1650000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2109775382</v>
      </c>
      <c r="J37" s="126"/>
      <c r="N37" s="595"/>
      <c r="O37" s="595"/>
    </row>
    <row r="38" spans="1:15" ht="21.75" customHeight="1">
      <c r="A38" s="120">
        <f ca="1">IF(ROWS($1:25)&gt;COUNT(Dong1),"",OFFSET(TH!C$1,SMALL(Dong1,ROWS($1:25)),))</f>
        <v>41894</v>
      </c>
      <c r="B38" s="120">
        <f ca="1">IF(ROWS($1:25)&gt;COUNT(Dong1),"",OFFSET(TH!E$1,SMALL(Dong1,ROWS($1:25)),))</f>
        <v>41894</v>
      </c>
      <c r="C38" s="121">
        <f ca="1">IF(ROWS($1:25)&gt;COUNT(Dong1),"",IF(OFFSET(TH!L$1,SMALL(Dong1,ROWS($1:25)),)="1111",OFFSET(TH!D$1,SMALL(Dong1,ROWS($1:25)),),""))</f>
        <v>0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4389000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2114164382</v>
      </c>
      <c r="J38" s="126"/>
      <c r="N38" s="595"/>
      <c r="O38" s="595"/>
    </row>
    <row r="39" spans="1:15" ht="21.75" customHeight="1">
      <c r="A39" s="120">
        <f ca="1">IF(ROWS($1:26)&gt;COUNT(Dong1),"",OFFSET(TH!C$1,SMALL(Dong1,ROWS($1:26)),))</f>
        <v>41897</v>
      </c>
      <c r="B39" s="120">
        <f ca="1">IF(ROWS($1:26)&gt;COUNT(Dong1),"",OFFSET(TH!E$1,SMALL(Dong1,ROWS($1:26)),))</f>
        <v>41897</v>
      </c>
      <c r="C39" s="121">
        <f ca="1">IF(ROWS($1:26)&gt;COUNT(Dong1),"",IF(OFFSET(TH!L$1,SMALL(Dong1,ROWS($1:26)),)="1111",OFFSET(TH!D$1,SMALL(Dong1,ROWS($1:26)),),""))</f>
        <v>0</v>
      </c>
      <c r="D39" s="122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5717250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2119881632</v>
      </c>
      <c r="J39" s="126"/>
      <c r="N39" s="595"/>
      <c r="O39" s="595"/>
    </row>
    <row r="40" spans="1:15" ht="21.75" customHeight="1">
      <c r="A40" s="120">
        <f ca="1">IF(ROWS($1:27)&gt;COUNT(Dong1),"",OFFSET(TH!C$1,SMALL(Dong1,ROWS($1:27)),))</f>
        <v>41899</v>
      </c>
      <c r="B40" s="120">
        <f ca="1">IF(ROWS($1:27)&gt;COUNT(Dong1),"",OFFSET(TH!E$1,SMALL(Dong1,ROWS($1:27)),))</f>
        <v>41899</v>
      </c>
      <c r="C40" s="121">
        <f ca="1">IF(ROWS($1:27)&gt;COUNT(Dong1),"",IF(OFFSET(TH!L$1,SMALL(Dong1,ROWS($1:27)),)="1111",OFFSET(TH!D$1,SMALL(Dong1,ROWS($1:27)),),""))</f>
        <v>0</v>
      </c>
      <c r="D40" s="122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10000000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2129881632</v>
      </c>
      <c r="J40" s="126"/>
      <c r="N40" s="595"/>
      <c r="O40" s="595"/>
    </row>
    <row r="41" spans="1:15" ht="21.75" customHeight="1">
      <c r="A41" s="120">
        <f ca="1">IF(ROWS($1:28)&gt;COUNT(Dong1),"",OFFSET(TH!C$1,SMALL(Dong1,ROWS($1:28)),))</f>
        <v>41900</v>
      </c>
      <c r="B41" s="120">
        <f ca="1">IF(ROWS($1:28)&gt;COUNT(Dong1),"",OFFSET(TH!E$1,SMALL(Dong1,ROWS($1:28)),))</f>
        <v>41900</v>
      </c>
      <c r="C41" s="121">
        <f ca="1">IF(ROWS($1:28)&gt;COUNT(Dong1),"",IF(OFFSET(TH!L$1,SMALL(Dong1,ROWS($1:28)),)="1111",OFFSET(TH!D$1,SMALL(Dong1,ROWS($1:28)),),""))</f>
        <v>0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3496680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2133378312</v>
      </c>
      <c r="J41" s="126"/>
      <c r="N41" s="595"/>
      <c r="O41" s="595"/>
    </row>
    <row r="42" spans="1:15" ht="21.75" customHeight="1">
      <c r="A42" s="120">
        <f ca="1">IF(ROWS($1:29)&gt;COUNT(Dong1),"",OFFSET(TH!C$1,SMALL(Dong1,ROWS($1:29)),))</f>
        <v>41908</v>
      </c>
      <c r="B42" s="120">
        <f ca="1">IF(ROWS($1:29)&gt;COUNT(Dong1),"",OFFSET(TH!E$1,SMALL(Dong1,ROWS($1:29)),))</f>
        <v>41908</v>
      </c>
      <c r="C42" s="121">
        <f ca="1">IF(ROWS($1:29)&gt;COUNT(Dong1),"",IF(OFFSET(TH!L$1,SMALL(Dong1,ROWS($1:29)),)="1111",OFFSET(TH!D$1,SMALL(Dong1,ROWS($1:29)),),""))</f>
        <v>0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10465675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2143843987</v>
      </c>
      <c r="J42" s="126"/>
      <c r="N42" s="595"/>
      <c r="O42" s="595"/>
    </row>
    <row r="43" spans="1:15" ht="21.75" customHeight="1">
      <c r="A43" s="120">
        <f ca="1">IF(ROWS($1:30)&gt;COUNT(Dong1),"",OFFSET(TH!C$1,SMALL(Dong1,ROWS($1:30)),))</f>
        <v>41908</v>
      </c>
      <c r="B43" s="120">
        <f ca="1">IF(ROWS($1:30)&gt;COUNT(Dong1),"",OFFSET(TH!E$1,SMALL(Dong1,ROWS($1:30)),))</f>
        <v>41908</v>
      </c>
      <c r="C43" s="121">
        <f ca="1">IF(ROWS($1:30)&gt;COUNT(Dong1),"",IF(OFFSET(TH!L$1,SMALL(Dong1,ROWS($1:30)),)="1111",OFFSET(TH!D$1,SMALL(Dong1,ROWS($1:30)),),""))</f>
        <v>0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11446050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2155290037</v>
      </c>
      <c r="J43" s="126"/>
      <c r="N43" s="595"/>
      <c r="O43" s="595"/>
    </row>
    <row r="44" spans="1:15" ht="21.75" customHeight="1">
      <c r="A44" s="120">
        <f ca="1">IF(ROWS($1:31)&gt;COUNT(Dong1),"",OFFSET(TH!C$1,SMALL(Dong1,ROWS($1:31)),))</f>
        <v>41909</v>
      </c>
      <c r="B44" s="120">
        <f ca="1">IF(ROWS($1:31)&gt;COUNT(Dong1),"",OFFSET(TH!E$1,SMALL(Dong1,ROWS($1:31)),))</f>
        <v>41909</v>
      </c>
      <c r="C44" s="121">
        <f ca="1">IF(ROWS($1:31)&gt;COUNT(Dong1),"",IF(OFFSET(TH!L$1,SMALL(Dong1,ROWS($1:31)),)="1111",OFFSET(TH!D$1,SMALL(Dong1,ROWS($1:31)),),""))</f>
        <v>0</v>
      </c>
      <c r="D44" s="122" t="str">
        <f ca="1">IF(ROWS($1:31)&gt;COUNT(Dong1),"",IF(OFFSET(TH!M$1,SMALL(Dong1,ROWS($1:31)),)="1111",OFFSET(TH!D$1,SMALL(Dong1,ROWS($1:31)),),""))</f>
        <v/>
      </c>
      <c r="E44" s="224" t="str">
        <f ca="1">IF(ROWS($1:31)&gt;COUNT(Dong1),"",OFFSET(TH!F$1,SMALL(Dong1,ROWS($1:31)),))</f>
        <v>Thu tiền hàng</v>
      </c>
      <c r="F44" s="124" t="str">
        <f ca="1">IF(ROWS($1:31)&gt;COUNT(Dong1),"",IF(OFFSET(TH!M$1,SMALL(Dong1,ROWS($1:31)),)="1111",OFFSET(TH!L$1,SMALL(Dong1,ROWS($1:31)),),OFFSET(TH!M$1,SMALL(Dong1,ROWS($1:31)),)))</f>
        <v>131</v>
      </c>
      <c r="G44" s="125">
        <f ca="1">IF(ROWS($1:31)&gt;COUNT(Dong1),"",IF(OFFSET(TH!L$1,SMALL(Dong1,ROWS($1:31)),)="1111",OFFSET(TH!K$1,SMALL(Dong1,ROWS($1:31)),),0))</f>
        <v>9681298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2164971335</v>
      </c>
      <c r="J44" s="126"/>
      <c r="N44" s="595"/>
      <c r="O44" s="595"/>
    </row>
    <row r="45" spans="1:15" ht="21.75" customHeight="1">
      <c r="A45" s="120">
        <f ca="1">IF(ROWS($1:32)&gt;COUNT(Dong1),"",OFFSET(TH!C$1,SMALL(Dong1,ROWS($1:32)),))</f>
        <v>41912</v>
      </c>
      <c r="B45" s="120">
        <f ca="1">IF(ROWS($1:32)&gt;COUNT(Dong1),"",OFFSET(TH!E$1,SMALL(Dong1,ROWS($1:32)),))</f>
        <v>41912</v>
      </c>
      <c r="C45" s="121">
        <f ca="1">IF(ROWS($1:32)&gt;COUNT(Dong1),"",IF(OFFSET(TH!L$1,SMALL(Dong1,ROWS($1:32)),)="1111",OFFSET(TH!D$1,SMALL(Dong1,ROWS($1:32)),),""))</f>
        <v>0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6668200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2171639535</v>
      </c>
      <c r="J45" s="126"/>
      <c r="N45" s="595"/>
      <c r="O45" s="595"/>
    </row>
    <row r="46" spans="1:15" ht="21.75" customHeight="1">
      <c r="A46" s="120">
        <f ca="1">IF(ROWS($1:33)&gt;COUNT(Dong1),"",OFFSET(TH!C$1,SMALL(Dong1,ROWS($1:33)),))</f>
        <v>41912</v>
      </c>
      <c r="B46" s="120">
        <f ca="1">IF(ROWS($1:33)&gt;COUNT(Dong1),"",OFFSET(TH!E$1,SMALL(Dong1,ROWS($1:33)),))</f>
        <v>41912</v>
      </c>
      <c r="C46" s="121">
        <f ca="1">IF(ROWS($1:33)&gt;COUNT(Dong1),"",IF(OFFSET(TH!L$1,SMALL(Dong1,ROWS($1:33)),)="1111",OFFSET(TH!D$1,SMALL(Dong1,ROWS($1:33)),),""))</f>
        <v>0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10376850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2182016385</v>
      </c>
      <c r="J46" s="126"/>
      <c r="N46" s="595"/>
      <c r="O46" s="595"/>
    </row>
    <row r="47" spans="1:15" ht="21.75" customHeight="1">
      <c r="A47" s="120">
        <f ca="1">IF(ROWS($1:34)&gt;COUNT(Dong1),"",OFFSET(TH!C$1,SMALL(Dong1,ROWS($1:34)),))</f>
        <v>41912</v>
      </c>
      <c r="B47" s="120">
        <f ca="1">IF(ROWS($1:34)&gt;COUNT(Dong1),"",OFFSET(TH!E$1,SMALL(Dong1,ROWS($1:34)),))</f>
        <v>41912</v>
      </c>
      <c r="C47" s="121">
        <f ca="1">IF(ROWS($1:34)&gt;COUNT(Dong1),"",IF(OFFSET(TH!L$1,SMALL(Dong1,ROWS($1:34)),)="1111",OFFSET(TH!D$1,SMALL(Dong1,ROWS($1:34)),),""))</f>
        <v>0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8966100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2190982485</v>
      </c>
      <c r="J47" s="126"/>
      <c r="N47" s="595"/>
      <c r="O47" s="595"/>
    </row>
    <row r="48" spans="1:15" ht="21.75" customHeight="1">
      <c r="A48" s="120">
        <f ca="1">IF(ROWS($1:35)&gt;COUNT(Dong1),"",OFFSET(TH!C$1,SMALL(Dong1,ROWS($1:35)),))</f>
        <v>41912</v>
      </c>
      <c r="B48" s="120">
        <f ca="1">IF(ROWS($1:35)&gt;COUNT(Dong1),"",OFFSET(TH!E$1,SMALL(Dong1,ROWS($1:35)),))</f>
        <v>41912</v>
      </c>
      <c r="C48" s="121">
        <f ca="1">IF(ROWS($1:35)&gt;COUNT(Dong1),"",IF(OFFSET(TH!L$1,SMALL(Dong1,ROWS($1:35)),)="1111",OFFSET(TH!D$1,SMALL(Dong1,ROWS($1:35)),),""))</f>
        <v>0</v>
      </c>
      <c r="D48" s="122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Thu tiền hàng</v>
      </c>
      <c r="F48" s="124" t="str">
        <f ca="1">IF(ROWS($1:35)&gt;COUNT(Dong1),"",IF(OFFSET(TH!M$1,SMALL(Dong1,ROWS($1:35)),)="1111",OFFSET(TH!L$1,SMALL(Dong1,ROWS($1:35)),),OFFSET(TH!M$1,SMALL(Dong1,ROWS($1:35)),)))</f>
        <v>131</v>
      </c>
      <c r="G48" s="125">
        <f ca="1">IF(ROWS($1:35)&gt;COUNT(Dong1),"",IF(OFFSET(TH!L$1,SMALL(Dong1,ROWS($1:35)),)="1111",OFFSET(TH!K$1,SMALL(Dong1,ROWS($1:35)),),0))</f>
        <v>19250000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2210232485</v>
      </c>
      <c r="J48" s="126"/>
      <c r="N48" s="595"/>
      <c r="O48" s="595"/>
    </row>
    <row r="49" spans="1:15" ht="21.75" customHeight="1">
      <c r="A49" s="120">
        <f ca="1">IF(ROWS($1:36)&gt;COUNT(Dong1),"",OFFSET(TH!C$1,SMALL(Dong1,ROWS($1:36)),))</f>
        <v>41829</v>
      </c>
      <c r="B49" s="120">
        <f ca="1">IF(ROWS($1:36)&gt;COUNT(Dong1),"",OFFSET(TH!E$1,SMALL(Dong1,ROWS($1:36)),))</f>
        <v>41829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GBC</v>
      </c>
      <c r="E49" s="224" t="str">
        <f ca="1">IF(ROWS($1:36)&gt;COUNT(Dong1),"",OFFSET(TH!F$1,SMALL(Dong1,ROWS($1:36)),))</f>
        <v>Nộp tiền mặt vào tài khoản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3300000</v>
      </c>
      <c r="I49" s="121">
        <f t="shared" ca="1" si="0"/>
        <v>2206932485</v>
      </c>
      <c r="J49" s="126"/>
      <c r="N49" s="595"/>
      <c r="O49" s="595"/>
    </row>
    <row r="50" spans="1:15" ht="21.75" customHeight="1">
      <c r="A50" s="120">
        <f ca="1">IF(ROWS($1:37)&gt;COUNT(Dong1),"",OFFSET(TH!C$1,SMALL(Dong1,ROWS($1:37)),))</f>
        <v>41871</v>
      </c>
      <c r="B50" s="120">
        <f ca="1">IF(ROWS($1:37)&gt;COUNT(Dong1),"",OFFSET(TH!E$1,SMALL(Dong1,ROWS($1:37)),))</f>
        <v>41871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GBC</v>
      </c>
      <c r="E50" s="224" t="str">
        <f ca="1">IF(ROWS($1:37)&gt;COUNT(Dong1),"",OFFSET(TH!F$1,SMALL(Dong1,ROWS($1:37)),))</f>
        <v>Nộp tiền mặt vào tài khoản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18000000</v>
      </c>
      <c r="I50" s="121">
        <f t="shared" ca="1" si="0"/>
        <v>2188932485</v>
      </c>
      <c r="J50" s="126"/>
    </row>
    <row r="51" spans="1:15" ht="21.75" customHeight="1">
      <c r="A51" s="120">
        <f ca="1">IF(ROWS($1:38)&gt;COUNT(Dong1),"",OFFSET(TH!C$1,SMALL(Dong1,ROWS($1:38)),))</f>
        <v>41841</v>
      </c>
      <c r="B51" s="120">
        <f ca="1">IF(ROWS($1:38)&gt;COUNT(Dong1),"",OFFSET(TH!E$1,SMALL(Dong1,ROWS($1:38)),))</f>
        <v>41841</v>
      </c>
      <c r="C51" s="121" t="str">
        <f ca="1">IF(ROWS($1:38)&gt;COUNT(Dong1),"",IF(OFFSET(TH!L$1,SMALL(Dong1,ROWS($1:38)),)="1111",OFFSET(TH!D$1,SMALL(Dong1,ROWS($1:38)),),""))</f>
        <v>GBN</v>
      </c>
      <c r="D51" s="122" t="str">
        <f ca="1">IF(ROWS($1:38)&gt;COUNT(Dong1),"",IF(OFFSET(TH!M$1,SMALL(Dong1,ROWS($1:38)),)="1111",OFFSET(TH!D$1,SMALL(Dong1,ROWS($1:38)),),""))</f>
        <v/>
      </c>
      <c r="E51" s="224" t="str">
        <f ca="1">IF(ROWS($1:38)&gt;COUNT(Dong1),"",OFFSET(TH!F$1,SMALL(Dong1,ROWS($1:38)),))</f>
        <v>Chi sec nhập quỹ tiền mặt</v>
      </c>
      <c r="F51" s="124" t="str">
        <f ca="1">IF(ROWS($1:38)&gt;COUNT(Dong1),"",IF(OFFSET(TH!M$1,SMALL(Dong1,ROWS($1:38)),)="1111",OFFSET(TH!L$1,SMALL(Dong1,ROWS($1:38)),),OFFSET(TH!M$1,SMALL(Dong1,ROWS($1:38)),)))</f>
        <v>1121</v>
      </c>
      <c r="G51" s="125">
        <f ca="1">IF(ROWS($1:38)&gt;COUNT(Dong1),"",IF(OFFSET(TH!L$1,SMALL(Dong1,ROWS($1:38)),)="1111",OFFSET(TH!K$1,SMALL(Dong1,ROWS($1:38)),),0))</f>
        <v>16600000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2205532485</v>
      </c>
      <c r="J51" s="126"/>
    </row>
    <row r="52" spans="1:15" ht="21.75" customHeight="1">
      <c r="A52" s="120">
        <f ca="1">IF(ROWS($1:39)&gt;COUNT(Dong1),"",OFFSET(TH!C$1,SMALL(Dong1,ROWS($1:39)),))</f>
        <v>41872</v>
      </c>
      <c r="B52" s="120">
        <f ca="1">IF(ROWS($1:39)&gt;COUNT(Dong1),"",OFFSET(TH!E$1,SMALL(Dong1,ROWS($1:39)),))</f>
        <v>41872</v>
      </c>
      <c r="C52" s="121" t="str">
        <f ca="1">IF(ROWS($1:39)&gt;COUNT(Dong1),"",IF(OFFSET(TH!L$1,SMALL(Dong1,ROWS($1:39)),)="1111",OFFSET(TH!D$1,SMALL(Dong1,ROWS($1:39)),),""))</f>
        <v>GBN</v>
      </c>
      <c r="D52" s="122" t="str">
        <f ca="1">IF(ROWS($1:39)&gt;COUNT(Dong1),"",IF(OFFSET(TH!M$1,SMALL(Dong1,ROWS($1:39)),)="1111",OFFSET(TH!D$1,SMALL(Dong1,ROWS($1:39)),),""))</f>
        <v/>
      </c>
      <c r="E52" s="224" t="str">
        <f ca="1">IF(ROWS($1:39)&gt;COUNT(Dong1),"",OFFSET(TH!F$1,SMALL(Dong1,ROWS($1:39)),))</f>
        <v>Chi sec nhập quỹ tiền mặt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35000000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2240532485</v>
      </c>
      <c r="J52" s="126"/>
    </row>
    <row r="53" spans="1:15" ht="21.75" customHeight="1">
      <c r="A53" s="120">
        <f ca="1">IF(ROWS($1:40)&gt;COUNT(Dong1),"",OFFSET(TH!C$1,SMALL(Dong1,ROWS($1:40)),))</f>
        <v>41891</v>
      </c>
      <c r="B53" s="120">
        <f ca="1">IF(ROWS($1:40)&gt;COUNT(Dong1),"",OFFSET(TH!E$1,SMALL(Dong1,ROWS($1:40)),))</f>
        <v>41891</v>
      </c>
      <c r="C53" s="121" t="str">
        <f ca="1">IF(ROWS($1:40)&gt;COUNT(Dong1),"",IF(OFFSET(TH!L$1,SMALL(Dong1,ROWS($1:40)),)="1111",OFFSET(TH!D$1,SMALL(Dong1,ROWS($1:40)),),""))</f>
        <v>GBN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26300000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2266832485</v>
      </c>
      <c r="J53" s="126"/>
    </row>
    <row r="54" spans="1:15" ht="21.75" customHeight="1">
      <c r="A54" s="120">
        <f ca="1">IF(ROWS($1:41)&gt;COUNT(Dong1),"",OFFSET(TH!C$1,SMALL(Dong1,ROWS($1:41)),))</f>
        <v>41895</v>
      </c>
      <c r="B54" s="120">
        <f ca="1">IF(ROWS($1:41)&gt;COUNT(Dong1),"",OFFSET(TH!E$1,SMALL(Dong1,ROWS($1:41)),))</f>
        <v>41895</v>
      </c>
      <c r="C54" s="121" t="str">
        <f ca="1">IF(ROWS($1:41)&gt;COUNT(Dong1),"",IF(OFFSET(TH!L$1,SMALL(Dong1,ROWS($1:41)),)="1111",OFFSET(TH!D$1,SMALL(Dong1,ROWS($1:41)),),""))</f>
        <v>GBN</v>
      </c>
      <c r="D54" s="122" t="str">
        <f ca="1">IF(ROWS($1:41)&gt;COUNT(Dong1),"",IF(OFFSET(TH!M$1,SMALL(Dong1,ROWS($1:41)),)="1111",OFFSET(TH!D$1,SMALL(Dong1,ROWS($1:41)),),""))</f>
        <v/>
      </c>
      <c r="E54" s="224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62600000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2329432485</v>
      </c>
      <c r="J54" s="126"/>
    </row>
    <row r="55" spans="1:15" ht="21.75" customHeight="1">
      <c r="A55" s="120">
        <f ca="1">IF(ROWS($1:42)&gt;COUNT(Dong1),"",OFFSET(TH!C$1,SMALL(Dong1,ROWS($1:42)),))</f>
        <v>41898</v>
      </c>
      <c r="B55" s="120">
        <f ca="1">IF(ROWS($1:42)&gt;COUNT(Dong1),"",OFFSET(TH!E$1,SMALL(Dong1,ROWS($1:42)),))</f>
        <v>41898</v>
      </c>
      <c r="C55" s="121" t="str">
        <f ca="1">IF(ROWS($1:42)&gt;COUNT(Dong1),"",IF(OFFSET(TH!L$1,SMALL(Dong1,ROWS($1:42)),)="1111",OFFSET(TH!D$1,SMALL(Dong1,ROWS($1:42)),),""))</f>
        <v>GBN</v>
      </c>
      <c r="D55" s="122" t="str">
        <f ca="1">IF(ROWS($1:42)&gt;COUNT(Dong1),"",IF(OFFSET(TH!M$1,SMALL(Dong1,ROWS($1:42)),)="1111",OFFSET(TH!D$1,SMALL(Dong1,ROWS($1:42)),),""))</f>
        <v/>
      </c>
      <c r="E55" s="224" t="str">
        <f ca="1">IF(ROWS($1:42)&gt;COUNT(Dong1),"",OFFSET(TH!F$1,SMALL(Dong1,ROWS($1:42)),))</f>
        <v>Chi sec nhập quỹ tiền mặt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16800000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2346232485</v>
      </c>
      <c r="J55" s="126"/>
    </row>
    <row r="56" spans="1:15" ht="21.75" customHeight="1">
      <c r="A56" s="120">
        <f ca="1">IF(ROWS($1:43)&gt;COUNT(Dong1),"",OFFSET(TH!C$1,SMALL(Dong1,ROWS($1:43)),))</f>
        <v>41906</v>
      </c>
      <c r="B56" s="120">
        <f ca="1">IF(ROWS($1:43)&gt;COUNT(Dong1),"",OFFSET(TH!E$1,SMALL(Dong1,ROWS($1:43)),))</f>
        <v>41906</v>
      </c>
      <c r="C56" s="121" t="str">
        <f ca="1">IF(ROWS($1:43)&gt;COUNT(Dong1),"",IF(OFFSET(TH!L$1,SMALL(Dong1,ROWS($1:43)),)="1111",OFFSET(TH!D$1,SMALL(Dong1,ROWS($1:43)),),""))</f>
        <v>GBN</v>
      </c>
      <c r="D56" s="122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Chi sec nhập quỹ tiền mặt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11500000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2357732485</v>
      </c>
      <c r="J56" s="126"/>
    </row>
    <row r="57" spans="1:15" ht="21.75" customHeight="1">
      <c r="A57" s="120">
        <f ca="1">IF(ROWS($1:44)&gt;COUNT(Dong1),"",OFFSET(TH!C$1,SMALL(Dong1,ROWS($1:44)),))</f>
        <v>41821</v>
      </c>
      <c r="B57" s="120">
        <f ca="1">IF(ROWS($1:44)&gt;COUNT(Dong1),"",OFFSET(TH!E$1,SMALL(Dong1,ROWS($1:44)),))</f>
        <v>41821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1188000</v>
      </c>
      <c r="I57" s="121">
        <f t="shared" ca="1" si="0"/>
        <v>2356544485</v>
      </c>
      <c r="J57" s="126"/>
    </row>
    <row r="58" spans="1:15" ht="21.75" customHeight="1">
      <c r="A58" s="120">
        <f ca="1">IF(ROWS($1:45)&gt;COUNT(Dong1),"",OFFSET(TH!C$1,SMALL(Dong1,ROWS($1:45)),))</f>
        <v>41821</v>
      </c>
      <c r="B58" s="120">
        <f ca="1">IF(ROWS($1:45)&gt;COUNT(Dong1),"",OFFSET(TH!E$1,SMALL(Dong1,ROWS($1:45)),))</f>
        <v>41821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4" t="str">
        <f ca="1">IF(ROWS($1:45)&gt;COUNT(Dong1),"",OFFSET(TH!F$1,SMALL(Dong1,ROWS($1:45)),))</f>
        <v>Phạt chậm nộp thuế TNDN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731479</v>
      </c>
      <c r="I58" s="121">
        <f t="shared" ca="1" si="0"/>
        <v>2355813006</v>
      </c>
      <c r="J58" s="126"/>
    </row>
    <row r="59" spans="1:15" ht="21.75" customHeight="1">
      <c r="A59" s="120">
        <f ca="1">IF(ROWS($1:46)&gt;COUNT(Dong1),"",OFFSET(TH!C$1,SMALL(Dong1,ROWS($1:46)),))</f>
        <v>41821</v>
      </c>
      <c r="B59" s="120">
        <f ca="1">IF(ROWS($1:46)&gt;COUNT(Dong1),"",OFFSET(TH!E$1,SMALL(Dong1,ROWS($1:46)),))</f>
        <v>41821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4" t="str">
        <f ca="1">IF(ROWS($1:46)&gt;COUNT(Dong1),"",OFFSET(TH!F$1,SMALL(Dong1,ROWS($1:46)),))</f>
        <v>Thuế GTGT</v>
      </c>
      <c r="F59" s="124" t="str">
        <f ca="1">IF(ROWS($1:46)&gt;COUNT(Dong1),"",IF(OFFSET(TH!M$1,SMALL(Dong1,ROWS($1:46)),)="1111",OFFSET(TH!L$1,SMALL(Dong1,ROWS($1:46)),),OFFSET(TH!M$1,SMALL(Dong1,ROWS($1:46)),)))</f>
        <v>3388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13656813</v>
      </c>
      <c r="I59" s="121">
        <f t="shared" ca="1" si="0"/>
        <v>2342156193</v>
      </c>
      <c r="J59" s="126"/>
    </row>
    <row r="60" spans="1:15" ht="21.75" customHeight="1">
      <c r="A60" s="120">
        <f ca="1">IF(ROWS($1:47)&gt;COUNT(Dong1),"",OFFSET(TH!C$1,SMALL(Dong1,ROWS($1:47)),))</f>
        <v>41821</v>
      </c>
      <c r="B60" s="120">
        <f ca="1">IF(ROWS($1:47)&gt;COUNT(Dong1),"",OFFSET(TH!E$1,SMALL(Dong1,ROWS($1:47)),))</f>
        <v>41821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4" t="str">
        <f ca="1">IF(ROWS($1:47)&gt;COUNT(Dong1),"",OFFSET(TH!F$1,SMALL(Dong1,ROWS($1:47)),))</f>
        <v>Phạt chậm nộp</v>
      </c>
      <c r="F60" s="124" t="str">
        <f ca="1">IF(ROWS($1:47)&gt;COUNT(Dong1),"",IF(OFFSET(TH!M$1,SMALL(Dong1,ROWS($1:47)),)="1111",OFFSET(TH!L$1,SMALL(Dong1,ROWS($1:47)),),OFFSET(TH!M$1,SMALL(Dong1,ROWS($1:47)),)))</f>
        <v>811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1611708</v>
      </c>
      <c r="I60" s="121">
        <f t="shared" ca="1" si="0"/>
        <v>2340544485</v>
      </c>
      <c r="J60" s="126"/>
    </row>
    <row r="61" spans="1:15" ht="21.75" customHeight="1">
      <c r="A61" s="120">
        <f ca="1">IF(ROWS($1:48)&gt;COUNT(Dong1),"",OFFSET(TH!C$1,SMALL(Dong1,ROWS($1:48)),))</f>
        <v>41832</v>
      </c>
      <c r="B61" s="120">
        <f ca="1">IF(ROWS($1:48)&gt;COUNT(Dong1),"",OFFSET(TH!E$1,SMALL(Dong1,ROWS($1:48)),))</f>
        <v>41832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4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18471915</v>
      </c>
      <c r="I61" s="121">
        <f t="shared" ca="1" si="0"/>
        <v>2322072570</v>
      </c>
      <c r="J61" s="126"/>
    </row>
    <row r="62" spans="1:15" ht="21.75" customHeight="1">
      <c r="A62" s="120">
        <f ca="1">IF(ROWS($1:49)&gt;COUNT(Dong1),"",OFFSET(TH!C$1,SMALL(Dong1,ROWS($1:49)),))</f>
        <v>41836</v>
      </c>
      <c r="B62" s="120">
        <f ca="1">IF(ROWS($1:49)&gt;COUNT(Dong1),"",OFFSET(TH!E$1,SMALL(Dong1,ROWS($1:49)),))</f>
        <v>41836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4" t="str">
        <f ca="1">IF(ROWS($1:49)&gt;COUNT(Dong1),"",OFFSET(TH!F$1,SMALL(Dong1,ROWS($1:49)),))</f>
        <v>Cước viễn thông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1061538</v>
      </c>
      <c r="I62" s="121">
        <f t="shared" ca="1" si="0"/>
        <v>2321011032</v>
      </c>
      <c r="J62" s="126"/>
    </row>
    <row r="63" spans="1:15" ht="21.75" customHeight="1">
      <c r="A63" s="127"/>
      <c r="B63" s="126"/>
      <c r="C63" s="126"/>
      <c r="D63" s="126"/>
      <c r="E63" s="225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451586085</v>
      </c>
      <c r="H64" s="129">
        <f ca="1">SUM(H14:H63)</f>
        <v>196621453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2321011032</v>
      </c>
      <c r="J65" s="132" t="s">
        <v>19</v>
      </c>
    </row>
    <row r="66" spans="1:12">
      <c r="L66" s="247" t="s">
        <v>155</v>
      </c>
    </row>
    <row r="67" spans="1:12">
      <c r="A67" s="134" t="s">
        <v>156</v>
      </c>
      <c r="L67" s="247" t="s">
        <v>156</v>
      </c>
    </row>
    <row r="68" spans="1:12">
      <c r="A68" s="180" t="str">
        <f ca="1">"- Ngày mở sổ: "&amp;DAY($A$14)&amp;"/"&amp;MONTH($A$14)&amp;"/ " &amp;YEAR($A$14)</f>
        <v>- Ngày mở sổ: 31/7/ 2014</v>
      </c>
      <c r="L68" s="247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47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2"/>
      <c r="I78" s="223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5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66"/>
      <c r="R4" s="81"/>
      <c r="S4" s="577">
        <v>4</v>
      </c>
      <c r="T4" s="81"/>
      <c r="U4" s="467" t="s">
        <v>4</v>
      </c>
      <c r="V4" s="107"/>
      <c r="W4" s="46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6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6"/>
      <c r="G1" s="228" t="s">
        <v>154</v>
      </c>
      <c r="H1" s="557"/>
      <c r="I1" s="226"/>
      <c r="K1" s="779"/>
      <c r="L1" s="779"/>
    </row>
    <row r="2" spans="1:20" s="140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101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1"/>
      <c r="H2" s="1011"/>
      <c r="I2" s="227"/>
      <c r="K2" s="780"/>
      <c r="L2" s="780"/>
    </row>
    <row r="3" spans="1:20" s="140" customFormat="1" ht="16.5" customHeight="1">
      <c r="A3" s="177"/>
      <c r="B3" s="177"/>
      <c r="C3" s="177"/>
      <c r="D3" s="177"/>
      <c r="F3" s="1011"/>
      <c r="G3" s="1011"/>
      <c r="H3" s="1011"/>
      <c r="I3" s="227"/>
    </row>
    <row r="4" spans="1:20" s="140" customFormat="1" ht="19.5" customHeight="1">
      <c r="A4" s="1014" t="s">
        <v>137</v>
      </c>
      <c r="B4" s="1014"/>
      <c r="C4" s="1014"/>
      <c r="D4" s="1014"/>
      <c r="E4" s="1014"/>
      <c r="F4" s="1014"/>
      <c r="G4" s="1014"/>
      <c r="H4" s="1014"/>
      <c r="I4" s="1014"/>
    </row>
    <row r="5" spans="1:20" s="140" customFormat="1" ht="15">
      <c r="A5" s="101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5"/>
      <c r="C5" s="1015"/>
      <c r="D5" s="1015"/>
      <c r="E5" s="1015"/>
      <c r="F5" s="1015"/>
      <c r="G5" s="1015"/>
      <c r="H5" s="1015"/>
      <c r="I5" s="1015"/>
    </row>
    <row r="6" spans="1:20" s="140" customFormat="1" ht="15">
      <c r="D6" s="255" t="s">
        <v>158</v>
      </c>
      <c r="E6" s="1015" t="str">
        <f>IF($M$9="ACB","100983119","1004 148 5104 6511")</f>
        <v>1004 148 5104 6511</v>
      </c>
      <c r="F6" s="1015"/>
      <c r="G6" s="1015"/>
      <c r="H6" s="558" t="s">
        <v>108</v>
      </c>
      <c r="I6" s="256" t="str">
        <f>IF(H6="VNĐ","1121",IF(H6="USD","1122",""))</f>
        <v>1121</v>
      </c>
      <c r="N6" s="1006" t="s">
        <v>325</v>
      </c>
      <c r="O6" s="1006"/>
      <c r="Q6" s="1012" t="s">
        <v>266</v>
      </c>
      <c r="R6" s="1012" t="s">
        <v>326</v>
      </c>
      <c r="S6" s="1012" t="s">
        <v>1267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59"/>
      <c r="I7" s="144"/>
      <c r="Q7" s="1013"/>
      <c r="R7" s="1013"/>
      <c r="S7" s="1013"/>
    </row>
    <row r="8" spans="1:20" s="145" customFormat="1" ht="22.5" customHeight="1" thickBot="1">
      <c r="A8" s="1018" t="s">
        <v>138</v>
      </c>
      <c r="B8" s="1020" t="s">
        <v>1</v>
      </c>
      <c r="C8" s="1021"/>
      <c r="D8" s="1016" t="s">
        <v>0</v>
      </c>
      <c r="E8" s="1022" t="s">
        <v>14</v>
      </c>
      <c r="F8" s="1024" t="s">
        <v>139</v>
      </c>
      <c r="G8" s="1024"/>
      <c r="H8" s="1021"/>
      <c r="I8" s="1016" t="s">
        <v>127</v>
      </c>
      <c r="K8" s="138"/>
      <c r="L8" s="140"/>
      <c r="N8" s="566">
        <f>IF(K9="Quý I",1,IF(K9="Quý II",4,IF(K9="Quý III",7,IF(K9="Quý IV",10,""))))</f>
        <v>7</v>
      </c>
      <c r="O8" s="567">
        <f>IF(K9="Quý I",3,IF(K9="Quý II",6,IF(K9="Quý III",9,IF(K9="Quý IV",12,""))))</f>
        <v>9</v>
      </c>
      <c r="Q8" s="445" t="s">
        <v>267</v>
      </c>
      <c r="R8" s="446">
        <v>112835</v>
      </c>
      <c r="S8" s="446">
        <v>0</v>
      </c>
      <c r="T8" s="447">
        <f>SUM(R8:S8)</f>
        <v>112835</v>
      </c>
    </row>
    <row r="9" spans="1:20" s="145" customFormat="1" ht="22.5" customHeight="1" thickBot="1">
      <c r="A9" s="1019"/>
      <c r="B9" s="146" t="s">
        <v>15</v>
      </c>
      <c r="C9" s="147" t="s">
        <v>140</v>
      </c>
      <c r="D9" s="1017"/>
      <c r="E9" s="1023"/>
      <c r="F9" s="248" t="s">
        <v>141</v>
      </c>
      <c r="G9" s="148" t="s">
        <v>142</v>
      </c>
      <c r="H9" s="560" t="s">
        <v>143</v>
      </c>
      <c r="I9" s="1017"/>
      <c r="K9" s="178" t="s">
        <v>405</v>
      </c>
      <c r="L9" s="140"/>
      <c r="M9" s="444" t="s">
        <v>1266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1"/>
      <c r="G11" s="451"/>
      <c r="H11" s="451">
        <f>IF($M$9="ACB",$R$8,$S$8)+SUMIF(_N112,"x",TH)-SUMIF(_C112,"x",TH)</f>
        <v>1424397</v>
      </c>
      <c r="I11" s="44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0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8">
        <f ca="1">IF(A12&lt;&gt;"",H11+F12-G12,0)</f>
        <v>14265397</v>
      </c>
      <c r="I12" s="449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0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8">
        <f t="shared" ref="H13:H44" ca="1" si="0">IF(A13&lt;&gt;"",H12+F13-G13,0)</f>
        <v>12848597</v>
      </c>
      <c r="I13" s="449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0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8">
        <f t="shared" ca="1" si="0"/>
        <v>11842347</v>
      </c>
      <c r="I14" s="449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0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8">
        <f t="shared" ca="1" si="0"/>
        <v>1425681</v>
      </c>
      <c r="I15" s="449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0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8">
        <f t="shared" ca="1" si="0"/>
        <v>101425681</v>
      </c>
      <c r="I16" s="449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0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8">
        <f t="shared" ca="1" si="0"/>
        <v>71425681</v>
      </c>
      <c r="I17" s="449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0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8">
        <f t="shared" ca="1" si="0"/>
        <v>71414681</v>
      </c>
      <c r="I18" s="449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8">
        <f t="shared" ca="1" si="0"/>
        <v>21414681</v>
      </c>
      <c r="I19" s="449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8">
        <f t="shared" ca="1" si="0"/>
        <v>21403681</v>
      </c>
      <c r="I20" s="449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8">
        <f t="shared" ca="1" si="0"/>
        <v>15403681</v>
      </c>
      <c r="I21" s="449"/>
      <c r="L21" s="140"/>
      <c r="Q21" s="447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8">
        <f t="shared" ca="1" si="0"/>
        <v>15392681</v>
      </c>
      <c r="I22" s="449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0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8">
        <f t="shared" ca="1" si="0"/>
        <v>1392681</v>
      </c>
      <c r="I23" s="449"/>
      <c r="L23" s="140"/>
      <c r="Q23" s="556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0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8">
        <f t="shared" ca="1" si="0"/>
        <v>1370681</v>
      </c>
      <c r="I24" s="449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0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8">
        <f t="shared" ca="1" si="0"/>
        <v>1326681</v>
      </c>
      <c r="I25" s="449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0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8">
        <f t="shared" ca="1" si="0"/>
        <v>1327281</v>
      </c>
      <c r="I26" s="449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0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8">
        <f t="shared" ca="1" si="0"/>
        <v>14107281</v>
      </c>
      <c r="I27" s="449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0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8">
        <f t="shared" ca="1" si="0"/>
        <v>13131264</v>
      </c>
      <c r="I28" s="449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0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8">
        <f t="shared" ca="1" si="0"/>
        <v>12091472</v>
      </c>
      <c r="I29" s="449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0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8">
        <f t="shared" ca="1" si="0"/>
        <v>1327583</v>
      </c>
      <c r="I30" s="449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0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8">
        <f t="shared" ca="1" si="0"/>
        <v>1328183</v>
      </c>
      <c r="I31" s="449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0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8">
        <f t="shared" ca="1" si="0"/>
        <v>100888183</v>
      </c>
      <c r="I32" s="449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0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8">
        <f t="shared" ca="1" si="0"/>
        <v>1328183</v>
      </c>
      <c r="I33" s="449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0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8">
        <f t="shared" ca="1" si="0"/>
        <v>4108183</v>
      </c>
      <c r="I34" s="449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0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8">
        <f t="shared" ca="1" si="0"/>
        <v>14108183</v>
      </c>
      <c r="I35" s="449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0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8">
        <f t="shared" ca="1" si="0"/>
        <v>13132166</v>
      </c>
      <c r="I36" s="449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0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8">
        <f t="shared" ca="1" si="0"/>
        <v>12092374</v>
      </c>
      <c r="I37" s="449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0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8">
        <f t="shared" ca="1" si="0"/>
        <v>1328485</v>
      </c>
      <c r="I38" s="449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0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8">
        <f t="shared" ca="1" si="0"/>
        <v>1329185</v>
      </c>
      <c r="I39" s="449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0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8">
        <f t="shared" ca="1" si="0"/>
        <v>0</v>
      </c>
      <c r="I40" s="449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0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8">
        <f t="shared" ca="1" si="0"/>
        <v>0</v>
      </c>
      <c r="I41" s="449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0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8">
        <f t="shared" ca="1" si="0"/>
        <v>0</v>
      </c>
      <c r="I42" s="449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0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8">
        <f t="shared" ca="1" si="0"/>
        <v>0</v>
      </c>
      <c r="I43" s="449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0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8">
        <f t="shared" ca="1" si="0"/>
        <v>0</v>
      </c>
      <c r="I44" s="449"/>
    </row>
    <row r="45" spans="1:20" s="145" customFormat="1" ht="18.75" customHeight="1">
      <c r="A45" s="156"/>
      <c r="B45" s="156"/>
      <c r="C45" s="156"/>
      <c r="D45" s="230"/>
      <c r="E45" s="156"/>
      <c r="F45" s="452"/>
      <c r="G45" s="452"/>
      <c r="H45" s="568"/>
      <c r="I45" s="44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1">
        <f ca="1">SUM(F12:F45)</f>
        <v>237962900</v>
      </c>
      <c r="G46" s="451">
        <f ca="1">SUM(G12:G45)</f>
        <v>238058112</v>
      </c>
      <c r="H46" s="451">
        <f ca="1">H11+F46-G46</f>
        <v>1329185</v>
      </c>
      <c r="I46" s="45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1">
        <f ca="1">H46</f>
        <v>1329185</v>
      </c>
      <c r="I47" s="159"/>
    </row>
    <row r="48" spans="1:20" s="155" customFormat="1" ht="22.5" customHeight="1">
      <c r="A48" s="247" t="s">
        <v>155</v>
      </c>
      <c r="B48" s="161"/>
      <c r="F48" s="162"/>
      <c r="H48" s="561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1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1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2"/>
      <c r="I51" s="231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1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7" sqref="G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0" width="8" style="181"/>
    <col min="11" max="11" width="9" style="181" bestFit="1" customWidth="1"/>
    <col min="12" max="16384" width="8" style="181"/>
  </cols>
  <sheetData>
    <row r="1" spans="1:11">
      <c r="A1" s="803" t="str">
        <f>TH!$A$1</f>
        <v>Đơn vị: CÔNG TY TNHH SX TM KIM DUNG PHÁT</v>
      </c>
    </row>
    <row r="2" spans="1:11">
      <c r="A2" s="804" t="str">
        <f>TH!$A$2</f>
        <v>Địa chỉ: 1A227/1 Ấp 1, Phạm Văn Hai, Bình Chánh, TPHCM</v>
      </c>
    </row>
    <row r="3" spans="1:11" ht="27" customHeight="1">
      <c r="A3" s="1026" t="s">
        <v>331</v>
      </c>
      <c r="B3" s="1026"/>
      <c r="C3" s="1026"/>
      <c r="D3" s="1026"/>
      <c r="E3" s="1026"/>
      <c r="F3" s="1026"/>
      <c r="G3" s="1026"/>
      <c r="H3" s="1026"/>
    </row>
    <row r="4" spans="1:11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11" s="10" customFormat="1" ht="14.25" customHeight="1">
      <c r="A5" s="1028"/>
      <c r="B5" s="1030"/>
      <c r="C5" s="574" t="s">
        <v>42</v>
      </c>
      <c r="D5" s="574" t="s">
        <v>43</v>
      </c>
      <c r="E5" s="574" t="s">
        <v>42</v>
      </c>
      <c r="F5" s="574" t="s">
        <v>43</v>
      </c>
      <c r="G5" s="574" t="s">
        <v>42</v>
      </c>
      <c r="H5" s="574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561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IF(ISNA(VLOOKUP(B6,[3]!DS_131,1,0)),"","x")</f>
        <v>x</v>
      </c>
    </row>
    <row r="7" spans="1:11" s="10" customFormat="1" ht="16.5" customHeight="1">
      <c r="A7" s="6">
        <f t="shared" si="0"/>
        <v>2</v>
      </c>
      <c r="B7" s="7" t="s">
        <v>454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>x</v>
      </c>
    </row>
    <row r="8" spans="1:11" s="10" customFormat="1" ht="16.5" customHeight="1">
      <c r="A8" s="6">
        <f t="shared" si="0"/>
        <v>3</v>
      </c>
      <c r="B8" s="7" t="s">
        <v>908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IF(ISNA(VLOOKUP(B8,[3]!DS_131,1,0)),"","x")</f>
        <v/>
      </c>
    </row>
    <row r="9" spans="1:11" s="10" customFormat="1" ht="16.5" customHeight="1">
      <c r="A9" s="6">
        <f t="shared" si="0"/>
        <v>4</v>
      </c>
      <c r="B9" s="44" t="s">
        <v>582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IF(ISNA(VLOOKUP(B9,[3]!DS_131,1,0)),"","x")</f>
        <v>x</v>
      </c>
    </row>
    <row r="10" spans="1:11" s="10" customFormat="1" ht="16.5" customHeight="1">
      <c r="A10" s="6">
        <f t="shared" si="0"/>
        <v>5</v>
      </c>
      <c r="B10" s="7" t="s">
        <v>684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IF(ISNA(VLOOKUP(B10,[3]!DS_131,1,0)),"","x")</f>
        <v>x</v>
      </c>
    </row>
    <row r="11" spans="1:11" s="10" customFormat="1" ht="16.5" customHeight="1">
      <c r="A11" s="6">
        <f t="shared" si="0"/>
        <v>6</v>
      </c>
      <c r="B11" s="7" t="s">
        <v>646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IF(ISNA(VLOOKUP(B11,[3]!DS_131,1,0)),"","x")</f>
        <v>x</v>
      </c>
    </row>
    <row r="12" spans="1:11" s="10" customFormat="1" ht="16.5" customHeight="1">
      <c r="A12" s="6">
        <f t="shared" si="0"/>
        <v>7</v>
      </c>
      <c r="B12" s="7" t="s">
        <v>425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IF(ISNA(VLOOKUP(B12,[3]!DS_131,1,0)),"","x")</f>
        <v/>
      </c>
    </row>
    <row r="13" spans="1:11" s="10" customFormat="1" ht="16.5" customHeight="1">
      <c r="A13" s="6">
        <f t="shared" si="0"/>
        <v>8</v>
      </c>
      <c r="B13" s="45" t="s">
        <v>469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0">
        <f t="shared" si="1"/>
        <v>11224400</v>
      </c>
      <c r="H13" s="750">
        <f t="shared" si="2"/>
        <v>0</v>
      </c>
      <c r="I13" s="10" t="str">
        <f>IF(ISNA(VLOOKUP(B13,[3]!DS_131,1,0)),"","x")</f>
        <v>x</v>
      </c>
    </row>
    <row r="14" spans="1:11" s="10" customFormat="1" ht="16.5" customHeight="1">
      <c r="A14" s="6">
        <f t="shared" si="0"/>
        <v>9</v>
      </c>
      <c r="B14" s="7" t="s">
        <v>798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50">
        <f t="shared" si="1"/>
        <v>0</v>
      </c>
      <c r="H14" s="750">
        <f t="shared" si="2"/>
        <v>0</v>
      </c>
      <c r="I14" s="10" t="str">
        <f>IF(ISNA(VLOOKUP(B14,[3]!DS_131,1,0)),"","x")</f>
        <v>x</v>
      </c>
    </row>
    <row r="15" spans="1:11" s="10" customFormat="1" ht="16.5" customHeight="1">
      <c r="A15" s="6">
        <f t="shared" si="0"/>
        <v>10</v>
      </c>
      <c r="B15" s="7" t="s">
        <v>907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50">
        <f t="shared" si="1"/>
        <v>27317950</v>
      </c>
      <c r="H15" s="750">
        <f t="shared" si="2"/>
        <v>0</v>
      </c>
      <c r="K15" s="945"/>
    </row>
    <row r="16" spans="1:11" s="10" customFormat="1" ht="16.5" customHeight="1">
      <c r="A16" s="6">
        <f t="shared" si="0"/>
        <v>11</v>
      </c>
      <c r="B16" s="44" t="s">
        <v>458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50">
        <f t="shared" si="1"/>
        <v>0</v>
      </c>
      <c r="H16" s="75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909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0">
        <f t="shared" si="1"/>
        <v>0</v>
      </c>
      <c r="H17" s="750">
        <f t="shared" si="2"/>
        <v>0</v>
      </c>
      <c r="I17" s="10" t="str">
        <f>IF(ISNA(VLOOKUP(B17,[3]!DS_131,1,0)),"","x")</f>
        <v/>
      </c>
    </row>
    <row r="18" spans="1:9" s="10" customFormat="1" ht="16.5" customHeight="1">
      <c r="A18" s="6">
        <f t="shared" si="0"/>
        <v>13</v>
      </c>
      <c r="B18" s="7" t="s">
        <v>714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50">
        <f t="shared" si="1"/>
        <v>0</v>
      </c>
      <c r="H18" s="750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688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50">
        <f t="shared" si="1"/>
        <v>0</v>
      </c>
      <c r="H19" s="75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617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50">
        <f t="shared" si="1"/>
        <v>0</v>
      </c>
      <c r="H20" s="750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654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50">
        <f t="shared" si="1"/>
        <v>0</v>
      </c>
      <c r="H21" s="75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733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50">
        <f t="shared" si="1"/>
        <v>0</v>
      </c>
      <c r="H22" s="750">
        <f t="shared" si="2"/>
        <v>0</v>
      </c>
      <c r="I22" s="10" t="str">
        <f>IF(ISNA(VLOOKUP(B22,[3]!DS_131,1,0)),"","x")</f>
        <v/>
      </c>
    </row>
    <row r="23" spans="1:9" s="10" customFormat="1" ht="16.5" customHeight="1">
      <c r="A23" s="6">
        <f t="shared" si="0"/>
        <v>18</v>
      </c>
      <c r="B23" s="7" t="s">
        <v>641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0">
        <f t="shared" si="1"/>
        <v>21191500</v>
      </c>
      <c r="H23" s="75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477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50">
        <f t="shared" si="1"/>
        <v>0</v>
      </c>
      <c r="H24" s="75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782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0">
        <f t="shared" si="1"/>
        <v>0</v>
      </c>
      <c r="H25" s="750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435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50">
        <f t="shared" si="1"/>
        <v>0</v>
      </c>
      <c r="H26" s="750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7" t="s">
        <v>490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0">
        <f t="shared" si="1"/>
        <v>0</v>
      </c>
      <c r="H27" s="75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44" t="s">
        <v>550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50">
        <f t="shared" si="1"/>
        <v>0</v>
      </c>
      <c r="H28" s="75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502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50">
        <f t="shared" si="1"/>
        <v>0</v>
      </c>
      <c r="H29" s="75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472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50">
        <f t="shared" si="1"/>
        <v>0</v>
      </c>
      <c r="H30" s="750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45" t="s">
        <v>546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50">
        <f t="shared" si="1"/>
        <v>0</v>
      </c>
      <c r="H31" s="750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832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50">
        <f t="shared" si="1"/>
        <v>0</v>
      </c>
      <c r="H32" s="750">
        <f t="shared" si="2"/>
        <v>0</v>
      </c>
      <c r="I32" s="10" t="str">
        <f>IF(ISNA(VLOOKUP(B32,[3]!DS_131,1,0)),"","x")</f>
        <v/>
      </c>
    </row>
    <row r="33" spans="1:9" s="10" customFormat="1" ht="16.5" customHeight="1">
      <c r="A33" s="6">
        <f t="shared" si="0"/>
        <v>28</v>
      </c>
      <c r="B33" s="7" t="s">
        <v>721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50">
        <f t="shared" si="1"/>
        <v>0</v>
      </c>
      <c r="H33" s="750">
        <f t="shared" si="2"/>
        <v>0</v>
      </c>
      <c r="I33" s="10" t="str">
        <f>IF(ISNA(VLOOKUP(B33,[3]!DS_131,1,0)),"","x")</f>
        <v>x</v>
      </c>
    </row>
    <row r="34" spans="1:9" s="10" customFormat="1" ht="16.5" customHeight="1">
      <c r="A34" s="6">
        <f t="shared" si="0"/>
        <v>29</v>
      </c>
      <c r="B34" s="7" t="s">
        <v>777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50">
        <f t="shared" si="1"/>
        <v>0</v>
      </c>
      <c r="H34" s="750">
        <f t="shared" si="2"/>
        <v>0</v>
      </c>
      <c r="I34" s="10" t="str">
        <f>IF(ISNA(VLOOKUP(B34,[3]!DS_131,1,0)),"","x")</f>
        <v>x</v>
      </c>
    </row>
    <row r="35" spans="1:9" s="10" customFormat="1" ht="16.5" customHeight="1">
      <c r="A35" s="6">
        <f t="shared" si="0"/>
        <v>30</v>
      </c>
      <c r="B35" s="7" t="s">
        <v>672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50">
        <f t="shared" si="1"/>
        <v>0</v>
      </c>
      <c r="H35" s="750">
        <f t="shared" si="2"/>
        <v>0</v>
      </c>
      <c r="I35" s="10" t="str">
        <f>IF(ISNA(VLOOKUP(B35,[3]!DS_131,1,0)),"","x")</f>
        <v>x</v>
      </c>
    </row>
    <row r="36" spans="1:9" s="10" customFormat="1" ht="16.5" customHeight="1">
      <c r="A36" s="6">
        <f t="shared" si="0"/>
        <v>31</v>
      </c>
      <c r="B36" s="7" t="s">
        <v>461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50">
        <f t="shared" si="1"/>
        <v>0</v>
      </c>
      <c r="H36" s="750">
        <f t="shared" si="2"/>
        <v>0</v>
      </c>
      <c r="I36" s="10" t="str">
        <f>IF(ISNA(VLOOKUP(B36,[3]!DS_131,1,0)),"","x")</f>
        <v>x</v>
      </c>
    </row>
    <row r="37" spans="1:9" s="10" customFormat="1" ht="16.5" customHeight="1">
      <c r="A37" s="6">
        <f t="shared" si="0"/>
        <v>32</v>
      </c>
      <c r="B37" s="7" t="s">
        <v>438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50">
        <f t="shared" si="1"/>
        <v>0</v>
      </c>
      <c r="H37" s="750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si="0"/>
        <v>33</v>
      </c>
      <c r="B38" s="7" t="s">
        <v>906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0">
        <f t="shared" si="1"/>
        <v>250000</v>
      </c>
      <c r="H38" s="750">
        <f t="shared" si="2"/>
        <v>0</v>
      </c>
      <c r="I38" s="10" t="str">
        <f>IF(ISNA(VLOOKUP(B38,[3]!DS_131,1,0)),"","x")</f>
        <v>x</v>
      </c>
    </row>
    <row r="39" spans="1:9" s="10" customFormat="1" ht="16.5" customHeight="1">
      <c r="A39" s="6">
        <f t="shared" si="0"/>
        <v>34</v>
      </c>
      <c r="B39" s="7" t="s">
        <v>419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50">
        <f t="shared" si="1"/>
        <v>0</v>
      </c>
      <c r="H39" s="750">
        <f t="shared" si="2"/>
        <v>0</v>
      </c>
      <c r="I39" s="10" t="str">
        <f>IF(ISNA(VLOOKUP(B39,[3]!DS_131,1,0)),"","x")</f>
        <v>x</v>
      </c>
    </row>
    <row r="40" spans="1:9" s="10" customFormat="1" ht="16.5" customHeight="1">
      <c r="A40" s="6">
        <f t="shared" si="0"/>
        <v>35</v>
      </c>
      <c r="B40" s="7" t="s">
        <v>602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0">
        <f t="shared" si="1"/>
        <v>34482685</v>
      </c>
      <c r="H40" s="750">
        <f t="shared" si="2"/>
        <v>0</v>
      </c>
      <c r="I40" s="10" t="str">
        <f>IF(ISNA(VLOOKUP(B40,[3]!DS_131,1,0)),"","x")</f>
        <v>x</v>
      </c>
    </row>
    <row r="41" spans="1:9" s="10" customFormat="1" ht="16.5" customHeight="1">
      <c r="A41" s="6">
        <f t="shared" si="0"/>
        <v>36</v>
      </c>
      <c r="B41" s="7" t="s">
        <v>535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50">
        <f t="shared" si="1"/>
        <v>0</v>
      </c>
      <c r="H41" s="750">
        <f t="shared" si="2"/>
        <v>0</v>
      </c>
      <c r="I41" s="10" t="str">
        <f>IF(ISNA(VLOOKUP(B41,[3]!DS_131,1,0)),"","x")</f>
        <v/>
      </c>
    </row>
    <row r="42" spans="1:9" s="10" customFormat="1" ht="16.5" customHeight="1">
      <c r="A42" s="6">
        <f t="shared" si="0"/>
        <v>37</v>
      </c>
      <c r="B42" s="7" t="s">
        <v>441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50">
        <f t="shared" si="1"/>
        <v>0</v>
      </c>
      <c r="H42" s="750">
        <f t="shared" si="2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0"/>
        <v>38</v>
      </c>
      <c r="B43" s="7" t="s">
        <v>465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50">
        <f t="shared" si="1"/>
        <v>0</v>
      </c>
      <c r="H43" s="750">
        <f t="shared" si="2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0"/>
        <v>39</v>
      </c>
      <c r="B44" s="7" t="s">
        <v>838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50">
        <f t="shared" si="1"/>
        <v>0</v>
      </c>
      <c r="H44" s="750">
        <f t="shared" si="2"/>
        <v>0</v>
      </c>
      <c r="I44" s="10" t="str">
        <f>IF(ISNA(VLOOKUP(B44,[3]!DS_131,1,0)),"","x")</f>
        <v>x</v>
      </c>
    </row>
    <row r="45" spans="1:9" s="10" customFormat="1" ht="16.5" customHeight="1">
      <c r="A45" s="6">
        <f t="shared" si="0"/>
        <v>40</v>
      </c>
      <c r="B45" s="7" t="s">
        <v>846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0">
        <f t="shared" si="1"/>
        <v>19056098</v>
      </c>
      <c r="H45" s="750">
        <f t="shared" si="2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0"/>
        <v>41</v>
      </c>
      <c r="B46" s="193" t="s">
        <v>862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0">
        <f t="shared" si="1"/>
        <v>14583580</v>
      </c>
      <c r="H46" s="750">
        <f t="shared" si="2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0"/>
        <v>42</v>
      </c>
      <c r="B47" s="193" t="s">
        <v>886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50">
        <f t="shared" si="1"/>
        <v>0</v>
      </c>
      <c r="H47" s="750">
        <f t="shared" si="2"/>
        <v>0</v>
      </c>
      <c r="I47" s="10" t="str">
        <f>IF(ISNA(VLOOKUP(B47,[3]!DS_131,1,0)),"","x")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IF(ISNA(VLOOKUP(B48,[3]!DS_131,1,0)),"","x")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</row>
    <row r="51" spans="1:8">
      <c r="D51" s="183">
        <f>C49-D49-CDPS!C14</f>
        <v>0</v>
      </c>
      <c r="E51" s="15"/>
      <c r="F51" s="15"/>
    </row>
    <row r="52" spans="1:8">
      <c r="E52" s="15"/>
      <c r="F52" s="1025" t="s">
        <v>414</v>
      </c>
      <c r="G52" s="1025"/>
      <c r="H52" s="1025"/>
    </row>
    <row r="53" spans="1:8">
      <c r="F53" s="1025" t="s">
        <v>109</v>
      </c>
      <c r="G53" s="1025"/>
      <c r="H53" s="1025"/>
    </row>
    <row r="54" spans="1:8">
      <c r="E54" s="183"/>
      <c r="F54" s="1025" t="s">
        <v>136</v>
      </c>
      <c r="G54" s="1025"/>
      <c r="H54" s="102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79" t="str">
        <f>TH!A1</f>
        <v>Đơn vị: CÔNG TY TNHH SX TM KIM DUNG PHÁT</v>
      </c>
      <c r="B1" s="571"/>
      <c r="C1" s="571"/>
      <c r="G1" s="2"/>
      <c r="H1" s="1035" t="s">
        <v>46</v>
      </c>
      <c r="I1" s="1035"/>
      <c r="J1" s="1035"/>
    </row>
    <row r="2" spans="1:10" s="441" customFormat="1" ht="14.25" customHeight="1">
      <c r="A2" s="578" t="str">
        <f>TH!A2</f>
        <v>Địa chỉ: 1A227/1 Ấp 1, Phạm Văn Hai, Bình Chánh, TPHCM</v>
      </c>
      <c r="B2" s="571"/>
      <c r="C2" s="571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441" customFormat="1" ht="14.25" customHeight="1">
      <c r="A3" s="573"/>
      <c r="B3" s="571"/>
      <c r="C3" s="571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569" t="s">
        <v>27</v>
      </c>
    </row>
    <row r="6" spans="1:10" s="18" customFormat="1" ht="14.25" customHeight="1">
      <c r="E6" s="569" t="s">
        <v>334</v>
      </c>
    </row>
    <row r="7" spans="1:10" s="18" customFormat="1" ht="14.25" customHeight="1">
      <c r="D7" s="20" t="s">
        <v>45</v>
      </c>
      <c r="E7" s="1038" t="s">
        <v>454</v>
      </c>
      <c r="F7" s="1038"/>
      <c r="G7" s="1038"/>
      <c r="H7" s="1038"/>
    </row>
    <row r="8" spans="1:10" s="18" customFormat="1" ht="14.25" customHeight="1">
      <c r="E8" s="569" t="s">
        <v>29</v>
      </c>
    </row>
    <row r="9" spans="1:10" s="18" customFormat="1" ht="6.75" customHeight="1">
      <c r="B9" s="56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5" t="s">
        <v>2</v>
      </c>
      <c r="B12" s="576" t="s">
        <v>3</v>
      </c>
      <c r="C12" s="575" t="s">
        <v>4</v>
      </c>
      <c r="D12" s="575" t="s">
        <v>5</v>
      </c>
      <c r="E12" s="575" t="s">
        <v>6</v>
      </c>
      <c r="F12" s="575">
        <v>1</v>
      </c>
      <c r="G12" s="575">
        <v>2</v>
      </c>
      <c r="H12" s="575">
        <v>3</v>
      </c>
      <c r="I12" s="575">
        <v>4</v>
      </c>
      <c r="J12" s="575">
        <v>5</v>
      </c>
    </row>
    <row r="13" spans="1:10" s="18" customFormat="1" ht="18" customHeight="1">
      <c r="A13" s="575"/>
      <c r="B13" s="575"/>
      <c r="C13" s="575"/>
      <c r="D13" s="23" t="s">
        <v>7</v>
      </c>
      <c r="E13" s="575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21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21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21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21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41806</v>
      </c>
      <c r="B18" s="9" t="str">
        <f ca="1">IF(ROWS($1:5)&gt;COUNT(Dong14),"",OFFSET(TH!D$1,SMALL(Dong14,ROWS($1:5)),))</f>
        <v>TP/X34</v>
      </c>
      <c r="C18" s="9">
        <f ca="1">IF(ROWS($1:5)&gt;COUNT(Dong14),"",OFFSET(TH!E$1,SMALL(Dong14,ROWS($1:5)),))</f>
        <v>41806</v>
      </c>
      <c r="D18" s="221" t="str">
        <f ca="1">IF(ROWS($1:5)&gt;COUNT(Dong14),"",OFFSET(TH!F$1,SMALL(Dong14,ROWS($1:5)),))</f>
        <v>Thùng (63,5x63,5x30,5)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9950000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17738000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21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18733000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41806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10945000</v>
      </c>
      <c r="I20" s="25">
        <f t="shared" ca="1" si="0"/>
        <v>7788000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41845</v>
      </c>
      <c r="B21" s="9" t="str">
        <f ca="1">IF(ROWS($1:8)&gt;COUNT(Dong14),"",OFFSET(TH!D$1,SMALL(Dong14,ROWS($1:8)),))</f>
        <v>TP/X16</v>
      </c>
      <c r="C21" s="9">
        <f ca="1">IF(ROWS($1:8)&gt;COUNT(Dong14),"",OFFSET(TH!E$1,SMALL(Dong14,ROWS($1:8)),))</f>
        <v>41845</v>
      </c>
      <c r="D21" s="221" t="str">
        <f ca="1">IF(ROWS($1:8)&gt;COUNT(Dong14),"",OFFSET(TH!F$1,SMALL(Dong14,ROWS($1:8)),))</f>
        <v>Thùng (52x28x34)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766300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8554300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21" t="str">
        <f ca="1">IF(ROWS($1:9)&gt;COUNT(Dong14),"",OFFSET(TH!F$1,SMALL(Dong14,ROWS($1:9)),))</f>
        <v>VAT Thùng carton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8630930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41871</v>
      </c>
      <c r="B23" s="9" t="str">
        <f ca="1">IF(ROWS($1:10)&gt;COUNT(Dong14),"",OFFSET(TH!D$1,SMALL(Dong14,ROWS($1:10)),))</f>
        <v>TP/X32</v>
      </c>
      <c r="C23" s="9">
        <f ca="1">IF(ROWS($1:10)&gt;COUNT(Dong14),"",OFFSET(TH!E$1,SMALL(Dong14,ROWS($1:10)),))</f>
        <v>41871</v>
      </c>
      <c r="D23" s="221" t="str">
        <f ca="1">IF(ROWS($1:10)&gt;COUNT(Dong14),"",OFFSET(TH!F$1,SMALL(Dong14,ROWS($1:10)),))</f>
        <v>Thùng (47x35,5x25)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6750000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15380930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21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16055930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41871</v>
      </c>
      <c r="D25" s="221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7425000</v>
      </c>
      <c r="I25" s="25">
        <f t="shared" ca="1" si="0"/>
        <v>8630930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21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12130930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21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12480930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41883</v>
      </c>
      <c r="D28" s="221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3850000</v>
      </c>
      <c r="I28" s="25">
        <f t="shared" ca="1" si="0"/>
        <v>8630930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21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24880930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21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26505930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>
        <f ca="1">IF(ROWS($1:18)&gt;COUNT(Dong14),"",OFFSET(TH!D$1,SMALL(Dong14,ROWS($1:18)),))</f>
        <v>0</v>
      </c>
      <c r="C31" s="9">
        <f ca="1">IF(ROWS($1:18)&gt;COUNT(Dong14),"",OFFSET(TH!E$1,SMALL(Dong14,ROWS($1:18)),))</f>
        <v>42003</v>
      </c>
      <c r="D31" s="221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8630930</v>
      </c>
      <c r="J31" s="25">
        <f t="shared" ref="J31:J37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21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22838930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21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24259730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>
        <f ca="1">IF(ROWS($1:21)&gt;COUNT(Dong14),"",OFFSET(TH!D$1,SMALL(Dong14,ROWS($1:21)),))</f>
        <v>0</v>
      </c>
      <c r="C34" s="9">
        <f ca="1">IF(ROWS($1:21)&gt;COUNT(Dong14),"",OFFSET(TH!E$1,SMALL(Dong14,ROWS($1:21)),))</f>
        <v>42004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9450000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41734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41734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9450000</v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21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21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21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21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21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21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21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21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21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21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5"/>
      <c r="C53" s="26"/>
      <c r="D53" s="23" t="s">
        <v>33</v>
      </c>
      <c r="E53" s="575" t="s">
        <v>19</v>
      </c>
      <c r="F53" s="575" t="s">
        <v>19</v>
      </c>
      <c r="G53" s="27">
        <f ca="1">SUM(G14:G30)</f>
        <v>48725930</v>
      </c>
      <c r="H53" s="27">
        <f ca="1">SUM(H14:H30)</f>
        <v>22220000</v>
      </c>
      <c r="I53" s="27" t="s">
        <v>19</v>
      </c>
      <c r="J53" s="27" t="s">
        <v>19</v>
      </c>
    </row>
    <row r="54" spans="1:11" s="18" customFormat="1" ht="18" customHeight="1">
      <c r="A54" s="24"/>
      <c r="B54" s="575"/>
      <c r="C54" s="575"/>
      <c r="D54" s="23" t="s">
        <v>10</v>
      </c>
      <c r="E54" s="575" t="s">
        <v>19</v>
      </c>
      <c r="F54" s="575" t="s">
        <v>19</v>
      </c>
      <c r="G54" s="27" t="s">
        <v>19</v>
      </c>
      <c r="H54" s="27" t="s">
        <v>19</v>
      </c>
      <c r="I54" s="27">
        <f ca="1">MAX(I13+G53-H53-J13,0)</f>
        <v>26505930</v>
      </c>
      <c r="J54" s="27">
        <f ca="1">MAX(J13+H53-G53-I13,0)</f>
        <v>0</v>
      </c>
    </row>
    <row r="55" spans="1:11" s="18" customFormat="1" ht="6" customHeight="1">
      <c r="B55" s="569"/>
      <c r="C55" s="569"/>
      <c r="E55" s="569"/>
    </row>
    <row r="56" spans="1:11" s="18" customFormat="1" ht="14.25" customHeight="1">
      <c r="A56" s="28" t="s">
        <v>152</v>
      </c>
      <c r="B56" s="569"/>
      <c r="C56" s="569"/>
      <c r="E56" s="569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9"/>
      <c r="C57" s="569"/>
      <c r="E57" s="569"/>
      <c r="K57" s="28" t="s">
        <v>34</v>
      </c>
    </row>
    <row r="58" spans="1:11" s="18" customFormat="1" ht="14.25" customHeight="1">
      <c r="B58" s="569"/>
      <c r="C58" s="569"/>
      <c r="E58" s="991" t="str">
        <f ca="1">"Ngày 31 tháng  12  năm  "&amp;YEAR($A$14)</f>
        <v>Ngày 31 tháng  12  năm  2014</v>
      </c>
      <c r="F58" s="991"/>
      <c r="G58" s="991"/>
      <c r="H58" s="991"/>
      <c r="I58" s="991"/>
      <c r="J58" s="991"/>
    </row>
    <row r="59" spans="1:11" s="18" customFormat="1" ht="14.25" customHeight="1">
      <c r="C59" s="569" t="s">
        <v>11</v>
      </c>
      <c r="E59" s="991" t="s">
        <v>12</v>
      </c>
      <c r="F59" s="991"/>
      <c r="G59" s="991"/>
      <c r="H59" s="991"/>
      <c r="I59" s="991"/>
      <c r="J59" s="991"/>
    </row>
    <row r="60" spans="1:11" s="18" customFormat="1" ht="14.25" customHeight="1">
      <c r="C60" s="569" t="s">
        <v>13</v>
      </c>
      <c r="E60" s="991" t="s">
        <v>13</v>
      </c>
      <c r="F60" s="991"/>
      <c r="G60" s="991"/>
      <c r="H60" s="991"/>
      <c r="I60" s="991"/>
      <c r="J60" s="991"/>
    </row>
    <row r="61" spans="1:11" s="29" customFormat="1"/>
    <row r="67" spans="3:3" ht="15">
      <c r="C67" s="57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35" sqref="B3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03" t="str">
        <f>TH!$A$1</f>
        <v>Đơn vị: CÔNG TY TNHH SX TM KIM DUNG PHÁT</v>
      </c>
    </row>
    <row r="2" spans="1:9">
      <c r="A2" s="804" t="str">
        <f>TH!$A$2</f>
        <v>Địa chỉ: 1A227/1 Ấp 1, Phạm Văn Hai, Bình Chánh, TPHCM</v>
      </c>
    </row>
    <row r="3" spans="1:9" ht="27" customHeight="1">
      <c r="A3" s="1026" t="s">
        <v>102</v>
      </c>
      <c r="B3" s="1026"/>
      <c r="C3" s="1026"/>
      <c r="D3" s="1026"/>
      <c r="E3" s="1026"/>
      <c r="F3" s="1026"/>
      <c r="G3" s="1026"/>
      <c r="H3" s="1026"/>
    </row>
    <row r="4" spans="1:9" s="10" customFormat="1" ht="14.25" customHeight="1">
      <c r="A4" s="1027" t="s">
        <v>35</v>
      </c>
      <c r="B4" s="1029" t="s">
        <v>36</v>
      </c>
      <c r="C4" s="1031" t="s">
        <v>37</v>
      </c>
      <c r="D4" s="1032"/>
      <c r="E4" s="1031" t="s">
        <v>38</v>
      </c>
      <c r="F4" s="1032"/>
      <c r="G4" s="1031" t="s">
        <v>41</v>
      </c>
      <c r="H4" s="1032"/>
    </row>
    <row r="5" spans="1:9" s="10" customFormat="1" ht="14.25" customHeight="1">
      <c r="A5" s="1028"/>
      <c r="B5" s="103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994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1139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1237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7" t="s">
        <v>1144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1090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351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IF(ISNA(VLOOKUP(B11,[3]!DSKH,1,0)),"","x")</f>
        <v>x</v>
      </c>
    </row>
    <row r="12" spans="1:9" s="10" customFormat="1" ht="16.5" customHeight="1">
      <c r="A12" s="6">
        <f t="shared" si="2"/>
        <v>7</v>
      </c>
      <c r="B12" s="7" t="s">
        <v>1073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IF(ISNA(VLOOKUP(B12,[3]!DSKH,1,0)),"","x")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1380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44">
        <f t="shared" si="3"/>
        <v>0</v>
      </c>
      <c r="H13" s="944">
        <f t="shared" si="4"/>
        <v>35000000</v>
      </c>
      <c r="I13" s="10" t="str">
        <f>IF(ISNA(VLOOKUP(B13,[3]!DSKH,1,0)),"","x")</f>
        <v>x</v>
      </c>
    </row>
    <row r="14" spans="1:9" s="10" customFormat="1" ht="16.5" customHeight="1">
      <c r="A14" s="6">
        <f t="shared" si="2"/>
        <v>9</v>
      </c>
      <c r="B14" s="7" t="s">
        <v>1077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IF(ISNA(VLOOKUP(B14,[3]!DSKH,1,0)),"","x")</f>
        <v/>
      </c>
    </row>
    <row r="15" spans="1:9" s="10" customFormat="1" ht="16.5" customHeight="1">
      <c r="A15" s="6">
        <f t="shared" si="2"/>
        <v>10</v>
      </c>
      <c r="B15" s="7" t="s">
        <v>1010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IF(ISNA(VLOOKUP(B15,[3]!DSKH,1,0)),"","x")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3" t="s">
        <v>1102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50">
        <f t="shared" ref="G16:G23" si="9">ROUND(MAX(C16+E16-D16-F16,0),2)</f>
        <v>0</v>
      </c>
      <c r="H16" s="750">
        <f t="shared" ref="H16:H23" si="10">ROUND(MAX(D16+F16-C16-E16,0),2)</f>
        <v>0</v>
      </c>
      <c r="I16" s="10" t="str">
        <f>IF(ISNA(VLOOKUP(B16,[3]!DSKH,1,0)),"","x")</f>
        <v/>
      </c>
    </row>
    <row r="17" spans="1:9" s="10" customFormat="1" ht="16.5" customHeight="1">
      <c r="A17" s="6">
        <f t="shared" si="8"/>
        <v>12</v>
      </c>
      <c r="B17" s="7" t="s">
        <v>1015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50">
        <f t="shared" si="9"/>
        <v>0</v>
      </c>
      <c r="H17" s="750">
        <f t="shared" si="10"/>
        <v>0</v>
      </c>
      <c r="I17" s="10" t="str">
        <f>IF(ISNA(VLOOKUP(B17,[3]!DSKH,1,0)),"","x")</f>
        <v/>
      </c>
    </row>
    <row r="18" spans="1:9" s="10" customFormat="1" ht="16.5" customHeight="1">
      <c r="A18" s="6">
        <f t="shared" si="8"/>
        <v>13</v>
      </c>
      <c r="B18" s="7" t="s">
        <v>1050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50">
        <f t="shared" si="9"/>
        <v>0</v>
      </c>
      <c r="H18" s="750">
        <f t="shared" si="10"/>
        <v>393652940</v>
      </c>
      <c r="I18" s="10" t="str">
        <f>IF(ISNA(VLOOKUP(B18,[3]!DSKH,1,0)),"","x")</f>
        <v/>
      </c>
    </row>
    <row r="19" spans="1:9" s="10" customFormat="1" ht="16.5" customHeight="1">
      <c r="A19" s="6">
        <f t="shared" si="8"/>
        <v>14</v>
      </c>
      <c r="B19" s="7" t="s">
        <v>1126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50">
        <f t="shared" si="9"/>
        <v>0</v>
      </c>
      <c r="H19" s="750">
        <f t="shared" si="10"/>
        <v>0</v>
      </c>
      <c r="I19" s="10" t="str">
        <f>IF(ISNA(VLOOKUP(B19,[3]!DSKH,1,0)),"","x")</f>
        <v/>
      </c>
    </row>
    <row r="20" spans="1:9" s="10" customFormat="1" ht="16.5" customHeight="1">
      <c r="A20" s="6">
        <f t="shared" si="8"/>
        <v>15</v>
      </c>
      <c r="B20" s="7" t="s">
        <v>1040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50">
        <f t="shared" si="9"/>
        <v>0</v>
      </c>
      <c r="H20" s="750">
        <f t="shared" si="10"/>
        <v>0</v>
      </c>
      <c r="I20" s="10" t="str">
        <f>IF(ISNA(VLOOKUP(B20,[3]!DSKH,1,0)),"","x")</f>
        <v/>
      </c>
    </row>
    <row r="21" spans="1:9" s="10" customFormat="1" ht="16.5" customHeight="1">
      <c r="A21" s="6">
        <f t="shared" si="8"/>
        <v>16</v>
      </c>
      <c r="B21" s="7" t="s">
        <v>1116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50">
        <f t="shared" si="9"/>
        <v>0</v>
      </c>
      <c r="H21" s="750">
        <f t="shared" si="10"/>
        <v>0</v>
      </c>
      <c r="I21" s="10" t="str">
        <f>IF(ISNA(VLOOKUP(B21,[3]!DSKH,1,0)),"","x")</f>
        <v/>
      </c>
    </row>
    <row r="22" spans="1:9" s="10" customFormat="1" ht="16.5" customHeight="1">
      <c r="A22" s="6">
        <f t="shared" si="8"/>
        <v>17</v>
      </c>
      <c r="B22" s="7" t="s">
        <v>1051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50">
        <f t="shared" si="9"/>
        <v>0</v>
      </c>
      <c r="H22" s="750">
        <f t="shared" si="10"/>
        <v>0</v>
      </c>
      <c r="I22" s="10" t="str">
        <f>IF(ISNA(VLOOKUP(B22,[3]!DSKH,1,0)),"","x")</f>
        <v/>
      </c>
    </row>
    <row r="23" spans="1:9" s="10" customFormat="1" ht="16.5" customHeight="1">
      <c r="A23" s="6">
        <f t="shared" si="8"/>
        <v>18</v>
      </c>
      <c r="B23" s="7" t="s">
        <v>1129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50">
        <f t="shared" si="9"/>
        <v>0</v>
      </c>
      <c r="H23" s="750">
        <f t="shared" si="10"/>
        <v>0</v>
      </c>
      <c r="I23" s="10" t="str">
        <f>IF(ISNA(VLOOKUP(B23,[3]!DSKH,1,0)),"","x")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1038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50">
        <f t="shared" ref="G24" si="12">ROUND(MAX(C24+E24-D24-F24,0),2)</f>
        <v>0</v>
      </c>
      <c r="H24" s="750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7"/>
      <c r="F25" s="457"/>
      <c r="G25" s="458"/>
      <c r="H25" s="458"/>
      <c r="I25" s="10" t="str">
        <f>IF(ISNA(VLOOKUP(B25,[3]!DSKH,1,0)),"","x")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3">
        <f>D26-CDPS!D30</f>
        <v>0</v>
      </c>
      <c r="E27" s="183">
        <f>E26-CDPS!E30</f>
        <v>0</v>
      </c>
      <c r="F27" s="183">
        <f>F26-CDPS!F30</f>
        <v>0</v>
      </c>
      <c r="H27" s="183">
        <f>H26-G26-CDPS!H30</f>
        <v>0</v>
      </c>
    </row>
    <row r="28" spans="1:9">
      <c r="E28" s="15"/>
      <c r="F28" s="1025" t="s">
        <v>414</v>
      </c>
      <c r="G28" s="1025"/>
      <c r="H28" s="1025"/>
    </row>
    <row r="29" spans="1:9">
      <c r="F29" s="1025" t="s">
        <v>109</v>
      </c>
      <c r="G29" s="1025"/>
      <c r="H29" s="1025"/>
    </row>
    <row r="30" spans="1:9">
      <c r="E30" s="183"/>
      <c r="F30" s="1025" t="s">
        <v>136</v>
      </c>
      <c r="G30" s="1025"/>
      <c r="H30" s="102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9" t="str">
        <f>TH!A1</f>
        <v>Đơn vị: CÔNG TY TNHH SX TM KIM DUNG PHÁT</v>
      </c>
      <c r="B1" s="16"/>
      <c r="C1" s="16"/>
      <c r="G1" s="2"/>
      <c r="H1" s="1035" t="s">
        <v>46</v>
      </c>
      <c r="I1" s="1035"/>
      <c r="J1" s="1035"/>
    </row>
    <row r="2" spans="1:10" s="3" customFormat="1" ht="14.25" customHeight="1">
      <c r="A2" s="578" t="str">
        <f>TH!A2</f>
        <v>Địa chỉ: 1A227/1 Ấp 1, Phạm Văn Hai, Bình Chánh, TPHCM</v>
      </c>
      <c r="B2" s="16"/>
      <c r="C2" s="16"/>
      <c r="G2" s="17"/>
      <c r="H2" s="103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</row>
    <row r="3" spans="1:10" s="3" customFormat="1" ht="14.25" customHeight="1">
      <c r="A3" s="4"/>
      <c r="B3" s="16"/>
      <c r="C3" s="16"/>
      <c r="G3" s="17"/>
      <c r="H3" s="1036"/>
      <c r="I3" s="1036"/>
      <c r="J3" s="1036"/>
    </row>
    <row r="4" spans="1:10" s="5" customFormat="1" ht="28.5" customHeight="1">
      <c r="A4" s="1037" t="s">
        <v>26</v>
      </c>
      <c r="B4" s="1037"/>
      <c r="C4" s="1037"/>
      <c r="D4" s="1037"/>
      <c r="E4" s="1037"/>
      <c r="F4" s="1037"/>
      <c r="G4" s="1037"/>
      <c r="H4" s="1037"/>
      <c r="I4" s="1037"/>
      <c r="J4" s="103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8" t="s">
        <v>1010</v>
      </c>
      <c r="F7" s="1038"/>
      <c r="G7" s="1038"/>
      <c r="H7" s="103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9"/>
      <c r="D9" s="1039"/>
      <c r="E9" s="1039"/>
      <c r="F9" s="1039"/>
      <c r="G9" s="1039"/>
      <c r="H9" s="1039"/>
      <c r="I9" s="1039"/>
      <c r="J9" s="1039"/>
    </row>
    <row r="10" spans="1:10" s="18" customFormat="1" ht="14.25" customHeight="1">
      <c r="A10" s="1003" t="s">
        <v>20</v>
      </c>
      <c r="B10" s="1040" t="s">
        <v>1</v>
      </c>
      <c r="C10" s="1040"/>
      <c r="D10" s="1003" t="s">
        <v>0</v>
      </c>
      <c r="E10" s="1003" t="s">
        <v>14</v>
      </c>
      <c r="F10" s="1003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1003"/>
      <c r="B11" s="30" t="s">
        <v>15</v>
      </c>
      <c r="C11" s="30" t="s">
        <v>32</v>
      </c>
      <c r="D11" s="1003"/>
      <c r="E11" s="1003"/>
      <c r="F11" s="100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41871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41871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40000000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41898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41898</v>
      </c>
      <c r="D15" s="221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39985000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79985000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41933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41933</v>
      </c>
      <c r="D16" s="221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99985000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41965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41965</v>
      </c>
      <c r="D17" s="221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30000000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129985000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41832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41832</v>
      </c>
      <c r="D18" s="221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16792650</v>
      </c>
      <c r="I18" s="25">
        <f t="shared" ca="1" si="0"/>
        <v>113192350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41832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41832</v>
      </c>
      <c r="D19" s="221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1679265</v>
      </c>
      <c r="I19" s="25">
        <f t="shared" ca="1" si="0"/>
        <v>111513085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41832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41832</v>
      </c>
      <c r="D20" s="221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18471915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129985000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41834</v>
      </c>
      <c r="B21" s="9" t="str">
        <f ca="1">IF(ROWS($1:8)&gt;COUNT(Dong),"",OFFSET(TH!D$1,SMALL(Dong,ROWS($1:8)),))</f>
        <v>NL/N07</v>
      </c>
      <c r="C21" s="9">
        <f ca="1">IF(ROWS($1:8)&gt;COUNT(Dong),"",OFFSET(TH!E$1,SMALL(Dong,ROWS($1:8)),))</f>
        <v>41834</v>
      </c>
      <c r="D21" s="221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46838400</v>
      </c>
      <c r="I21" s="25">
        <f t="shared" ref="I21" ca="1" si="2">IF(D21&lt;&gt;"",MAX(I20+G21-H21-J20,0),0)</f>
        <v>83146600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41834</v>
      </c>
      <c r="B22" s="9" t="str">
        <f ca="1">IF(ROWS($1:9)&gt;COUNT(Dong),"",OFFSET(TH!D$1,SMALL(Dong,ROWS($1:9)),))</f>
        <v>NL/N07</v>
      </c>
      <c r="C22" s="9">
        <f ca="1">IF(ROWS($1:9)&gt;COUNT(Dong),"",OFFSET(TH!E$1,SMALL(Dong,ROWS($1:9)),))</f>
        <v>41834</v>
      </c>
      <c r="D22" s="221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4683840</v>
      </c>
      <c r="I22" s="25">
        <f t="shared" ref="I22:I36" ca="1" si="4">IF(D22&lt;&gt;"",MAX(I21+G22-H22-J21,0),0)</f>
        <v>78462760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41836</v>
      </c>
      <c r="B23" s="9" t="str">
        <f ca="1">IF(ROWS($1:10)&gt;COUNT(Dong),"",OFFSET(TH!D$1,SMALL(Dong,ROWS($1:10)),))</f>
        <v>NL/N09</v>
      </c>
      <c r="C23" s="9">
        <f ca="1">IF(ROWS($1:10)&gt;COUNT(Dong),"",OFFSET(TH!E$1,SMALL(Dong,ROWS($1:10)),))</f>
        <v>41836</v>
      </c>
      <c r="D23" s="221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52876800</v>
      </c>
      <c r="I23" s="25">
        <f t="shared" ca="1" si="4"/>
        <v>25585960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41836</v>
      </c>
      <c r="B24" s="9" t="str">
        <f ca="1">IF(ROWS($1:11)&gt;COUNT(Dong),"",OFFSET(TH!D$1,SMALL(Dong,ROWS($1:11)),))</f>
        <v>NL/N09</v>
      </c>
      <c r="C24" s="9">
        <f ca="1">IF(ROWS($1:11)&gt;COUNT(Dong),"",OFFSET(TH!E$1,SMALL(Dong,ROWS($1:11)),))</f>
        <v>41836</v>
      </c>
      <c r="D24" s="221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5287680</v>
      </c>
      <c r="I24" s="25">
        <f t="shared" ca="1" si="4"/>
        <v>20298280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41837</v>
      </c>
      <c r="B25" s="9" t="str">
        <f ca="1">IF(ROWS($1:12)&gt;COUNT(Dong),"",OFFSET(TH!D$1,SMALL(Dong,ROWS($1:12)),))</f>
        <v>NL/N10</v>
      </c>
      <c r="C25" s="9">
        <f ca="1">IF(ROWS($1:12)&gt;COUNT(Dong),"",OFFSET(TH!E$1,SMALL(Dong,ROWS($1:12)),))</f>
        <v>41837</v>
      </c>
      <c r="D25" s="221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49872000</v>
      </c>
      <c r="I25" s="25">
        <f t="shared" ca="1" si="4"/>
        <v>0</v>
      </c>
      <c r="J25" s="25">
        <f t="shared" ca="1" si="5"/>
        <v>29573720</v>
      </c>
    </row>
    <row r="26" spans="1:10" s="18" customFormat="1" ht="18" customHeight="1">
      <c r="A26" s="9">
        <f ca="1">IF(ROWS($1:13)&gt;COUNT(Dong),"",OFFSET(TH!C$1,SMALL(Dong,ROWS($1:13)),))</f>
        <v>41837</v>
      </c>
      <c r="B26" s="9" t="str">
        <f ca="1">IF(ROWS($1:13)&gt;COUNT(Dong),"",OFFSET(TH!D$1,SMALL(Dong,ROWS($1:13)),))</f>
        <v>NL/N10</v>
      </c>
      <c r="C26" s="9">
        <f ca="1">IF(ROWS($1:13)&gt;COUNT(Dong),"",OFFSET(TH!E$1,SMALL(Dong,ROWS($1:13)),))</f>
        <v>41837</v>
      </c>
      <c r="D26" s="221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4987200</v>
      </c>
      <c r="I26" s="25">
        <f t="shared" ca="1" si="4"/>
        <v>0</v>
      </c>
      <c r="J26" s="25">
        <f t="shared" ca="1" si="5"/>
        <v>34560920</v>
      </c>
    </row>
    <row r="27" spans="1:10" s="18" customFormat="1" ht="18" customHeight="1">
      <c r="A27" s="9">
        <f ca="1">IF(ROWS($1:14)&gt;COUNT(Dong),"",OFFSET(TH!C$1,SMALL(Dong,ROWS($1:14)),))</f>
        <v>41841</v>
      </c>
      <c r="B27" s="9" t="str">
        <f ca="1">IF(ROWS($1:14)&gt;COUNT(Dong),"",OFFSET(TH!D$1,SMALL(Dong,ROWS($1:14)),))</f>
        <v>NL/N11</v>
      </c>
      <c r="C27" s="9">
        <f ca="1">IF(ROWS($1:14)&gt;COUNT(Dong),"",OFFSET(TH!E$1,SMALL(Dong,ROWS($1:14)),))</f>
        <v>41841</v>
      </c>
      <c r="D27" s="221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59923200</v>
      </c>
      <c r="I27" s="25">
        <f t="shared" ca="1" si="4"/>
        <v>0</v>
      </c>
      <c r="J27" s="25">
        <f t="shared" ca="1" si="5"/>
        <v>94484120</v>
      </c>
    </row>
    <row r="28" spans="1:10" s="18" customFormat="1" ht="18" customHeight="1">
      <c r="A28" s="9">
        <f ca="1">IF(ROWS($1:15)&gt;COUNT(Dong),"",OFFSET(TH!C$1,SMALL(Dong,ROWS($1:15)),))</f>
        <v>41841</v>
      </c>
      <c r="B28" s="9" t="str">
        <f ca="1">IF(ROWS($1:15)&gt;COUNT(Dong),"",OFFSET(TH!D$1,SMALL(Dong,ROWS($1:15)),))</f>
        <v>NL/N11</v>
      </c>
      <c r="C28" s="9">
        <f ca="1">IF(ROWS($1:15)&gt;COUNT(Dong),"",OFFSET(TH!E$1,SMALL(Dong,ROWS($1:15)),))</f>
        <v>41841</v>
      </c>
      <c r="D28" s="221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5992320</v>
      </c>
      <c r="I28" s="25">
        <f t="shared" ca="1" si="4"/>
        <v>0</v>
      </c>
      <c r="J28" s="25">
        <f t="shared" ca="1" si="5"/>
        <v>100476440</v>
      </c>
    </row>
    <row r="29" spans="1:10" s="18" customFormat="1" ht="18" customHeight="1">
      <c r="A29" s="9">
        <f ca="1">IF(ROWS($1:16)&gt;COUNT(Dong),"",OFFSET(TH!C$1,SMALL(Dong,ROWS($1:16)),))</f>
        <v>41841</v>
      </c>
      <c r="B29" s="9" t="str">
        <f ca="1">IF(ROWS($1:16)&gt;COUNT(Dong),"",OFFSET(TH!D$1,SMALL(Dong,ROWS($1:16)),))</f>
        <v>NL/N12</v>
      </c>
      <c r="C29" s="9">
        <f ca="1">IF(ROWS($1:16)&gt;COUNT(Dong),"",OFFSET(TH!E$1,SMALL(Dong,ROWS($1:16)),))</f>
        <v>41841</v>
      </c>
      <c r="D29" s="221" t="str">
        <f ca="1">IF(ROWS($1:16)&gt;COUNT(Dong),"",OFFSET(TH!F$1,SMALL(Dong,ROWS($1:16)),))</f>
        <v>Giấy 2 da KT1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33849600</v>
      </c>
      <c r="I29" s="25">
        <f t="shared" ca="1" si="4"/>
        <v>0</v>
      </c>
      <c r="J29" s="25">
        <f t="shared" ca="1" si="5"/>
        <v>134326040</v>
      </c>
    </row>
    <row r="30" spans="1:10" s="18" customFormat="1" ht="18" customHeight="1">
      <c r="A30" s="9">
        <f ca="1">IF(ROWS($1:17)&gt;COUNT(Dong),"",OFFSET(TH!C$1,SMALL(Dong,ROWS($1:17)),))</f>
        <v>41841</v>
      </c>
      <c r="B30" s="9" t="str">
        <f ca="1">IF(ROWS($1:17)&gt;COUNT(Dong),"",OFFSET(TH!D$1,SMALL(Dong,ROWS($1:17)),))</f>
        <v>NL/N12</v>
      </c>
      <c r="C30" s="9">
        <f ca="1">IF(ROWS($1:17)&gt;COUNT(Dong),"",OFFSET(TH!E$1,SMALL(Dong,ROWS($1:17)),))</f>
        <v>41841</v>
      </c>
      <c r="D30" s="221" t="str">
        <f ca="1">IF(ROWS($1:17)&gt;COUNT(Dong),"",OFFSET(TH!F$1,SMALL(Dong,ROWS($1:17)),))</f>
        <v>VAT Giấy 2 da KT1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3384960</v>
      </c>
      <c r="I30" s="25">
        <f t="shared" ca="1" si="4"/>
        <v>0</v>
      </c>
      <c r="J30" s="25">
        <f t="shared" ca="1" si="5"/>
        <v>137711000</v>
      </c>
    </row>
    <row r="31" spans="1:10" s="18" customFormat="1" ht="18" customHeight="1">
      <c r="A31" s="9">
        <f ca="1">IF(ROWS($1:18)&gt;COUNT(Dong),"",OFFSET(TH!C$1,SMALL(Dong,ROWS($1:18)),))</f>
        <v>41849</v>
      </c>
      <c r="B31" s="9" t="str">
        <f ca="1">IF(ROWS($1:18)&gt;COUNT(Dong),"",OFFSET(TH!D$1,SMALL(Dong,ROWS($1:18)),))</f>
        <v>NL/N15</v>
      </c>
      <c r="C31" s="9">
        <f ca="1">IF(ROWS($1:18)&gt;COUNT(Dong),"",OFFSET(TH!E$1,SMALL(Dong,ROWS($1:18)),))</f>
        <v>41849</v>
      </c>
      <c r="D31" s="221" t="str">
        <f ca="1">IF(ROWS($1:18)&gt;COUNT(Dong),"",OFFSET(TH!F$1,SMALL(Dong,ROWS($1:18)),))</f>
        <v>Giấy 2 da KT1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17779200</v>
      </c>
      <c r="I31" s="25">
        <f t="shared" ca="1" si="4"/>
        <v>0</v>
      </c>
      <c r="J31" s="25">
        <f t="shared" ca="1" si="5"/>
        <v>155490200</v>
      </c>
    </row>
    <row r="32" spans="1:10" s="18" customFormat="1" ht="18" customHeight="1">
      <c r="A32" s="9">
        <f ca="1">IF(ROWS($1:19)&gt;COUNT(Dong),"",OFFSET(TH!C$1,SMALL(Dong,ROWS($1:19)),))</f>
        <v>41849</v>
      </c>
      <c r="B32" s="9" t="str">
        <f ca="1">IF(ROWS($1:19)&gt;COUNT(Dong),"",OFFSET(TH!D$1,SMALL(Dong,ROWS($1:19)),))</f>
        <v>NL/N15</v>
      </c>
      <c r="C32" s="9">
        <f ca="1">IF(ROWS($1:19)&gt;COUNT(Dong),"",OFFSET(TH!E$1,SMALL(Dong,ROWS($1:19)),))</f>
        <v>41849</v>
      </c>
      <c r="D32" s="221" t="str">
        <f ca="1">IF(ROWS($1:19)&gt;COUNT(Dong),"",OFFSET(TH!F$1,SMALL(Dong,ROWS($1:19)),))</f>
        <v>VAT Giấy 2 da KT1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1777920</v>
      </c>
      <c r="I32" s="25">
        <f t="shared" ca="1" si="4"/>
        <v>0</v>
      </c>
      <c r="J32" s="25">
        <f t="shared" ca="1" si="5"/>
        <v>157268120</v>
      </c>
    </row>
    <row r="33" spans="1:10" s="18" customFormat="1" ht="18" customHeight="1">
      <c r="A33" s="9">
        <f ca="1">IF(ROWS($1:20)&gt;COUNT(Dong),"",OFFSET(TH!C$1,SMALL(Dong,ROWS($1:20)),))</f>
        <v>41849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41849</v>
      </c>
      <c r="D33" s="221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1111</v>
      </c>
      <c r="F33" s="46"/>
      <c r="G33" s="58">
        <f ca="1">IF(ROWS($1:20)&gt;COUNT(Dong),"",IF(OFFSET(TH!L$1,SMALL(Dong,ROWS($1:20)),)="331",OFFSET(TH!K$1,SMALL(Dong,ROWS($1:20)),),0))</f>
        <v>19557120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137711000</v>
      </c>
    </row>
    <row r="34" spans="1:10" s="18" customFormat="1" ht="18" customHeight="1">
      <c r="A34" s="9">
        <f ca="1">IF(ROWS($1:21)&gt;COUNT(Dong),"",OFFSET(TH!C$1,SMALL(Dong,ROWS($1:21)),))</f>
        <v>41850</v>
      </c>
      <c r="B34" s="9" t="str">
        <f ca="1">IF(ROWS($1:21)&gt;COUNT(Dong),"",OFFSET(TH!D$1,SMALL(Dong,ROWS($1:21)),))</f>
        <v>NL/N16</v>
      </c>
      <c r="C34" s="9">
        <f ca="1">IF(ROWS($1:21)&gt;COUNT(Dong),"",OFFSET(TH!E$1,SMALL(Dong,ROWS($1:21)),))</f>
        <v>41850</v>
      </c>
      <c r="D34" s="221" t="str">
        <f ca="1">IF(ROWS($1:21)&gt;COUNT(Dong),"",OFFSET(TH!F$1,SMALL(Dong,ROWS($1:21)),))</f>
        <v>Giấy 2 da KT1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45657600</v>
      </c>
      <c r="I34" s="25">
        <f t="shared" ca="1" si="4"/>
        <v>0</v>
      </c>
      <c r="J34" s="25">
        <f t="shared" ca="1" si="5"/>
        <v>183368600</v>
      </c>
    </row>
    <row r="35" spans="1:10" s="18" customFormat="1" ht="18" customHeight="1">
      <c r="A35" s="9">
        <f ca="1">IF(ROWS($1:22)&gt;COUNT(Dong),"",OFFSET(TH!C$1,SMALL(Dong,ROWS($1:22)),))</f>
        <v>41850</v>
      </c>
      <c r="B35" s="9" t="str">
        <f ca="1">IF(ROWS($1:22)&gt;COUNT(Dong),"",OFFSET(TH!D$1,SMALL(Dong,ROWS($1:22)),))</f>
        <v>NL/N16</v>
      </c>
      <c r="C35" s="9">
        <f ca="1">IF(ROWS($1:22)&gt;COUNT(Dong),"",OFFSET(TH!E$1,SMALL(Dong,ROWS($1:22)),))</f>
        <v>41850</v>
      </c>
      <c r="D35" s="221" t="str">
        <f ca="1">IF(ROWS($1:22)&gt;COUNT(Dong),"",OFFSET(TH!F$1,SMALL(Dong,ROWS($1:22)),))</f>
        <v>Giấy 2 da K1Y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12528000</v>
      </c>
      <c r="I35" s="25">
        <f t="shared" ca="1" si="4"/>
        <v>0</v>
      </c>
      <c r="J35" s="25">
        <f t="shared" ca="1" si="5"/>
        <v>195896600</v>
      </c>
    </row>
    <row r="36" spans="1:10" s="18" customFormat="1" ht="18" customHeight="1">
      <c r="A36" s="9">
        <f ca="1">IF(ROWS($1:23)&gt;COUNT(Dong),"",OFFSET(TH!C$1,SMALL(Dong,ROWS($1:23)),))</f>
        <v>41850</v>
      </c>
      <c r="B36" s="9" t="str">
        <f ca="1">IF(ROWS($1:23)&gt;COUNT(Dong),"",OFFSET(TH!D$1,SMALL(Dong,ROWS($1:23)),))</f>
        <v>NL/N16</v>
      </c>
      <c r="C36" s="9">
        <f ca="1">IF(ROWS($1:23)&gt;COUNT(Dong),"",OFFSET(TH!E$1,SMALL(Dong,ROWS($1:23)),))</f>
        <v>41850</v>
      </c>
      <c r="D36" s="221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5818560</v>
      </c>
      <c r="I36" s="25">
        <f t="shared" ca="1" si="4"/>
        <v>0</v>
      </c>
      <c r="J36" s="25">
        <f t="shared" ca="1" si="5"/>
        <v>201715160</v>
      </c>
    </row>
    <row r="37" spans="1:10" s="18" customFormat="1" ht="18" customHeight="1">
      <c r="A37" s="9">
        <f ca="1">IF(ROWS($1:24)&gt;COUNT(Dong),"",OFFSET(TH!C$1,SMALL(Dong,ROWS($1:24)),))</f>
        <v>41853</v>
      </c>
      <c r="B37" s="9" t="str">
        <f ca="1">IF(ROWS($1:24)&gt;COUNT(Dong),"",OFFSET(TH!D$1,SMALL(Dong,ROWS($1:24)),))</f>
        <v>NL/N19</v>
      </c>
      <c r="C37" s="9">
        <f ca="1">IF(ROWS($1:24)&gt;COUNT(Dong),"",OFFSET(TH!E$1,SMALL(Dong,ROWS($1:24)),))</f>
        <v>41853</v>
      </c>
      <c r="D37" s="221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11880000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213595160</v>
      </c>
    </row>
    <row r="38" spans="1:10" s="18" customFormat="1" ht="18" customHeight="1">
      <c r="A38" s="9">
        <f ca="1">IF(ROWS($1:25)&gt;COUNT(Dong),"",OFFSET(TH!C$1,SMALL(Dong,ROWS($1:25)),))</f>
        <v>41853</v>
      </c>
      <c r="B38" s="9" t="str">
        <f ca="1">IF(ROWS($1:25)&gt;COUNT(Dong),"",OFFSET(TH!D$1,SMALL(Dong,ROWS($1:25)),))</f>
        <v>NL/N19</v>
      </c>
      <c r="C38" s="9">
        <f ca="1">IF(ROWS($1:25)&gt;COUNT(Dong),"",OFFSET(TH!E$1,SMALL(Dong,ROWS($1:25)),))</f>
        <v>41853</v>
      </c>
      <c r="D38" s="221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47289600</v>
      </c>
      <c r="I38" s="25">
        <f t="shared" ca="1" si="6"/>
        <v>0</v>
      </c>
      <c r="J38" s="25">
        <f t="shared" ca="1" si="7"/>
        <v>260884760</v>
      </c>
    </row>
    <row r="39" spans="1:10" s="18" customFormat="1" ht="18" customHeight="1">
      <c r="A39" s="9">
        <f ca="1">IF(ROWS($1:26)&gt;COUNT(Dong),"",OFFSET(TH!C$1,SMALL(Dong,ROWS($1:26)),))</f>
        <v>41853</v>
      </c>
      <c r="B39" s="9" t="str">
        <f ca="1">IF(ROWS($1:26)&gt;COUNT(Dong),"",OFFSET(TH!D$1,SMALL(Dong,ROWS($1:26)),))</f>
        <v>NL/N19</v>
      </c>
      <c r="C39" s="9">
        <f ca="1">IF(ROWS($1:26)&gt;COUNT(Dong),"",OFFSET(TH!E$1,SMALL(Dong,ROWS($1:26)),))</f>
        <v>41853</v>
      </c>
      <c r="D39" s="221" t="str">
        <f ca="1">IF(ROWS($1:26)&gt;COUNT(Dong),"",OFFSET(TH!F$1,SMALL(Dong,ROWS($1:26)),))</f>
        <v xml:space="preserve">VAT Giấy 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5916960</v>
      </c>
      <c r="I39" s="25">
        <f t="shared" ca="1" si="6"/>
        <v>0</v>
      </c>
      <c r="J39" s="25">
        <f t="shared" ca="1" si="7"/>
        <v>266801720</v>
      </c>
    </row>
    <row r="40" spans="1:10" s="18" customFormat="1" ht="18" customHeight="1">
      <c r="A40" s="9">
        <f ca="1">IF(ROWS($1:27)&gt;COUNT(Dong),"",OFFSET(TH!C$1,SMALL(Dong,ROWS($1:27)),))</f>
        <v>41858</v>
      </c>
      <c r="B40" s="9" t="str">
        <f ca="1">IF(ROWS($1:27)&gt;COUNT(Dong),"",OFFSET(TH!D$1,SMALL(Dong,ROWS($1:27)),))</f>
        <v>NL/N20</v>
      </c>
      <c r="C40" s="9">
        <f ca="1">IF(ROWS($1:27)&gt;COUNT(Dong),"",OFFSET(TH!E$1,SMALL(Dong,ROWS($1:27)),))</f>
        <v>41858</v>
      </c>
      <c r="D40" s="221" t="str">
        <f ca="1">IF(ROWS($1:27)&gt;COUNT(Dong),"",OFFSET(TH!F$1,SMALL(Dong,ROWS($1:27)),))</f>
        <v>Giấy cuộn xeo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39127600</v>
      </c>
      <c r="I40" s="25">
        <f t="shared" ca="1" si="6"/>
        <v>0</v>
      </c>
      <c r="J40" s="25">
        <f t="shared" ca="1" si="7"/>
        <v>305929320</v>
      </c>
    </row>
    <row r="41" spans="1:10" s="18" customFormat="1" ht="18" customHeight="1">
      <c r="A41" s="9">
        <f ca="1">IF(ROWS($1:28)&gt;COUNT(Dong),"",OFFSET(TH!C$1,SMALL(Dong,ROWS($1:28)),))</f>
        <v>41858</v>
      </c>
      <c r="B41" s="9" t="str">
        <f ca="1">IF(ROWS($1:28)&gt;COUNT(Dong),"",OFFSET(TH!D$1,SMALL(Dong,ROWS($1:28)),))</f>
        <v>NL/N20</v>
      </c>
      <c r="C41" s="9">
        <f ca="1">IF(ROWS($1:28)&gt;COUNT(Dong),"",OFFSET(TH!E$1,SMALL(Dong,ROWS($1:28)),))</f>
        <v>41858</v>
      </c>
      <c r="D41" s="221" t="str">
        <f ca="1">IF(ROWS($1:28)&gt;COUNT(Dong),"",OFFSET(TH!F$1,SMALL(Dong,ROWS($1:28)),))</f>
        <v>VAT Giấy xeo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3912760</v>
      </c>
      <c r="I41" s="25">
        <f t="shared" ca="1" si="6"/>
        <v>0</v>
      </c>
      <c r="J41" s="25">
        <f t="shared" ca="1" si="7"/>
        <v>309842080</v>
      </c>
    </row>
    <row r="42" spans="1:10" s="18" customFormat="1" ht="18" customHeight="1">
      <c r="A42" s="9">
        <f ca="1">IF(ROWS($1:29)&gt;COUNT(Dong),"",OFFSET(TH!C$1,SMALL(Dong,ROWS($1:29)),))</f>
        <v>41859</v>
      </c>
      <c r="B42" s="9" t="str">
        <f ca="1">IF(ROWS($1:29)&gt;COUNT(Dong),"",OFFSET(TH!D$1,SMALL(Dong,ROWS($1:29)),))</f>
        <v>NL/N21</v>
      </c>
      <c r="C42" s="9">
        <f ca="1">IF(ROWS($1:29)&gt;COUNT(Dong),"",OFFSET(TH!E$1,SMALL(Dong,ROWS($1:29)),))</f>
        <v>41859</v>
      </c>
      <c r="D42" s="221" t="str">
        <f ca="1">IF(ROWS($1:29)&gt;COUNT(Dong),"",OFFSET(TH!F$1,SMALL(Dong,ROWS($1:29)),))</f>
        <v>Giấy 2 da KT1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50630400</v>
      </c>
      <c r="I42" s="25">
        <f t="shared" ca="1" si="6"/>
        <v>0</v>
      </c>
      <c r="J42" s="25">
        <f t="shared" ca="1" si="7"/>
        <v>360472480</v>
      </c>
    </row>
    <row r="43" spans="1:10" s="18" customFormat="1" ht="18" customHeight="1">
      <c r="A43" s="9">
        <f ca="1">IF(ROWS($1:30)&gt;COUNT(Dong),"",OFFSET(TH!C$1,SMALL(Dong,ROWS($1:30)),))</f>
        <v>41859</v>
      </c>
      <c r="B43" s="9" t="str">
        <f ca="1">IF(ROWS($1:30)&gt;COUNT(Dong),"",OFFSET(TH!D$1,SMALL(Dong,ROWS($1:30)),))</f>
        <v>NL/N21</v>
      </c>
      <c r="C43" s="9">
        <f ca="1">IF(ROWS($1:30)&gt;COUNT(Dong),"",OFFSET(TH!E$1,SMALL(Dong,ROWS($1:30)),))</f>
        <v>41859</v>
      </c>
      <c r="D43" s="221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5063040</v>
      </c>
      <c r="I43" s="25">
        <f t="shared" ca="1" si="6"/>
        <v>0</v>
      </c>
      <c r="J43" s="25">
        <f t="shared" ca="1" si="7"/>
        <v>365535520</v>
      </c>
    </row>
    <row r="44" spans="1:10" s="18" customFormat="1" ht="18" customHeight="1">
      <c r="A44" s="9">
        <f ca="1">IF(ROWS($1:31)&gt;COUNT(Dong),"",OFFSET(TH!C$1,SMALL(Dong,ROWS($1:31)),))</f>
        <v>41864</v>
      </c>
      <c r="B44" s="9" t="str">
        <f ca="1">IF(ROWS($1:31)&gt;COUNT(Dong),"",OFFSET(TH!D$1,SMALL(Dong,ROWS($1:31)),))</f>
        <v>NL/N22</v>
      </c>
      <c r="C44" s="9">
        <f ca="1">IF(ROWS($1:31)&gt;COUNT(Dong),"",OFFSET(TH!E$1,SMALL(Dong,ROWS($1:31)),))</f>
        <v>41864</v>
      </c>
      <c r="D44" s="221" t="str">
        <f ca="1">IF(ROWS($1:31)&gt;COUNT(Dong),"",OFFSET(TH!F$1,SMALL(Dong,ROWS($1:31)),))</f>
        <v>Giấy 2 da KT1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16262400</v>
      </c>
      <c r="I44" s="25">
        <f t="shared" ca="1" si="6"/>
        <v>0</v>
      </c>
      <c r="J44" s="25">
        <f t="shared" ca="1" si="7"/>
        <v>381797920</v>
      </c>
    </row>
    <row r="45" spans="1:10" s="18" customFormat="1" ht="18" customHeight="1">
      <c r="A45" s="9">
        <f ca="1">IF(ROWS($1:32)&gt;COUNT(Dong),"",OFFSET(TH!C$1,SMALL(Dong,ROWS($1:32)),))</f>
        <v>41864</v>
      </c>
      <c r="B45" s="9" t="str">
        <f ca="1">IF(ROWS($1:32)&gt;COUNT(Dong),"",OFFSET(TH!D$1,SMALL(Dong,ROWS($1:32)),))</f>
        <v>NL/N22</v>
      </c>
      <c r="C45" s="9">
        <f ca="1">IF(ROWS($1:32)&gt;COUNT(Dong),"",OFFSET(TH!E$1,SMALL(Dong,ROWS($1:32)),))</f>
        <v>41864</v>
      </c>
      <c r="D45" s="221" t="str">
        <f ca="1">IF(ROWS($1:32)&gt;COUNT(Dong),"",OFFSET(TH!F$1,SMALL(Dong,ROWS($1:32)),))</f>
        <v>Giấy cuộn xeo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31556000</v>
      </c>
      <c r="I45" s="25">
        <f t="shared" ca="1" si="6"/>
        <v>0</v>
      </c>
      <c r="J45" s="25">
        <f t="shared" ca="1" si="7"/>
        <v>413353920</v>
      </c>
    </row>
    <row r="46" spans="1:10" s="18" customFormat="1" ht="18" customHeight="1">
      <c r="A46" s="9">
        <f ca="1">IF(ROWS($1:33)&gt;COUNT(Dong),"",OFFSET(TH!C$1,SMALL(Dong,ROWS($1:33)),))</f>
        <v>41864</v>
      </c>
      <c r="B46" s="9" t="str">
        <f ca="1">IF(ROWS($1:33)&gt;COUNT(Dong),"",OFFSET(TH!D$1,SMALL(Dong,ROWS($1:33)),))</f>
        <v>NL/N22</v>
      </c>
      <c r="C46" s="9">
        <f ca="1">IF(ROWS($1:33)&gt;COUNT(Dong),"",OFFSET(TH!E$1,SMALL(Dong,ROWS($1:33)),))</f>
        <v>41864</v>
      </c>
      <c r="D46" s="221" t="str">
        <f ca="1">IF(ROWS($1:33)&gt;COUNT(Dong),"",OFFSET(TH!F$1,SMALL(Dong,ROWS($1:33)),))</f>
        <v xml:space="preserve">VAT Giấy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4781840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41851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41851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1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1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1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20/8/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1" t="str">
        <f ca="1">"Ngày 31 tháng  12  năm  "&amp;YEAR($A$14)</f>
        <v>Ngày 31 tháng  12  năm  2014</v>
      </c>
      <c r="F56" s="991"/>
      <c r="G56" s="991"/>
      <c r="H56" s="991"/>
      <c r="I56" s="991"/>
      <c r="J56" s="991"/>
    </row>
    <row r="57" spans="1:11" s="18" customFormat="1" ht="14.25" customHeight="1">
      <c r="C57" s="214" t="s">
        <v>11</v>
      </c>
      <c r="E57" s="991" t="s">
        <v>12</v>
      </c>
      <c r="F57" s="991"/>
      <c r="G57" s="991"/>
      <c r="H57" s="991"/>
      <c r="I57" s="991"/>
      <c r="J57" s="991"/>
    </row>
    <row r="58" spans="1:11" s="18" customFormat="1" ht="14.25" customHeight="1">
      <c r="C58" s="214" t="s">
        <v>13</v>
      </c>
      <c r="E58" s="991" t="s">
        <v>13</v>
      </c>
      <c r="F58" s="991"/>
      <c r="G58" s="991"/>
      <c r="H58" s="991"/>
      <c r="I58" s="991"/>
      <c r="J58" s="991"/>
    </row>
    <row r="59" spans="1:11" s="29" customFormat="1"/>
    <row r="65" spans="3:3" ht="15">
      <c r="C65" s="22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26" t="s">
        <v>1276</v>
      </c>
      <c r="B1" s="1026"/>
      <c r="C1" s="1026"/>
      <c r="D1" s="1026"/>
      <c r="E1" s="1026"/>
      <c r="F1" s="1026"/>
      <c r="G1" s="1026"/>
      <c r="H1" s="1026"/>
      <c r="I1" s="1026"/>
    </row>
    <row r="2" spans="1:9" s="10" customFormat="1" ht="15.75" customHeight="1">
      <c r="A2" s="1041" t="s">
        <v>35</v>
      </c>
      <c r="B2" s="1042" t="s">
        <v>1277</v>
      </c>
      <c r="C2" s="1042" t="s">
        <v>1278</v>
      </c>
      <c r="D2" s="1042" t="s">
        <v>37</v>
      </c>
      <c r="E2" s="1042"/>
      <c r="F2" s="1042" t="s">
        <v>38</v>
      </c>
      <c r="G2" s="1042"/>
      <c r="H2" s="1043" t="s">
        <v>346</v>
      </c>
      <c r="I2" s="1032"/>
    </row>
    <row r="3" spans="1:9" s="10" customFormat="1" ht="15.75" customHeight="1">
      <c r="A3" s="1041"/>
      <c r="B3" s="1042"/>
      <c r="C3" s="1042"/>
      <c r="D3" s="863" t="s">
        <v>42</v>
      </c>
      <c r="E3" s="863" t="s">
        <v>43</v>
      </c>
      <c r="F3" s="863" t="s">
        <v>42</v>
      </c>
      <c r="G3" s="863" t="s">
        <v>43</v>
      </c>
      <c r="H3" s="863" t="s">
        <v>42</v>
      </c>
      <c r="I3" s="863" t="s">
        <v>43</v>
      </c>
    </row>
    <row r="4" spans="1:9" s="10" customFormat="1" ht="18" customHeight="1">
      <c r="A4" s="442">
        <f t="shared" ref="A4:A10" si="0">IF(B4&lt;&gt;"",ROW()-3,"")</f>
        <v>1</v>
      </c>
      <c r="B4" s="891" t="s">
        <v>1300</v>
      </c>
      <c r="C4" s="867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65">
        <f t="shared" ref="H4:H10" si="1">ROUND(MAX(D4+F4-E4-G4,0),2)</f>
        <v>0</v>
      </c>
      <c r="I4" s="865">
        <f t="shared" ref="I4:I10" si="2">ROUND(MAX(E4+G4-D4-F4,0),2)</f>
        <v>1000000000</v>
      </c>
    </row>
    <row r="5" spans="1:9" s="10" customFormat="1" ht="18" customHeight="1">
      <c r="A5" s="442">
        <f t="shared" si="0"/>
        <v>2</v>
      </c>
      <c r="B5" s="7" t="s">
        <v>1287</v>
      </c>
      <c r="C5" s="864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65">
        <f t="shared" si="1"/>
        <v>0</v>
      </c>
      <c r="I5" s="865">
        <f t="shared" si="2"/>
        <v>0</v>
      </c>
    </row>
    <row r="6" spans="1:9" s="10" customFormat="1" ht="18" customHeight="1">
      <c r="A6" s="442">
        <f t="shared" si="0"/>
        <v>3</v>
      </c>
      <c r="B6" s="7" t="s">
        <v>1297</v>
      </c>
      <c r="C6" s="864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65">
        <f t="shared" si="1"/>
        <v>0</v>
      </c>
      <c r="I6" s="865">
        <f t="shared" si="2"/>
        <v>0</v>
      </c>
    </row>
    <row r="7" spans="1:9" s="10" customFormat="1" ht="18" customHeight="1">
      <c r="A7" s="442">
        <f t="shared" si="0"/>
        <v>4</v>
      </c>
      <c r="B7" s="7" t="s">
        <v>1304</v>
      </c>
      <c r="C7" s="864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65">
        <f t="shared" si="1"/>
        <v>0</v>
      </c>
      <c r="I7" s="865">
        <f t="shared" si="2"/>
        <v>99560000</v>
      </c>
    </row>
    <row r="8" spans="1:9" s="10" customFormat="1" ht="18" customHeight="1">
      <c r="A8" s="442">
        <f t="shared" si="0"/>
        <v>5</v>
      </c>
      <c r="B8" s="7" t="s">
        <v>1306</v>
      </c>
      <c r="C8" s="864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65">
        <f t="shared" si="1"/>
        <v>0</v>
      </c>
      <c r="I8" s="865">
        <f t="shared" si="2"/>
        <v>99560000</v>
      </c>
    </row>
    <row r="9" spans="1:9" s="10" customFormat="1" ht="18" customHeight="1">
      <c r="A9" s="442">
        <f t="shared" si="0"/>
        <v>6</v>
      </c>
      <c r="B9" s="7" t="s">
        <v>1312</v>
      </c>
      <c r="C9" s="864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65">
        <f t="shared" si="1"/>
        <v>0</v>
      </c>
      <c r="I9" s="865">
        <f t="shared" si="2"/>
        <v>99560000</v>
      </c>
    </row>
    <row r="10" spans="1:9" s="10" customFormat="1" ht="18" customHeight="1">
      <c r="A10" s="442">
        <f t="shared" si="0"/>
        <v>7</v>
      </c>
      <c r="B10" s="7" t="s">
        <v>1314</v>
      </c>
      <c r="C10" s="864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65">
        <f t="shared" si="1"/>
        <v>0</v>
      </c>
      <c r="I10" s="865">
        <f t="shared" si="2"/>
        <v>97900000</v>
      </c>
    </row>
    <row r="11" spans="1:9" s="10" customFormat="1" ht="18" customHeight="1">
      <c r="A11" s="442" t="str">
        <f t="shared" ref="A11:A12" si="3">IF(B11&lt;&gt;"",ROW()-3,"")</f>
        <v/>
      </c>
      <c r="B11" s="7"/>
      <c r="C11" s="864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65">
        <f t="shared" ref="H11" si="4">ROUND(MAX(D11+F11-E11-G11,0),2)</f>
        <v>0</v>
      </c>
      <c r="I11" s="865">
        <f t="shared" ref="I11" si="5">ROUND(MAX(E11+G11-D11-F11,0),2)</f>
        <v>0</v>
      </c>
    </row>
    <row r="12" spans="1:9" s="10" customFormat="1" ht="18" customHeight="1">
      <c r="A12" s="442" t="str">
        <f t="shared" si="3"/>
        <v/>
      </c>
      <c r="B12" s="868"/>
      <c r="C12" s="869"/>
      <c r="D12" s="182"/>
      <c r="E12" s="182"/>
      <c r="F12" s="182"/>
      <c r="G12" s="182"/>
      <c r="H12" s="866"/>
      <c r="I12" s="866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88" customWidth="1"/>
    <col min="2" max="2" width="8.28515625" style="888" customWidth="1"/>
    <col min="3" max="3" width="9.28515625" style="888" customWidth="1"/>
    <col min="4" max="4" width="37.28515625" style="888" customWidth="1"/>
    <col min="5" max="5" width="10.140625" style="888" customWidth="1"/>
    <col min="6" max="9" width="15" style="888" customWidth="1"/>
    <col min="10" max="16384" width="9.140625" style="888"/>
  </cols>
  <sheetData>
    <row r="1" spans="1:9" s="871" customFormat="1" ht="16.5" customHeight="1">
      <c r="A1" s="579" t="str">
        <f>TH!A1</f>
        <v>Đơn vị: CÔNG TY TNHH SX TM KIM DUNG PHÁT</v>
      </c>
      <c r="B1" s="870"/>
      <c r="C1" s="870"/>
      <c r="F1" s="870"/>
      <c r="G1" s="1035" t="s">
        <v>1279</v>
      </c>
      <c r="H1" s="1035"/>
      <c r="I1" s="1035"/>
    </row>
    <row r="2" spans="1:9" s="871" customFormat="1" ht="16.5" customHeight="1">
      <c r="A2" s="578" t="str">
        <f>TH!A2</f>
        <v>Địa chỉ: 1A227/1 Ấp 1, Phạm Văn Hai, Bình Chánh, TPHCM</v>
      </c>
      <c r="B2" s="833"/>
      <c r="C2" s="833"/>
      <c r="F2" s="700"/>
      <c r="G2" s="1036" t="s">
        <v>1280</v>
      </c>
      <c r="H2" s="1036"/>
      <c r="I2" s="1036"/>
    </row>
    <row r="3" spans="1:9" s="871" customFormat="1" ht="16.5" customHeight="1">
      <c r="A3" s="833"/>
      <c r="B3" s="833"/>
      <c r="C3" s="833"/>
      <c r="F3" s="700"/>
      <c r="G3" s="1036"/>
      <c r="H3" s="1036"/>
      <c r="I3" s="1036"/>
    </row>
    <row r="4" spans="1:9" s="871" customFormat="1" ht="16.5" customHeight="1">
      <c r="A4" s="833"/>
      <c r="B4" s="833"/>
      <c r="C4" s="833"/>
      <c r="F4" s="700"/>
      <c r="G4" s="834"/>
      <c r="H4" s="834"/>
      <c r="I4" s="834"/>
    </row>
    <row r="5" spans="1:9" s="18" customFormat="1" ht="23.25" customHeight="1">
      <c r="A5" s="1044" t="s">
        <v>1281</v>
      </c>
      <c r="B5" s="1044"/>
      <c r="C5" s="1044"/>
      <c r="D5" s="1044"/>
      <c r="E5" s="1044"/>
      <c r="F5" s="1044"/>
      <c r="G5" s="1044"/>
      <c r="H5" s="1044"/>
      <c r="I5" s="1044"/>
    </row>
    <row r="6" spans="1:9" s="18" customFormat="1">
      <c r="A6" s="991" t="s">
        <v>1282</v>
      </c>
      <c r="B6" s="991"/>
      <c r="C6" s="991"/>
      <c r="D6" s="991"/>
      <c r="E6" s="991"/>
      <c r="F6" s="991"/>
      <c r="G6" s="991"/>
      <c r="H6" s="991"/>
      <c r="I6" s="991"/>
    </row>
    <row r="7" spans="1:9" s="18" customFormat="1">
      <c r="A7" s="991" t="s">
        <v>1283</v>
      </c>
      <c r="B7" s="991"/>
      <c r="C7" s="991"/>
      <c r="D7" s="991"/>
      <c r="E7" s="991"/>
      <c r="F7" s="991"/>
      <c r="G7" s="991"/>
      <c r="H7" s="991"/>
      <c r="I7" s="991"/>
    </row>
    <row r="8" spans="1:9" s="18" customFormat="1" ht="15" customHeight="1">
      <c r="A8" s="991" t="str">
        <f>IF(MID($E$9,4,4)="1015","Đối tượng cho vay: NH Eximbank CN Q11","Đối tượng cho vay: NH Eximbank CN Q4")</f>
        <v>Đối tượng cho vay: NH Eximbank CN Q4</v>
      </c>
      <c r="B8" s="991"/>
      <c r="C8" s="991"/>
      <c r="D8" s="991"/>
      <c r="E8" s="991"/>
      <c r="F8" s="991"/>
      <c r="G8" s="991"/>
      <c r="H8" s="991"/>
      <c r="I8" s="991"/>
    </row>
    <row r="9" spans="1:9" s="18" customFormat="1">
      <c r="A9" s="831"/>
      <c r="B9" s="831"/>
      <c r="C9" s="831"/>
      <c r="D9" s="20" t="s">
        <v>1284</v>
      </c>
      <c r="E9" s="1045" t="s">
        <v>1287</v>
      </c>
      <c r="F9" s="1045"/>
      <c r="G9" s="835" t="str">
        <f>"ngày "&amp; TEXT(VLOOKUP($E$9,'341'!$B$4:$I$12,2,0),"dd/MM/yy")</f>
        <v>ngày 29/05/14</v>
      </c>
      <c r="H9" s="831"/>
      <c r="I9" s="831"/>
    </row>
    <row r="10" spans="1:9" s="18" customFormat="1">
      <c r="A10" s="991" t="s">
        <v>1291</v>
      </c>
      <c r="B10" s="991"/>
      <c r="C10" s="991"/>
      <c r="D10" s="991"/>
      <c r="E10" s="991"/>
      <c r="F10" s="991"/>
      <c r="G10" s="991"/>
      <c r="H10" s="991"/>
      <c r="I10" s="991"/>
    </row>
    <row r="11" spans="1:9" s="18" customFormat="1">
      <c r="C11" s="1039"/>
      <c r="D11" s="1039"/>
      <c r="E11" s="1039"/>
      <c r="F11" s="1039"/>
      <c r="G11" s="1039"/>
      <c r="H11" s="1039"/>
      <c r="I11" s="1039"/>
    </row>
    <row r="12" spans="1:9" s="18" customFormat="1" ht="15.75" customHeight="1">
      <c r="A12" s="1046" t="s">
        <v>20</v>
      </c>
      <c r="B12" s="1033" t="s">
        <v>1</v>
      </c>
      <c r="C12" s="1034"/>
      <c r="D12" s="1046" t="s">
        <v>0</v>
      </c>
      <c r="E12" s="1046" t="s">
        <v>14</v>
      </c>
      <c r="F12" s="1048" t="s">
        <v>1288</v>
      </c>
      <c r="G12" s="1049"/>
      <c r="H12" s="1048" t="s">
        <v>1289</v>
      </c>
      <c r="I12" s="1049"/>
    </row>
    <row r="13" spans="1:9" s="18" customFormat="1" ht="33.75" customHeight="1">
      <c r="A13" s="1047"/>
      <c r="B13" s="237" t="s">
        <v>15</v>
      </c>
      <c r="C13" s="237" t="s">
        <v>32</v>
      </c>
      <c r="D13" s="1047"/>
      <c r="E13" s="1047"/>
      <c r="F13" s="889" t="s">
        <v>22</v>
      </c>
      <c r="G13" s="889" t="s">
        <v>23</v>
      </c>
      <c r="H13" s="889" t="s">
        <v>22</v>
      </c>
      <c r="I13" s="889" t="s">
        <v>23</v>
      </c>
    </row>
    <row r="14" spans="1:9" s="831" customFormat="1">
      <c r="A14" s="832" t="s">
        <v>2</v>
      </c>
      <c r="B14" s="836" t="s">
        <v>3</v>
      </c>
      <c r="C14" s="832" t="s">
        <v>4</v>
      </c>
      <c r="D14" s="832" t="s">
        <v>5</v>
      </c>
      <c r="E14" s="832" t="s">
        <v>6</v>
      </c>
      <c r="F14" s="832">
        <v>3</v>
      </c>
      <c r="G14" s="832">
        <v>5</v>
      </c>
      <c r="H14" s="832">
        <v>7</v>
      </c>
      <c r="I14" s="832">
        <v>9</v>
      </c>
    </row>
    <row r="15" spans="1:9" s="18" customFormat="1" ht="19.5" customHeight="1">
      <c r="A15" s="872"/>
      <c r="B15" s="872"/>
      <c r="C15" s="872"/>
      <c r="D15" s="232" t="s">
        <v>7</v>
      </c>
      <c r="E15" s="233"/>
      <c r="F15" s="872"/>
      <c r="G15" s="872"/>
      <c r="H15" s="873">
        <f>VLOOKUP($E$9,'341'!$B$4:$I$12,3,0)</f>
        <v>0</v>
      </c>
      <c r="I15" s="873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74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67">
        <f ca="1">IF(ROWS($1:1)&gt;COUNT(Dong4),"",IF(LEFT(OFFSET(TH!L$1,SMALL(Dong4,ROWS($1:1)),),3)="341",OFFSET(TH!K$1,SMALL(Dong4,ROWS($1:1)),),0))</f>
        <v>0</v>
      </c>
      <c r="G16" s="767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75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74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67">
        <f ca="1">IF(ROWS($1:2)&gt;COUNT(Dong4),"",IF(LEFT(OFFSET(TH!L$1,SMALL(Dong4,ROWS($1:2)),),3)="341",OFFSET(TH!K$1,SMALL(Dong4,ROWS($1:2)),),0))</f>
        <v>105000000</v>
      </c>
      <c r="G17" s="767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5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74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67" t="str">
        <f ca="1">IF(ROWS($1:3)&gt;COUNT(Dong4),"",IF(LEFT(OFFSET(TH!L$1,SMALL(Dong4,ROWS($1:3)),),3)="341",OFFSET(TH!K$1,SMALL(Dong4,ROWS($1:3)),),0))</f>
        <v/>
      </c>
      <c r="G18" s="767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5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74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67" t="str">
        <f ca="1">IF(ROWS($1:4)&gt;COUNT(Dong4),"",IF(LEFT(OFFSET(TH!L$1,SMALL(Dong4,ROWS($1:4)),),3)="341",OFFSET(TH!K$1,SMALL(Dong4,ROWS($1:4)),),0))</f>
        <v/>
      </c>
      <c r="G19" s="767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5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74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67" t="str">
        <f ca="1">IF(ROWS($1:5)&gt;COUNT(Dong4),"",IF(LEFT(OFFSET(TH!L$1,SMALL(Dong4,ROWS($1:5)),),3)="341",OFFSET(TH!K$1,SMALL(Dong4,ROWS($1:5)),),0))</f>
        <v/>
      </c>
      <c r="G20" s="767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5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74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67" t="str">
        <f ca="1">IF(ROWS($1:6)&gt;COUNT(Dong4),"",IF(LEFT(OFFSET(TH!L$1,SMALL(Dong4,ROWS($1:6)),),3)="341",OFFSET(TH!K$1,SMALL(Dong4,ROWS($1:6)),),0))</f>
        <v/>
      </c>
      <c r="G21" s="767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5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74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67" t="str">
        <f ca="1">IF(ROWS($1:7)&gt;COUNT(Dong4),"",IF(LEFT(OFFSET(TH!L$1,SMALL(Dong4,ROWS($1:7)),),3)="341",OFFSET(TH!K$1,SMALL(Dong4,ROWS($1:7)),),0))</f>
        <v/>
      </c>
      <c r="G22" s="767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5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74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67" t="str">
        <f ca="1">IF(ROWS($1:8)&gt;COUNT(Dong4),"",IF(LEFT(OFFSET(TH!L$1,SMALL(Dong4,ROWS($1:8)),),3)="341",OFFSET(TH!K$1,SMALL(Dong4,ROWS($1:8)),),0))</f>
        <v/>
      </c>
      <c r="G23" s="767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5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74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67" t="str">
        <f ca="1">IF(ROWS($1:9)&gt;COUNT(Dong4),"",IF(LEFT(OFFSET(TH!L$1,SMALL(Dong4,ROWS($1:9)),),3)="341",OFFSET(TH!K$1,SMALL(Dong4,ROWS($1:9)),),0))</f>
        <v/>
      </c>
      <c r="G24" s="767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5" customFormat="1" ht="19.5" customHeight="1">
      <c r="A25" s="876"/>
      <c r="B25" s="876"/>
      <c r="C25" s="876"/>
      <c r="D25" s="877"/>
      <c r="E25" s="878"/>
      <c r="F25" s="879"/>
      <c r="G25" s="880"/>
      <c r="H25" s="8"/>
      <c r="I25" s="8"/>
    </row>
    <row r="26" spans="1:9" s="18" customFormat="1" ht="19.5" customHeight="1">
      <c r="A26" s="184"/>
      <c r="B26" s="184"/>
      <c r="C26" s="184"/>
      <c r="D26" s="234" t="s">
        <v>33</v>
      </c>
      <c r="E26" s="200" t="s">
        <v>19</v>
      </c>
      <c r="F26" s="748">
        <f ca="1">SUM(F16:F25)</f>
        <v>105000000</v>
      </c>
      <c r="G26" s="748">
        <f ca="1">SUM(G16:G25)</f>
        <v>105000000</v>
      </c>
      <c r="H26" s="881" t="s">
        <v>19</v>
      </c>
      <c r="I26" s="881" t="s">
        <v>19</v>
      </c>
    </row>
    <row r="27" spans="1:9" s="18" customFormat="1" ht="19.5" customHeight="1">
      <c r="A27" s="882"/>
      <c r="B27" s="882"/>
      <c r="C27" s="882"/>
      <c r="D27" s="235" t="s">
        <v>10</v>
      </c>
      <c r="E27" s="236" t="s">
        <v>19</v>
      </c>
      <c r="F27" s="236" t="s">
        <v>19</v>
      </c>
      <c r="G27" s="236" t="s">
        <v>19</v>
      </c>
      <c r="H27" s="883">
        <f ca="1">MAX(H15+F26-I15-G26,0)</f>
        <v>0</v>
      </c>
      <c r="I27" s="883">
        <f ca="1">MAX(I15+G26-H15-F26,0)</f>
        <v>0</v>
      </c>
    </row>
    <row r="28" spans="1:9" s="18" customFormat="1">
      <c r="E28" s="831"/>
    </row>
    <row r="29" spans="1:9" s="18" customFormat="1">
      <c r="A29" s="884" t="s">
        <v>1285</v>
      </c>
      <c r="E29" s="831"/>
    </row>
    <row r="30" spans="1:9" s="18" customFormat="1">
      <c r="A30" s="884" t="str">
        <f>"- Ngày mở sổ: "&amp; TEXT(VLOOKUP($E$9,'341'!$B$4:$I$12,2,0),"dd/MM/yy")</f>
        <v>- Ngày mở sổ: 29/05/14</v>
      </c>
      <c r="E30" s="831"/>
    </row>
    <row r="31" spans="1:9" s="18" customFormat="1">
      <c r="E31" s="831"/>
      <c r="H31" s="831" t="s">
        <v>1290</v>
      </c>
    </row>
    <row r="32" spans="1:9" s="18" customFormat="1">
      <c r="C32" s="831" t="s">
        <v>11</v>
      </c>
      <c r="E32" s="831"/>
      <c r="H32" s="831" t="s">
        <v>12</v>
      </c>
    </row>
    <row r="33" spans="2:8" s="18" customFormat="1">
      <c r="C33" s="831" t="s">
        <v>13</v>
      </c>
      <c r="E33" s="831"/>
      <c r="H33" s="831" t="s">
        <v>13</v>
      </c>
    </row>
    <row r="34" spans="2:8" s="18" customFormat="1">
      <c r="E34" s="831"/>
    </row>
    <row r="35" spans="2:8" s="18" customFormat="1">
      <c r="E35" s="831"/>
    </row>
    <row r="36" spans="2:8" s="885" customFormat="1"/>
    <row r="37" spans="2:8" s="885" customFormat="1"/>
    <row r="38" spans="2:8" s="885" customFormat="1"/>
    <row r="39" spans="2:8" s="885" customFormat="1"/>
    <row r="40" spans="2:8" s="885" customFormat="1" ht="15">
      <c r="B40" s="886"/>
      <c r="C40" s="887" t="s">
        <v>1286</v>
      </c>
      <c r="D40" s="886"/>
    </row>
    <row r="41" spans="2:8" s="885" customFormat="1"/>
    <row r="42" spans="2:8" s="885" customFormat="1"/>
    <row r="43" spans="2:8" s="885" customFormat="1"/>
    <row r="44" spans="2:8" s="885" customFormat="1"/>
    <row r="45" spans="2:8" s="885" customFormat="1"/>
    <row r="46" spans="2:8" s="885" customFormat="1"/>
    <row r="47" spans="2:8" s="885" customFormat="1"/>
    <row r="48" spans="2:8" s="88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9" customWidth="1"/>
    <col min="2" max="2" width="7" style="259" customWidth="1"/>
    <col min="3" max="3" width="9.140625" style="259"/>
    <col min="4" max="4" width="40.140625" style="259" customWidth="1"/>
    <col min="5" max="5" width="6.5703125" style="259" customWidth="1"/>
    <col min="6" max="8" width="10" style="259" customWidth="1"/>
    <col min="9" max="9" width="13.7109375" style="259" customWidth="1"/>
    <col min="10" max="10" width="10" style="259" customWidth="1"/>
    <col min="11" max="11" width="8.7109375" style="259" customWidth="1"/>
    <col min="12" max="12" width="15" style="259" customWidth="1"/>
    <col min="13" max="13" width="10" style="259" customWidth="1"/>
    <col min="14" max="14" width="9.42578125" style="259" customWidth="1"/>
    <col min="15" max="16384" width="9.140625" style="259"/>
  </cols>
  <sheetData>
    <row r="2" spans="1:14">
      <c r="A2" s="803" t="str">
        <f>TH!$A$1</f>
        <v>Đơn vị: CÔNG TY TNHH SX TM KIM DUNG PHÁT</v>
      </c>
      <c r="C2" s="260"/>
      <c r="F2" s="261"/>
      <c r="G2" s="261"/>
      <c r="H2" s="261"/>
      <c r="I2" s="261"/>
      <c r="J2" s="1051" t="s">
        <v>181</v>
      </c>
      <c r="K2" s="1051"/>
      <c r="L2" s="1051"/>
      <c r="M2" s="1051"/>
      <c r="N2" s="261"/>
    </row>
    <row r="3" spans="1:14">
      <c r="A3" s="804" t="str">
        <f>TH!$A$2</f>
        <v>Địa chỉ: 1A227/1 Ấp 1, Phạm Văn Hai, Bình Chánh, TPHCM</v>
      </c>
      <c r="C3" s="260"/>
      <c r="F3" s="262"/>
      <c r="G3" s="262"/>
      <c r="H3" s="262"/>
      <c r="I3" s="262"/>
      <c r="J3" s="10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0"/>
      <c r="L3" s="1050"/>
      <c r="M3" s="1050"/>
      <c r="N3" s="262"/>
    </row>
    <row r="4" spans="1:14">
      <c r="F4" s="262"/>
      <c r="G4" s="262"/>
      <c r="H4" s="262"/>
      <c r="I4" s="262"/>
      <c r="J4" s="1050"/>
      <c r="K4" s="1050"/>
      <c r="L4" s="1050"/>
      <c r="M4" s="1050"/>
      <c r="N4" s="262"/>
    </row>
    <row r="5" spans="1:14" s="263" customFormat="1" ht="23.25" customHeight="1">
      <c r="A5" s="1060" t="s">
        <v>182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51" t="s">
        <v>415</v>
      </c>
      <c r="B6" s="1051" t="s">
        <v>183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</row>
    <row r="7" spans="1:14"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</row>
    <row r="8" spans="1:14" ht="15.75" customHeight="1">
      <c r="A8" s="1054" t="s">
        <v>20</v>
      </c>
      <c r="B8" s="1062" t="s">
        <v>1</v>
      </c>
      <c r="C8" s="1063"/>
      <c r="D8" s="1054" t="s">
        <v>0</v>
      </c>
      <c r="E8" s="1054" t="s">
        <v>14</v>
      </c>
      <c r="F8" s="1053" t="s">
        <v>21</v>
      </c>
      <c r="G8" s="1053"/>
      <c r="H8" s="1053"/>
      <c r="I8" s="1053"/>
      <c r="J8" s="1053"/>
      <c r="K8" s="1053"/>
      <c r="L8" s="1053" t="s">
        <v>31</v>
      </c>
      <c r="M8" s="1053"/>
      <c r="N8" s="1053"/>
    </row>
    <row r="9" spans="1:14" ht="15.75" customHeight="1">
      <c r="A9" s="1054"/>
      <c r="B9" s="1064"/>
      <c r="C9" s="1065"/>
      <c r="D9" s="1054"/>
      <c r="E9" s="1054"/>
      <c r="F9" s="1053" t="s">
        <v>184</v>
      </c>
      <c r="G9" s="1053"/>
      <c r="H9" s="1053"/>
      <c r="I9" s="1053" t="s">
        <v>185</v>
      </c>
      <c r="J9" s="1053"/>
      <c r="K9" s="1053"/>
      <c r="L9" s="1054" t="s">
        <v>186</v>
      </c>
      <c r="M9" s="1054" t="s">
        <v>187</v>
      </c>
      <c r="N9" s="1054" t="s">
        <v>188</v>
      </c>
    </row>
    <row r="10" spans="1:14" ht="15.75" customHeight="1">
      <c r="A10" s="1054"/>
      <c r="B10" s="1056" t="s">
        <v>15</v>
      </c>
      <c r="C10" s="1056" t="s">
        <v>32</v>
      </c>
      <c r="D10" s="1054"/>
      <c r="E10" s="1054"/>
      <c r="F10" s="1058" t="s">
        <v>186</v>
      </c>
      <c r="G10" s="1058" t="s">
        <v>187</v>
      </c>
      <c r="H10" s="1058" t="s">
        <v>188</v>
      </c>
      <c r="I10" s="1058" t="s">
        <v>186</v>
      </c>
      <c r="J10" s="1058" t="s">
        <v>187</v>
      </c>
      <c r="K10" s="1058" t="s">
        <v>188</v>
      </c>
      <c r="L10" s="1055"/>
      <c r="M10" s="1055"/>
      <c r="N10" s="1055"/>
    </row>
    <row r="11" spans="1:14">
      <c r="A11" s="1054"/>
      <c r="B11" s="1057"/>
      <c r="C11" s="1057"/>
      <c r="D11" s="1054"/>
      <c r="E11" s="1054"/>
      <c r="F11" s="1059"/>
      <c r="G11" s="1059"/>
      <c r="H11" s="1059"/>
      <c r="I11" s="1059"/>
      <c r="J11" s="1059"/>
      <c r="K11" s="1059"/>
      <c r="L11" s="1055"/>
      <c r="M11" s="1055"/>
      <c r="N11" s="1055"/>
    </row>
    <row r="12" spans="1:14" s="262" customFormat="1">
      <c r="A12" s="264" t="s">
        <v>2</v>
      </c>
      <c r="B12" s="265" t="s">
        <v>3</v>
      </c>
      <c r="C12" s="264" t="s">
        <v>4</v>
      </c>
      <c r="D12" s="264" t="s">
        <v>5</v>
      </c>
      <c r="E12" s="264" t="s">
        <v>6</v>
      </c>
      <c r="F12" s="264">
        <v>1</v>
      </c>
      <c r="G12" s="264"/>
      <c r="H12" s="264"/>
      <c r="I12" s="264"/>
      <c r="J12" s="264"/>
      <c r="K12" s="264"/>
      <c r="L12" s="264"/>
      <c r="M12" s="264"/>
      <c r="N12" s="264"/>
    </row>
    <row r="13" spans="1:14">
      <c r="A13" s="266"/>
      <c r="B13" s="266"/>
      <c r="C13" s="808"/>
      <c r="D13" s="267" t="s">
        <v>7</v>
      </c>
      <c r="E13" s="266"/>
      <c r="F13" s="266"/>
      <c r="G13" s="266"/>
      <c r="H13" s="266"/>
      <c r="I13" s="266"/>
      <c r="J13" s="266"/>
      <c r="K13" s="266"/>
      <c r="L13" s="268">
        <f>CDPS!$D$45</f>
        <v>1900000000</v>
      </c>
      <c r="M13" s="266"/>
      <c r="N13" s="266"/>
    </row>
    <row r="14" spans="1:14">
      <c r="A14" s="807">
        <v>40634</v>
      </c>
      <c r="B14" s="689" t="s">
        <v>352</v>
      </c>
      <c r="C14" s="807">
        <v>40634</v>
      </c>
      <c r="D14" s="269" t="s">
        <v>399</v>
      </c>
      <c r="E14" s="689" t="s">
        <v>47</v>
      </c>
      <c r="F14" s="269"/>
      <c r="G14" s="269"/>
      <c r="H14" s="269"/>
      <c r="I14" s="340">
        <v>1700000000</v>
      </c>
      <c r="J14" s="269"/>
      <c r="K14" s="269"/>
      <c r="L14" s="692">
        <f>L13+I14-G14</f>
        <v>3600000000</v>
      </c>
      <c r="M14" s="269"/>
      <c r="N14" s="269"/>
    </row>
    <row r="15" spans="1:14">
      <c r="A15" s="807">
        <v>40634</v>
      </c>
      <c r="B15" s="689" t="s">
        <v>353</v>
      </c>
      <c r="C15" s="807">
        <v>40634</v>
      </c>
      <c r="D15" s="270" t="s">
        <v>400</v>
      </c>
      <c r="E15" s="690" t="s">
        <v>47</v>
      </c>
      <c r="F15" s="270"/>
      <c r="G15" s="270"/>
      <c r="H15" s="270"/>
      <c r="I15" s="355">
        <v>100000000</v>
      </c>
      <c r="J15" s="270"/>
      <c r="K15" s="270"/>
      <c r="L15" s="692">
        <f t="shared" ref="L15:L16" si="0">L14+I15-G15</f>
        <v>3700000000</v>
      </c>
      <c r="M15" s="270"/>
      <c r="N15" s="270"/>
    </row>
    <row r="16" spans="1:14">
      <c r="A16" s="807">
        <v>40634</v>
      </c>
      <c r="B16" s="689" t="s">
        <v>357</v>
      </c>
      <c r="C16" s="807">
        <v>40634</v>
      </c>
      <c r="D16" s="270" t="s">
        <v>401</v>
      </c>
      <c r="E16" s="690" t="s">
        <v>47</v>
      </c>
      <c r="F16" s="270"/>
      <c r="G16" s="270"/>
      <c r="H16" s="270"/>
      <c r="I16" s="355">
        <v>100000000</v>
      </c>
      <c r="J16" s="270"/>
      <c r="K16" s="270"/>
      <c r="L16" s="692">
        <f t="shared" si="0"/>
        <v>3800000000</v>
      </c>
      <c r="M16" s="270"/>
      <c r="N16" s="270"/>
    </row>
    <row r="17" spans="1:14">
      <c r="A17" s="689"/>
      <c r="B17" s="269"/>
      <c r="C17" s="689"/>
      <c r="D17" s="270"/>
      <c r="E17" s="270"/>
      <c r="F17" s="270"/>
      <c r="G17" s="270"/>
      <c r="H17" s="270"/>
      <c r="I17" s="270"/>
      <c r="J17" s="270"/>
      <c r="K17" s="270"/>
      <c r="L17" s="270"/>
      <c r="M17" s="270"/>
      <c r="N17" s="270"/>
    </row>
    <row r="18" spans="1:14">
      <c r="A18" s="689"/>
      <c r="B18" s="269"/>
      <c r="C18" s="689"/>
      <c r="D18" s="271" t="s">
        <v>133</v>
      </c>
      <c r="E18" s="469" t="s">
        <v>19</v>
      </c>
      <c r="F18" s="272"/>
      <c r="G18" s="272"/>
      <c r="H18" s="272"/>
      <c r="I18" s="691">
        <f>SUM(I13:I17)</f>
        <v>1900000000</v>
      </c>
      <c r="J18" s="272"/>
      <c r="K18" s="272"/>
      <c r="L18" s="693">
        <f>L13+I18-F18</f>
        <v>3800000000</v>
      </c>
      <c r="M18" s="272"/>
      <c r="N18" s="272"/>
    </row>
    <row r="19" spans="1:14">
      <c r="A19" s="273"/>
      <c r="B19" s="273"/>
      <c r="C19" s="273"/>
      <c r="D19" s="274" t="s">
        <v>10</v>
      </c>
      <c r="E19" s="470" t="s">
        <v>19</v>
      </c>
      <c r="F19" s="273"/>
      <c r="G19" s="273"/>
      <c r="H19" s="273"/>
      <c r="I19" s="273"/>
      <c r="J19" s="273"/>
      <c r="K19" s="273"/>
      <c r="L19" s="275">
        <f>L13+L18</f>
        <v>5700000000</v>
      </c>
      <c r="M19" s="273"/>
      <c r="N19" s="273"/>
    </row>
    <row r="21" spans="1:14">
      <c r="C21" s="276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7"/>
      <c r="C23" s="277"/>
      <c r="D23" s="277"/>
      <c r="E23" s="1052" t="str">
        <f>"Ngày 31 tháng  12  năm  "&amp;YEAR($A$14)</f>
        <v>Ngày 31 tháng  12  năm  2011</v>
      </c>
      <c r="F23" s="1052"/>
      <c r="G23" s="1052"/>
      <c r="H23" s="1052"/>
      <c r="I23" s="1052"/>
      <c r="J23" s="1052"/>
      <c r="K23" s="1052"/>
      <c r="L23" s="1052"/>
      <c r="M23" s="1052"/>
      <c r="N23" s="1052"/>
    </row>
    <row r="24" spans="1:14">
      <c r="A24" s="1052" t="s">
        <v>11</v>
      </c>
      <c r="B24" s="1052"/>
      <c r="C24" s="1052"/>
      <c r="D24" s="1052"/>
      <c r="E24" s="1052" t="s">
        <v>12</v>
      </c>
      <c r="F24" s="1052"/>
      <c r="G24" s="1052"/>
      <c r="H24" s="1052"/>
      <c r="I24" s="1052"/>
      <c r="J24" s="1052"/>
      <c r="K24" s="1052"/>
      <c r="L24" s="1052"/>
      <c r="M24" s="1052"/>
      <c r="N24" s="1052"/>
    </row>
    <row r="25" spans="1:14">
      <c r="A25" s="1052" t="s">
        <v>13</v>
      </c>
      <c r="B25" s="1052"/>
      <c r="C25" s="1052"/>
      <c r="D25" s="1052"/>
      <c r="E25" s="1052" t="s">
        <v>13</v>
      </c>
      <c r="F25" s="1052"/>
      <c r="G25" s="1052"/>
      <c r="H25" s="1052"/>
      <c r="I25" s="1052"/>
      <c r="J25" s="1052"/>
      <c r="K25" s="1052"/>
      <c r="L25" s="1052"/>
      <c r="M25" s="1052"/>
      <c r="N25" s="105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83" customWidth="1"/>
    <col min="2" max="2" width="3.42578125" style="283" customWidth="1"/>
    <col min="3" max="3" width="34" style="283" customWidth="1"/>
    <col min="4" max="4" width="7.7109375" style="286" customWidth="1"/>
    <col min="5" max="5" width="6.7109375" style="299" customWidth="1"/>
    <col min="6" max="6" width="10.7109375" style="299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7109375" style="288" customWidth="1"/>
    <col min="12" max="12" width="11.85546875" style="288" customWidth="1"/>
    <col min="13" max="13" width="9" style="283" customWidth="1"/>
    <col min="14" max="14" width="11.140625" style="288" bestFit="1" customWidth="1"/>
    <col min="15" max="16384" width="9.140625" style="283"/>
  </cols>
  <sheetData>
    <row r="1" spans="1:14" s="258" customFormat="1" ht="14.25" customHeight="1">
      <c r="B1" s="803" t="str">
        <f>TH!$A$1</f>
        <v>Đơn vị: CÔNG TY TNHH SX TM KIM DUNG PHÁT</v>
      </c>
      <c r="C1" s="278"/>
      <c r="D1" s="278"/>
      <c r="E1" s="278"/>
      <c r="F1" s="279"/>
      <c r="G1" s="279"/>
      <c r="H1" s="1035" t="s">
        <v>190</v>
      </c>
      <c r="I1" s="1035"/>
      <c r="J1" s="1035"/>
      <c r="K1" s="1035"/>
      <c r="L1" s="1035"/>
      <c r="M1" s="694"/>
      <c r="N1" s="695"/>
    </row>
    <row r="2" spans="1:14" s="258" customFormat="1" ht="14.25" customHeight="1">
      <c r="B2" s="804" t="str">
        <f>TH!$A$2</f>
        <v>Địa chỉ: 1A227/1 Ấp 1, Phạm Văn Hai, Bình Chánh, TPHCM</v>
      </c>
      <c r="C2" s="280"/>
      <c r="D2" s="280"/>
      <c r="E2" s="280"/>
      <c r="F2" s="280"/>
      <c r="G2" s="280"/>
      <c r="H2" s="103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6"/>
      <c r="J2" s="1036"/>
      <c r="K2" s="1036"/>
      <c r="L2" s="1036"/>
      <c r="M2" s="700"/>
      <c r="N2" s="695"/>
    </row>
    <row r="3" spans="1:14" s="258" customFormat="1" ht="14.25" customHeight="1">
      <c r="B3" s="280"/>
      <c r="C3" s="280"/>
      <c r="D3" s="280"/>
      <c r="E3" s="280"/>
      <c r="F3" s="280"/>
      <c r="G3" s="280"/>
      <c r="H3" s="1036"/>
      <c r="I3" s="1036"/>
      <c r="J3" s="1036"/>
      <c r="K3" s="1036"/>
      <c r="L3" s="1036"/>
      <c r="M3" s="701"/>
      <c r="N3" s="695"/>
    </row>
    <row r="4" spans="1:14" s="281" customFormat="1" ht="27.75" customHeight="1">
      <c r="B4" s="1067" t="s">
        <v>191</v>
      </c>
      <c r="C4" s="1067"/>
      <c r="D4" s="1067"/>
      <c r="E4" s="1067"/>
      <c r="F4" s="1067"/>
      <c r="G4" s="1067"/>
      <c r="H4" s="1067"/>
      <c r="I4" s="1067"/>
      <c r="J4" s="1067"/>
      <c r="K4" s="1067"/>
      <c r="L4" s="1067"/>
      <c r="N4" s="696"/>
    </row>
    <row r="5" spans="1:14" s="281" customFormat="1" ht="15" customHeight="1">
      <c r="B5" s="1066" t="s">
        <v>192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N5" s="696"/>
    </row>
    <row r="6" spans="1:14" s="281" customFormat="1" ht="12.75" customHeight="1">
      <c r="B6" s="1066" t="s">
        <v>193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N6" s="696"/>
    </row>
    <row r="7" spans="1:14" s="282" customFormat="1" ht="24" customHeight="1">
      <c r="C7" s="1074" t="s">
        <v>194</v>
      </c>
      <c r="D7" s="1074"/>
      <c r="E7" s="1074"/>
      <c r="F7" s="1074"/>
      <c r="G7" s="1074"/>
      <c r="H7" s="1074"/>
      <c r="I7" s="1074"/>
      <c r="J7" s="1074"/>
      <c r="K7" s="1074"/>
      <c r="L7" s="1074"/>
      <c r="N7" s="697"/>
    </row>
    <row r="8" spans="1:14" ht="20.25" customHeight="1">
      <c r="B8" s="1068" t="s">
        <v>35</v>
      </c>
      <c r="C8" s="1069" t="s">
        <v>195</v>
      </c>
      <c r="D8" s="1070" t="s">
        <v>196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197</v>
      </c>
      <c r="F9" s="1072"/>
      <c r="G9" s="1073" t="s">
        <v>198</v>
      </c>
      <c r="H9" s="1073"/>
      <c r="I9" s="1073" t="s">
        <v>199</v>
      </c>
      <c r="J9" s="1073"/>
      <c r="K9" s="1073" t="s">
        <v>200</v>
      </c>
      <c r="L9" s="1073"/>
    </row>
    <row r="10" spans="1:14" ht="20.25" customHeight="1">
      <c r="B10" s="1068"/>
      <c r="C10" s="1069"/>
      <c r="D10" s="284"/>
      <c r="E10" s="285" t="s">
        <v>201</v>
      </c>
      <c r="F10" s="285" t="s">
        <v>202</v>
      </c>
      <c r="G10" s="285" t="s">
        <v>201</v>
      </c>
      <c r="H10" s="285" t="s">
        <v>202</v>
      </c>
      <c r="I10" s="285" t="s">
        <v>201</v>
      </c>
      <c r="J10" s="285" t="s">
        <v>202</v>
      </c>
      <c r="K10" s="285" t="s">
        <v>201</v>
      </c>
      <c r="L10" s="285" t="s">
        <v>202</v>
      </c>
    </row>
    <row r="11" spans="1:14" s="286" customFormat="1">
      <c r="B11" s="287" t="s">
        <v>2</v>
      </c>
      <c r="C11" s="284" t="s">
        <v>3</v>
      </c>
      <c r="D11" s="284"/>
      <c r="E11" s="285">
        <v>1</v>
      </c>
      <c r="F11" s="285">
        <v>1</v>
      </c>
      <c r="G11" s="285">
        <v>2</v>
      </c>
      <c r="H11" s="285">
        <v>2</v>
      </c>
      <c r="I11" s="285">
        <v>3</v>
      </c>
      <c r="J11" s="285">
        <v>3</v>
      </c>
      <c r="K11" s="285">
        <v>4</v>
      </c>
      <c r="L11" s="285">
        <v>4</v>
      </c>
      <c r="N11" s="698"/>
    </row>
    <row r="12" spans="1:14" ht="18.75" customHeight="1">
      <c r="A12" s="288" t="str">
        <f t="shared" ref="A12:A21" si="0">IF(B12&lt;&gt;"","VL","")</f>
        <v>VL</v>
      </c>
      <c r="B12" s="289">
        <f t="shared" ref="B12:B20" si="1">IF(C12&lt;&gt;"",ROW()-11,"")</f>
        <v>1</v>
      </c>
      <c r="C12" s="189" t="s">
        <v>350</v>
      </c>
      <c r="D12" s="290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8"/>
    </row>
    <row r="13" spans="1:14" ht="18.75" customHeight="1">
      <c r="A13" s="288" t="str">
        <f t="shared" si="0"/>
        <v>VL</v>
      </c>
      <c r="B13" s="289">
        <f t="shared" si="1"/>
        <v>2</v>
      </c>
      <c r="C13" s="189" t="s">
        <v>330</v>
      </c>
      <c r="D13" s="290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8"/>
    </row>
    <row r="14" spans="1:14" ht="18.75" customHeight="1">
      <c r="A14" s="288" t="str">
        <f t="shared" si="0"/>
        <v>VL</v>
      </c>
      <c r="B14" s="289">
        <f t="shared" si="1"/>
        <v>3</v>
      </c>
      <c r="C14" s="189" t="s">
        <v>1052</v>
      </c>
      <c r="D14" s="290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8"/>
    </row>
    <row r="15" spans="1:14" ht="18.75" customHeight="1">
      <c r="A15" s="288" t="str">
        <f t="shared" si="0"/>
        <v>VL</v>
      </c>
      <c r="B15" s="746">
        <f t="shared" si="1"/>
        <v>4</v>
      </c>
      <c r="C15" s="192" t="s">
        <v>1017</v>
      </c>
      <c r="D15" s="290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8"/>
    </row>
    <row r="16" spans="1:14" ht="18.75" customHeight="1">
      <c r="A16" s="288" t="str">
        <f t="shared" si="0"/>
        <v>VL</v>
      </c>
      <c r="B16" s="746">
        <f t="shared" si="1"/>
        <v>5</v>
      </c>
      <c r="C16" s="291" t="s">
        <v>1022</v>
      </c>
      <c r="D16" s="290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8"/>
    </row>
    <row r="17" spans="1:13" ht="18.75" customHeight="1">
      <c r="A17" s="288" t="str">
        <f t="shared" si="0"/>
        <v>VL</v>
      </c>
      <c r="B17" s="746">
        <f t="shared" si="1"/>
        <v>6</v>
      </c>
      <c r="C17" s="189" t="s">
        <v>1023</v>
      </c>
      <c r="D17" s="290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8"/>
    </row>
    <row r="18" spans="1:13" ht="18.75" customHeight="1">
      <c r="A18" s="288" t="str">
        <f t="shared" si="0"/>
        <v>VL</v>
      </c>
      <c r="B18" s="746">
        <f t="shared" si="1"/>
        <v>7</v>
      </c>
      <c r="C18" s="40" t="s">
        <v>1127</v>
      </c>
      <c r="D18" s="290" t="s">
        <v>1375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8"/>
    </row>
    <row r="19" spans="1:13" ht="18.75" customHeight="1">
      <c r="A19" s="288" t="str">
        <f t="shared" si="0"/>
        <v>VL</v>
      </c>
      <c r="B19" s="746">
        <f t="shared" si="1"/>
        <v>8</v>
      </c>
      <c r="C19" s="189" t="s">
        <v>1322</v>
      </c>
      <c r="D19" s="290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8"/>
    </row>
    <row r="20" spans="1:13" ht="18.75" customHeight="1">
      <c r="A20" s="288" t="str">
        <f t="shared" si="0"/>
        <v/>
      </c>
      <c r="B20" s="289" t="str">
        <f t="shared" si="1"/>
        <v/>
      </c>
      <c r="C20" s="292"/>
      <c r="D20" s="293"/>
      <c r="E20" s="294"/>
      <c r="F20" s="294"/>
      <c r="G20" s="25"/>
      <c r="H20" s="294"/>
      <c r="I20" s="294"/>
      <c r="J20" s="294"/>
      <c r="K20" s="294"/>
      <c r="L20" s="294"/>
      <c r="M20" s="288"/>
    </row>
    <row r="21" spans="1:13" ht="18.75" customHeight="1">
      <c r="A21" s="288" t="str">
        <f t="shared" si="0"/>
        <v/>
      </c>
      <c r="B21" s="287"/>
      <c r="C21" s="295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8"/>
    </row>
    <row r="22" spans="1:13" ht="18.75" customHeight="1">
      <c r="A22" s="288"/>
      <c r="B22" s="454"/>
      <c r="C22" s="455"/>
      <c r="D22" s="456"/>
      <c r="E22" s="456"/>
      <c r="F22" s="456">
        <f>F21-CDPS!C21</f>
        <v>0</v>
      </c>
      <c r="G22" s="456"/>
      <c r="H22" s="456">
        <f>H21-CDPS!E21</f>
        <v>0</v>
      </c>
      <c r="I22" s="456"/>
      <c r="J22" s="456">
        <f>J21-CDPS!F21</f>
        <v>0</v>
      </c>
      <c r="K22" s="456"/>
      <c r="L22" s="456">
        <f>L21-CDPS!G21</f>
        <v>0</v>
      </c>
      <c r="M22" s="288"/>
    </row>
    <row r="23" spans="1:13" ht="18.75" customHeight="1">
      <c r="A23" s="288" t="str">
        <f t="shared" ref="A23:A54" si="5">IF(B23&lt;&gt;"","NL","")</f>
        <v>NL</v>
      </c>
      <c r="B23" s="453">
        <f t="shared" ref="B23:B54" si="6">IF(C23&lt;&gt;"",B22+1,"")</f>
        <v>1</v>
      </c>
      <c r="C23" s="192" t="s">
        <v>1108</v>
      </c>
      <c r="D23" s="290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8"/>
    </row>
    <row r="24" spans="1:13" ht="18.75" customHeight="1">
      <c r="A24" s="288" t="str">
        <f t="shared" si="5"/>
        <v>NL</v>
      </c>
      <c r="B24" s="453">
        <f t="shared" si="6"/>
        <v>2</v>
      </c>
      <c r="C24" s="192" t="s">
        <v>1012</v>
      </c>
      <c r="D24" s="290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8"/>
    </row>
    <row r="25" spans="1:13" ht="18.75" customHeight="1">
      <c r="A25" s="288" t="str">
        <f t="shared" si="5"/>
        <v>NL</v>
      </c>
      <c r="B25" s="453">
        <f t="shared" si="6"/>
        <v>3</v>
      </c>
      <c r="C25" s="192" t="s">
        <v>1104</v>
      </c>
      <c r="D25" s="290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8"/>
    </row>
    <row r="26" spans="1:13" ht="18.75" customHeight="1">
      <c r="A26" s="288" t="str">
        <f t="shared" si="5"/>
        <v>NL</v>
      </c>
      <c r="B26" s="453">
        <f t="shared" si="6"/>
        <v>4</v>
      </c>
      <c r="C26" s="291" t="s">
        <v>1075</v>
      </c>
      <c r="D26" s="290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8"/>
    </row>
    <row r="27" spans="1:13" ht="18.75" customHeight="1">
      <c r="A27" s="288" t="str">
        <f t="shared" si="5"/>
        <v>NL</v>
      </c>
      <c r="B27" s="453">
        <f t="shared" si="6"/>
        <v>5</v>
      </c>
      <c r="C27" s="40" t="s">
        <v>1080</v>
      </c>
      <c r="D27" s="290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8"/>
    </row>
    <row r="28" spans="1:13" ht="18.75" customHeight="1">
      <c r="A28" s="288" t="str">
        <f t="shared" si="5"/>
        <v>NL</v>
      </c>
      <c r="B28" s="453">
        <f t="shared" si="6"/>
        <v>6</v>
      </c>
      <c r="C28" s="291" t="s">
        <v>1079</v>
      </c>
      <c r="D28" s="290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8"/>
    </row>
    <row r="29" spans="1:13" ht="18.75" customHeight="1">
      <c r="A29" s="288" t="str">
        <f t="shared" si="5"/>
        <v>NL</v>
      </c>
      <c r="B29" s="453">
        <f t="shared" si="6"/>
        <v>7</v>
      </c>
      <c r="C29" s="291" t="s">
        <v>1323</v>
      </c>
      <c r="D29" s="290" t="s">
        <v>349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8"/>
    </row>
    <row r="30" spans="1:13" ht="18.75" customHeight="1">
      <c r="A30" s="288" t="str">
        <f t="shared" si="5"/>
        <v>NL</v>
      </c>
      <c r="B30" s="453">
        <f t="shared" si="6"/>
        <v>8</v>
      </c>
      <c r="C30" s="291" t="s">
        <v>1324</v>
      </c>
      <c r="D30" s="290" t="s">
        <v>349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8"/>
    </row>
    <row r="31" spans="1:13" ht="18.75" customHeight="1">
      <c r="A31" s="288" t="str">
        <f t="shared" si="5"/>
        <v>NL</v>
      </c>
      <c r="B31" s="453">
        <f t="shared" si="6"/>
        <v>9</v>
      </c>
      <c r="C31" s="291" t="s">
        <v>1325</v>
      </c>
      <c r="D31" s="290" t="s">
        <v>349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8"/>
    </row>
    <row r="32" spans="1:13" ht="18.75" customHeight="1">
      <c r="A32" s="288" t="str">
        <f t="shared" si="5"/>
        <v>NL</v>
      </c>
      <c r="B32" s="453">
        <f t="shared" si="6"/>
        <v>10</v>
      </c>
      <c r="C32" s="291" t="s">
        <v>1326</v>
      </c>
      <c r="D32" s="290" t="s">
        <v>349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8"/>
    </row>
    <row r="33" spans="1:13" ht="18.75" customHeight="1">
      <c r="A33" s="288" t="str">
        <f t="shared" si="5"/>
        <v>NL</v>
      </c>
      <c r="B33" s="453">
        <f t="shared" si="6"/>
        <v>11</v>
      </c>
      <c r="C33" s="291" t="s">
        <v>1327</v>
      </c>
      <c r="D33" s="290" t="s">
        <v>349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8"/>
    </row>
    <row r="34" spans="1:13" ht="18.75" customHeight="1">
      <c r="A34" s="288" t="str">
        <f t="shared" si="5"/>
        <v>NL</v>
      </c>
      <c r="B34" s="453">
        <f t="shared" si="6"/>
        <v>12</v>
      </c>
      <c r="C34" s="291" t="s">
        <v>1328</v>
      </c>
      <c r="D34" s="290" t="s">
        <v>349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8"/>
    </row>
    <row r="35" spans="1:13" ht="18.75" customHeight="1">
      <c r="A35" s="288" t="str">
        <f t="shared" si="5"/>
        <v>NL</v>
      </c>
      <c r="B35" s="453">
        <f t="shared" si="6"/>
        <v>13</v>
      </c>
      <c r="C35" s="291" t="s">
        <v>1329</v>
      </c>
      <c r="D35" s="290" t="s">
        <v>349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8"/>
    </row>
    <row r="36" spans="1:13" ht="18.75" customHeight="1">
      <c r="A36" s="288" t="str">
        <f t="shared" si="5"/>
        <v>NL</v>
      </c>
      <c r="B36" s="453">
        <f t="shared" si="6"/>
        <v>14</v>
      </c>
      <c r="C36" s="291" t="s">
        <v>1330</v>
      </c>
      <c r="D36" s="290" t="s">
        <v>349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8"/>
    </row>
    <row r="37" spans="1:13" ht="18.75" customHeight="1">
      <c r="A37" s="288" t="str">
        <f t="shared" si="5"/>
        <v>NL</v>
      </c>
      <c r="B37" s="453">
        <f t="shared" si="6"/>
        <v>15</v>
      </c>
      <c r="C37" s="291" t="s">
        <v>1331</v>
      </c>
      <c r="D37" s="290" t="s">
        <v>349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8"/>
    </row>
    <row r="38" spans="1:13" ht="18.75" customHeight="1">
      <c r="A38" s="288" t="str">
        <f t="shared" si="5"/>
        <v>NL</v>
      </c>
      <c r="B38" s="453">
        <f t="shared" si="6"/>
        <v>16</v>
      </c>
      <c r="C38" s="291" t="s">
        <v>1332</v>
      </c>
      <c r="D38" s="290" t="s">
        <v>349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8"/>
    </row>
    <row r="39" spans="1:13" ht="18.75" customHeight="1">
      <c r="A39" s="288" t="str">
        <f t="shared" si="5"/>
        <v>NL</v>
      </c>
      <c r="B39" s="453">
        <f t="shared" si="6"/>
        <v>17</v>
      </c>
      <c r="C39" s="291" t="s">
        <v>1333</v>
      </c>
      <c r="D39" s="290" t="s">
        <v>349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8"/>
    </row>
    <row r="40" spans="1:13" ht="18.75" customHeight="1">
      <c r="A40" s="288" t="str">
        <f t="shared" si="5"/>
        <v>NL</v>
      </c>
      <c r="B40" s="453">
        <f t="shared" si="6"/>
        <v>18</v>
      </c>
      <c r="C40" s="291" t="s">
        <v>1334</v>
      </c>
      <c r="D40" s="290" t="s">
        <v>349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8"/>
    </row>
    <row r="41" spans="1:13" ht="18.75" customHeight="1">
      <c r="A41" s="288" t="str">
        <f t="shared" si="5"/>
        <v>NL</v>
      </c>
      <c r="B41" s="453">
        <f t="shared" si="6"/>
        <v>19</v>
      </c>
      <c r="C41" s="291" t="s">
        <v>1335</v>
      </c>
      <c r="D41" s="290" t="s">
        <v>349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8"/>
    </row>
    <row r="42" spans="1:13" ht="18.75" customHeight="1">
      <c r="A42" s="288" t="str">
        <f t="shared" si="5"/>
        <v>NL</v>
      </c>
      <c r="B42" s="453">
        <f t="shared" si="6"/>
        <v>20</v>
      </c>
      <c r="C42" s="291" t="s">
        <v>1336</v>
      </c>
      <c r="D42" s="290" t="s">
        <v>349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8"/>
    </row>
    <row r="43" spans="1:13" ht="18.75" customHeight="1">
      <c r="A43" s="288" t="str">
        <f t="shared" si="5"/>
        <v>NL</v>
      </c>
      <c r="B43" s="453">
        <f t="shared" si="6"/>
        <v>21</v>
      </c>
      <c r="C43" s="291" t="s">
        <v>1337</v>
      </c>
      <c r="D43" s="290" t="s">
        <v>349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8"/>
    </row>
    <row r="44" spans="1:13" ht="18.75" customHeight="1">
      <c r="A44" s="288" t="str">
        <f t="shared" si="5"/>
        <v>NL</v>
      </c>
      <c r="B44" s="453">
        <f t="shared" si="6"/>
        <v>22</v>
      </c>
      <c r="C44" s="291" t="s">
        <v>1338</v>
      </c>
      <c r="D44" s="290" t="s">
        <v>349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8"/>
    </row>
    <row r="45" spans="1:13" ht="18.75" customHeight="1">
      <c r="A45" s="288" t="str">
        <f t="shared" si="5"/>
        <v>NL</v>
      </c>
      <c r="B45" s="453">
        <f t="shared" si="6"/>
        <v>23</v>
      </c>
      <c r="C45" s="291" t="s">
        <v>1339</v>
      </c>
      <c r="D45" s="290" t="s">
        <v>349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8"/>
    </row>
    <row r="46" spans="1:13" ht="18.75" customHeight="1">
      <c r="A46" s="288" t="str">
        <f t="shared" si="5"/>
        <v>NL</v>
      </c>
      <c r="B46" s="453">
        <f t="shared" si="6"/>
        <v>24</v>
      </c>
      <c r="C46" s="291" t="s">
        <v>1340</v>
      </c>
      <c r="D46" s="290" t="s">
        <v>349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8"/>
    </row>
    <row r="47" spans="1:13" ht="18.75" customHeight="1">
      <c r="A47" s="288" t="str">
        <f t="shared" si="5"/>
        <v>NL</v>
      </c>
      <c r="B47" s="453">
        <f t="shared" si="6"/>
        <v>25</v>
      </c>
      <c r="C47" s="291" t="s">
        <v>1341</v>
      </c>
      <c r="D47" s="290" t="s">
        <v>349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8"/>
    </row>
    <row r="48" spans="1:13" ht="18.75" customHeight="1">
      <c r="A48" s="288" t="str">
        <f t="shared" si="5"/>
        <v>NL</v>
      </c>
      <c r="B48" s="453">
        <f t="shared" si="6"/>
        <v>26</v>
      </c>
      <c r="C48" s="291" t="s">
        <v>1342</v>
      </c>
      <c r="D48" s="290" t="s">
        <v>349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8"/>
    </row>
    <row r="49" spans="1:13" ht="18.75" customHeight="1">
      <c r="A49" s="288" t="str">
        <f t="shared" si="5"/>
        <v>NL</v>
      </c>
      <c r="B49" s="453">
        <f t="shared" si="6"/>
        <v>27</v>
      </c>
      <c r="C49" s="291" t="s">
        <v>1343</v>
      </c>
      <c r="D49" s="290" t="s">
        <v>349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8"/>
    </row>
    <row r="50" spans="1:13" ht="18.75" customHeight="1">
      <c r="A50" s="288" t="str">
        <f t="shared" si="5"/>
        <v>NL</v>
      </c>
      <c r="B50" s="453">
        <f t="shared" si="6"/>
        <v>28</v>
      </c>
      <c r="C50" s="291" t="s">
        <v>1344</v>
      </c>
      <c r="D50" s="290" t="s">
        <v>349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8"/>
    </row>
    <row r="51" spans="1:13" ht="18.75" customHeight="1">
      <c r="A51" s="288" t="str">
        <f t="shared" si="5"/>
        <v>NL</v>
      </c>
      <c r="B51" s="453">
        <f t="shared" si="6"/>
        <v>29</v>
      </c>
      <c r="C51" s="291" t="s">
        <v>1345</v>
      </c>
      <c r="D51" s="290" t="s">
        <v>349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8"/>
    </row>
    <row r="52" spans="1:13" ht="18.75" customHeight="1">
      <c r="A52" s="288" t="str">
        <f t="shared" si="5"/>
        <v>NL</v>
      </c>
      <c r="B52" s="453">
        <f t="shared" si="6"/>
        <v>30</v>
      </c>
      <c r="C52" s="291" t="s">
        <v>1346</v>
      </c>
      <c r="D52" s="290" t="s">
        <v>349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8"/>
    </row>
    <row r="53" spans="1:13" ht="18.75" customHeight="1">
      <c r="A53" s="288" t="str">
        <f t="shared" si="5"/>
        <v>NL</v>
      </c>
      <c r="B53" s="453">
        <f t="shared" si="6"/>
        <v>31</v>
      </c>
      <c r="C53" s="291" t="s">
        <v>1347</v>
      </c>
      <c r="D53" s="290" t="s">
        <v>349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8"/>
    </row>
    <row r="54" spans="1:13" ht="18.75" customHeight="1">
      <c r="A54" s="288" t="str">
        <f t="shared" si="5"/>
        <v>NL</v>
      </c>
      <c r="B54" s="453">
        <f t="shared" si="6"/>
        <v>32</v>
      </c>
      <c r="C54" s="291" t="s">
        <v>1348</v>
      </c>
      <c r="D54" s="290" t="s">
        <v>349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8"/>
    </row>
    <row r="55" spans="1:13" ht="18.75" customHeight="1">
      <c r="A55" s="288" t="str">
        <f t="shared" ref="A55:A86" si="9">IF(B55&lt;&gt;"","NL","")</f>
        <v>NL</v>
      </c>
      <c r="B55" s="453">
        <f t="shared" ref="B55:B86" si="10">IF(C55&lt;&gt;"",B54+1,"")</f>
        <v>33</v>
      </c>
      <c r="C55" s="291" t="s">
        <v>1349</v>
      </c>
      <c r="D55" s="290" t="s">
        <v>349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8"/>
    </row>
    <row r="56" spans="1:13" ht="18.75" customHeight="1">
      <c r="A56" s="288" t="str">
        <f t="shared" si="9"/>
        <v>NL</v>
      </c>
      <c r="B56" s="453">
        <f t="shared" si="10"/>
        <v>34</v>
      </c>
      <c r="C56" s="291" t="s">
        <v>1350</v>
      </c>
      <c r="D56" s="290" t="s">
        <v>349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8"/>
    </row>
    <row r="57" spans="1:13" ht="18.75" customHeight="1">
      <c r="A57" s="288" t="str">
        <f t="shared" si="9"/>
        <v>NL</v>
      </c>
      <c r="B57" s="453">
        <f t="shared" si="10"/>
        <v>35</v>
      </c>
      <c r="C57" s="291" t="s">
        <v>1351</v>
      </c>
      <c r="D57" s="290" t="s">
        <v>349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8"/>
    </row>
    <row r="58" spans="1:13" ht="18.75" customHeight="1">
      <c r="A58" s="288" t="str">
        <f t="shared" si="9"/>
        <v>NL</v>
      </c>
      <c r="B58" s="453">
        <f t="shared" si="10"/>
        <v>36</v>
      </c>
      <c r="C58" s="291" t="s">
        <v>1352</v>
      </c>
      <c r="D58" s="290" t="s">
        <v>349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8"/>
    </row>
    <row r="59" spans="1:13" ht="18.75" customHeight="1">
      <c r="A59" s="288" t="str">
        <f t="shared" si="9"/>
        <v>NL</v>
      </c>
      <c r="B59" s="453">
        <f t="shared" si="10"/>
        <v>37</v>
      </c>
      <c r="C59" s="291" t="s">
        <v>1353</v>
      </c>
      <c r="D59" s="290" t="s">
        <v>349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8"/>
    </row>
    <row r="60" spans="1:13" ht="18.75" customHeight="1">
      <c r="A60" s="288" t="str">
        <f t="shared" si="9"/>
        <v>NL</v>
      </c>
      <c r="B60" s="453">
        <f t="shared" si="10"/>
        <v>38</v>
      </c>
      <c r="C60" s="291" t="s">
        <v>1354</v>
      </c>
      <c r="D60" s="290" t="s">
        <v>349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8"/>
    </row>
    <row r="61" spans="1:13" ht="18.75" customHeight="1">
      <c r="A61" s="288" t="str">
        <f t="shared" si="9"/>
        <v>NL</v>
      </c>
      <c r="B61" s="453">
        <f t="shared" si="10"/>
        <v>39</v>
      </c>
      <c r="C61" s="291" t="s">
        <v>1355</v>
      </c>
      <c r="D61" s="290" t="s">
        <v>349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8"/>
    </row>
    <row r="62" spans="1:13" ht="18.75" customHeight="1">
      <c r="A62" s="288" t="str">
        <f t="shared" si="9"/>
        <v>NL</v>
      </c>
      <c r="B62" s="453">
        <f t="shared" si="10"/>
        <v>40</v>
      </c>
      <c r="C62" s="291" t="s">
        <v>1356</v>
      </c>
      <c r="D62" s="290" t="s">
        <v>349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8"/>
    </row>
    <row r="63" spans="1:13" ht="18.75" customHeight="1">
      <c r="A63" s="288" t="str">
        <f t="shared" si="9"/>
        <v>NL</v>
      </c>
      <c r="B63" s="453">
        <f t="shared" si="10"/>
        <v>41</v>
      </c>
      <c r="C63" s="291" t="s">
        <v>1357</v>
      </c>
      <c r="D63" s="290" t="s">
        <v>349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8"/>
    </row>
    <row r="64" spans="1:13" ht="18.75" customHeight="1">
      <c r="A64" s="288" t="str">
        <f t="shared" si="9"/>
        <v>NL</v>
      </c>
      <c r="B64" s="453">
        <f t="shared" si="10"/>
        <v>42</v>
      </c>
      <c r="C64" s="291" t="s">
        <v>1358</v>
      </c>
      <c r="D64" s="290" t="s">
        <v>349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8"/>
    </row>
    <row r="65" spans="1:13" ht="18.75" customHeight="1">
      <c r="A65" s="288" t="str">
        <f t="shared" si="9"/>
        <v>NL</v>
      </c>
      <c r="B65" s="453">
        <f t="shared" si="10"/>
        <v>43</v>
      </c>
      <c r="C65" s="291" t="s">
        <v>1359</v>
      </c>
      <c r="D65" s="290" t="s">
        <v>349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8"/>
    </row>
    <row r="66" spans="1:13" ht="18.75" customHeight="1">
      <c r="A66" s="288" t="str">
        <f t="shared" si="9"/>
        <v>NL</v>
      </c>
      <c r="B66" s="453">
        <f t="shared" si="10"/>
        <v>44</v>
      </c>
      <c r="C66" s="291" t="s">
        <v>1360</v>
      </c>
      <c r="D66" s="290" t="s">
        <v>349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8"/>
    </row>
    <row r="67" spans="1:13" ht="18.75" customHeight="1">
      <c r="A67" s="288" t="str">
        <f t="shared" si="9"/>
        <v>NL</v>
      </c>
      <c r="B67" s="453">
        <f t="shared" si="10"/>
        <v>45</v>
      </c>
      <c r="C67" s="189" t="s">
        <v>1145</v>
      </c>
      <c r="D67" s="290" t="s">
        <v>349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8"/>
    </row>
    <row r="68" spans="1:13" ht="18.75" customHeight="1">
      <c r="A68" s="288" t="str">
        <f t="shared" si="9"/>
        <v>NL</v>
      </c>
      <c r="B68" s="453">
        <f t="shared" si="10"/>
        <v>46</v>
      </c>
      <c r="C68" s="192" t="s">
        <v>1067</v>
      </c>
      <c r="D68" s="290" t="s">
        <v>349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8"/>
    </row>
    <row r="69" spans="1:13" ht="18.75" customHeight="1">
      <c r="A69" s="288" t="str">
        <f t="shared" si="9"/>
        <v>NL</v>
      </c>
      <c r="B69" s="453">
        <f t="shared" si="10"/>
        <v>47</v>
      </c>
      <c r="C69" s="40" t="s">
        <v>1172</v>
      </c>
      <c r="D69" s="290" t="s">
        <v>349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8"/>
    </row>
    <row r="70" spans="1:13" ht="18.75" customHeight="1">
      <c r="A70" s="288" t="str">
        <f t="shared" si="9"/>
        <v>NL</v>
      </c>
      <c r="B70" s="453">
        <f t="shared" si="10"/>
        <v>48</v>
      </c>
      <c r="C70" s="40" t="s">
        <v>1169</v>
      </c>
      <c r="D70" s="290" t="s">
        <v>349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8"/>
    </row>
    <row r="71" spans="1:13" ht="18.75" customHeight="1">
      <c r="A71" s="288" t="str">
        <f t="shared" si="9"/>
        <v>NL</v>
      </c>
      <c r="B71" s="453">
        <f t="shared" si="10"/>
        <v>49</v>
      </c>
      <c r="C71" s="40" t="s">
        <v>1168</v>
      </c>
      <c r="D71" s="290" t="s">
        <v>349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8"/>
    </row>
    <row r="72" spans="1:13" ht="18.75" customHeight="1">
      <c r="A72" s="288" t="str">
        <f t="shared" si="9"/>
        <v>NL</v>
      </c>
      <c r="B72" s="453">
        <f t="shared" si="10"/>
        <v>50</v>
      </c>
      <c r="C72" s="40" t="s">
        <v>1182</v>
      </c>
      <c r="D72" s="290" t="s">
        <v>349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8"/>
    </row>
    <row r="73" spans="1:13" ht="18.75" customHeight="1">
      <c r="A73" s="288" t="str">
        <f t="shared" si="9"/>
        <v>NL</v>
      </c>
      <c r="B73" s="453">
        <f t="shared" si="10"/>
        <v>51</v>
      </c>
      <c r="C73" s="192" t="s">
        <v>1068</v>
      </c>
      <c r="D73" s="290" t="s">
        <v>349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8"/>
    </row>
    <row r="74" spans="1:13" ht="18.75" customHeight="1">
      <c r="A74" s="288" t="str">
        <f t="shared" si="9"/>
        <v>NL</v>
      </c>
      <c r="B74" s="453">
        <f t="shared" si="10"/>
        <v>52</v>
      </c>
      <c r="C74" s="40" t="s">
        <v>1183</v>
      </c>
      <c r="D74" s="290" t="s">
        <v>349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8"/>
    </row>
    <row r="75" spans="1:13" ht="18.75" customHeight="1">
      <c r="A75" s="288" t="str">
        <f t="shared" si="9"/>
        <v>NL</v>
      </c>
      <c r="B75" s="453">
        <f t="shared" si="10"/>
        <v>53</v>
      </c>
      <c r="C75" s="40" t="s">
        <v>1180</v>
      </c>
      <c r="D75" s="290" t="s">
        <v>349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8"/>
    </row>
    <row r="76" spans="1:13" ht="18.75" customHeight="1">
      <c r="A76" s="288" t="str">
        <f t="shared" si="9"/>
        <v>NL</v>
      </c>
      <c r="B76" s="453">
        <f t="shared" si="10"/>
        <v>54</v>
      </c>
      <c r="C76" s="192" t="s">
        <v>1069</v>
      </c>
      <c r="D76" s="290" t="s">
        <v>349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8"/>
    </row>
    <row r="77" spans="1:13" ht="18.75" customHeight="1">
      <c r="A77" s="288" t="str">
        <f t="shared" si="9"/>
        <v>NL</v>
      </c>
      <c r="B77" s="453">
        <f t="shared" si="10"/>
        <v>55</v>
      </c>
      <c r="C77" s="192" t="s">
        <v>1070</v>
      </c>
      <c r="D77" s="290" t="s">
        <v>349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8"/>
    </row>
    <row r="78" spans="1:13" ht="18.75" customHeight="1">
      <c r="A78" s="288" t="str">
        <f t="shared" si="9"/>
        <v>NL</v>
      </c>
      <c r="B78" s="453">
        <f t="shared" si="10"/>
        <v>56</v>
      </c>
      <c r="C78" s="192" t="s">
        <v>1155</v>
      </c>
      <c r="D78" s="290" t="s">
        <v>349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8"/>
    </row>
    <row r="79" spans="1:13" ht="18.75" customHeight="1">
      <c r="A79" s="288" t="str">
        <f t="shared" si="9"/>
        <v>NL</v>
      </c>
      <c r="B79" s="453">
        <f t="shared" si="10"/>
        <v>57</v>
      </c>
      <c r="C79" s="40" t="s">
        <v>1166</v>
      </c>
      <c r="D79" s="290" t="s">
        <v>349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8"/>
    </row>
    <row r="80" spans="1:13" ht="18.75" customHeight="1">
      <c r="A80" s="288" t="str">
        <f t="shared" si="9"/>
        <v>NL</v>
      </c>
      <c r="B80" s="453">
        <f t="shared" si="10"/>
        <v>58</v>
      </c>
      <c r="C80" s="40" t="s">
        <v>1167</v>
      </c>
      <c r="D80" s="290" t="s">
        <v>349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8"/>
    </row>
    <row r="81" spans="1:13" ht="18.75" customHeight="1">
      <c r="A81" s="288" t="str">
        <f t="shared" si="9"/>
        <v>NL</v>
      </c>
      <c r="B81" s="453">
        <f t="shared" si="10"/>
        <v>59</v>
      </c>
      <c r="C81" s="192" t="s">
        <v>1071</v>
      </c>
      <c r="D81" s="290" t="s">
        <v>349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8"/>
    </row>
    <row r="82" spans="1:13" ht="18.75" customHeight="1">
      <c r="A82" s="288" t="str">
        <f t="shared" si="9"/>
        <v>NL</v>
      </c>
      <c r="B82" s="453">
        <f t="shared" si="10"/>
        <v>60</v>
      </c>
      <c r="C82" s="192" t="s">
        <v>1156</v>
      </c>
      <c r="D82" s="290" t="s">
        <v>349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8"/>
    </row>
    <row r="83" spans="1:13" ht="18.75" customHeight="1">
      <c r="A83" s="288" t="str">
        <f t="shared" si="9"/>
        <v>NL</v>
      </c>
      <c r="B83" s="453">
        <f t="shared" si="10"/>
        <v>61</v>
      </c>
      <c r="C83" s="40" t="s">
        <v>1171</v>
      </c>
      <c r="D83" s="290" t="s">
        <v>349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8"/>
    </row>
    <row r="84" spans="1:13" ht="18.75" customHeight="1">
      <c r="A84" s="288" t="str">
        <f t="shared" si="9"/>
        <v>NL</v>
      </c>
      <c r="B84" s="453">
        <f t="shared" si="10"/>
        <v>62</v>
      </c>
      <c r="C84" s="192" t="s">
        <v>1159</v>
      </c>
      <c r="D84" s="290" t="s">
        <v>349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8"/>
    </row>
    <row r="85" spans="1:13" ht="18.75" customHeight="1">
      <c r="A85" s="288" t="str">
        <f t="shared" si="9"/>
        <v>NL</v>
      </c>
      <c r="B85" s="453">
        <f t="shared" si="10"/>
        <v>63</v>
      </c>
      <c r="C85" s="40" t="s">
        <v>1176</v>
      </c>
      <c r="D85" s="290" t="s">
        <v>349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8"/>
    </row>
    <row r="86" spans="1:13" ht="18.75" customHeight="1">
      <c r="A86" s="288" t="str">
        <f t="shared" si="9"/>
        <v>NL</v>
      </c>
      <c r="B86" s="453">
        <f t="shared" si="10"/>
        <v>64</v>
      </c>
      <c r="C86" s="40" t="s">
        <v>1177</v>
      </c>
      <c r="D86" s="290" t="s">
        <v>349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8"/>
    </row>
    <row r="87" spans="1:13" ht="18.75" customHeight="1">
      <c r="A87" s="288" t="str">
        <f t="shared" ref="A87:A92" si="13">IF(B87&lt;&gt;"","NL","")</f>
        <v>NL</v>
      </c>
      <c r="B87" s="453">
        <f t="shared" ref="B87:B118" si="14">IF(C87&lt;&gt;"",B86+1,"")</f>
        <v>65</v>
      </c>
      <c r="C87" s="40" t="s">
        <v>1178</v>
      </c>
      <c r="D87" s="290" t="s">
        <v>349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8"/>
    </row>
    <row r="88" spans="1:13" ht="18.75" customHeight="1">
      <c r="A88" s="288" t="str">
        <f t="shared" si="13"/>
        <v>NL</v>
      </c>
      <c r="B88" s="453">
        <f t="shared" si="14"/>
        <v>66</v>
      </c>
      <c r="C88" s="40" t="s">
        <v>1179</v>
      </c>
      <c r="D88" s="290" t="s">
        <v>349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8"/>
    </row>
    <row r="89" spans="1:13" ht="18.75" customHeight="1">
      <c r="A89" s="288" t="str">
        <f t="shared" si="13"/>
        <v>NL</v>
      </c>
      <c r="B89" s="453">
        <f t="shared" si="14"/>
        <v>67</v>
      </c>
      <c r="C89" s="40" t="s">
        <v>1173</v>
      </c>
      <c r="D89" s="290" t="s">
        <v>349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8"/>
    </row>
    <row r="90" spans="1:13" ht="18.75" customHeight="1">
      <c r="A90" s="288" t="str">
        <f t="shared" si="13"/>
        <v>NL</v>
      </c>
      <c r="B90" s="453">
        <f t="shared" si="14"/>
        <v>68</v>
      </c>
      <c r="C90" s="40" t="s">
        <v>1175</v>
      </c>
      <c r="D90" s="290" t="s">
        <v>349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8"/>
    </row>
    <row r="91" spans="1:13" ht="18.75" customHeight="1">
      <c r="A91" s="288" t="str">
        <f t="shared" si="13"/>
        <v>NL</v>
      </c>
      <c r="B91" s="453">
        <f t="shared" si="14"/>
        <v>69</v>
      </c>
      <c r="C91" s="192" t="s">
        <v>1161</v>
      </c>
      <c r="D91" s="290" t="s">
        <v>349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8"/>
    </row>
    <row r="92" spans="1:13" ht="18.75" customHeight="1">
      <c r="A92" s="288" t="str">
        <f t="shared" si="13"/>
        <v>NL</v>
      </c>
      <c r="B92" s="453">
        <f t="shared" si="14"/>
        <v>70</v>
      </c>
      <c r="C92" s="192" t="s">
        <v>1160</v>
      </c>
      <c r="D92" s="290" t="s">
        <v>349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8"/>
    </row>
    <row r="93" spans="1:13" ht="18.75" customHeight="1">
      <c r="A93" s="288" t="str">
        <f t="shared" ref="A93:A117" si="17">IF(B93&lt;&gt;"","NL","")</f>
        <v>NL</v>
      </c>
      <c r="B93" s="453">
        <f t="shared" si="14"/>
        <v>71</v>
      </c>
      <c r="C93" s="192" t="s">
        <v>1162</v>
      </c>
      <c r="D93" s="290" t="s">
        <v>349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8"/>
    </row>
    <row r="94" spans="1:13" ht="18.75" customHeight="1">
      <c r="A94" s="288" t="str">
        <f t="shared" si="17"/>
        <v>NL</v>
      </c>
      <c r="B94" s="453">
        <f t="shared" si="14"/>
        <v>72</v>
      </c>
      <c r="C94" s="40" t="s">
        <v>1170</v>
      </c>
      <c r="D94" s="290" t="s">
        <v>349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8"/>
    </row>
    <row r="95" spans="1:13" ht="18.75" customHeight="1">
      <c r="A95" s="288" t="str">
        <f t="shared" si="17"/>
        <v>NL</v>
      </c>
      <c r="B95" s="453">
        <f t="shared" si="14"/>
        <v>73</v>
      </c>
      <c r="C95" s="40" t="s">
        <v>1181</v>
      </c>
      <c r="D95" s="290" t="s">
        <v>349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8"/>
    </row>
    <row r="96" spans="1:13" ht="18.75" customHeight="1">
      <c r="A96" s="288" t="str">
        <f t="shared" si="17"/>
        <v>NL</v>
      </c>
      <c r="B96" s="453">
        <f t="shared" si="14"/>
        <v>74</v>
      </c>
      <c r="C96" s="40" t="s">
        <v>1174</v>
      </c>
      <c r="D96" s="290" t="s">
        <v>349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8"/>
    </row>
    <row r="97" spans="1:13" ht="18.75" customHeight="1">
      <c r="A97" s="288" t="str">
        <f t="shared" si="17"/>
        <v>NL</v>
      </c>
      <c r="B97" s="453">
        <f t="shared" si="14"/>
        <v>75</v>
      </c>
      <c r="C97" s="189" t="s">
        <v>1152</v>
      </c>
      <c r="D97" s="290" t="s">
        <v>349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8"/>
    </row>
    <row r="98" spans="1:13" ht="18.75" customHeight="1">
      <c r="A98" s="288" t="str">
        <f t="shared" si="17"/>
        <v>NL</v>
      </c>
      <c r="B98" s="453">
        <f t="shared" si="14"/>
        <v>76</v>
      </c>
      <c r="C98" s="189" t="s">
        <v>1151</v>
      </c>
      <c r="D98" s="290" t="s">
        <v>349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8"/>
    </row>
    <row r="99" spans="1:13" ht="18.75" customHeight="1">
      <c r="A99" s="288" t="str">
        <f t="shared" si="17"/>
        <v>NL</v>
      </c>
      <c r="B99" s="453">
        <f t="shared" si="14"/>
        <v>77</v>
      </c>
      <c r="C99" s="776" t="s">
        <v>1142</v>
      </c>
      <c r="D99" s="290" t="s">
        <v>349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8"/>
    </row>
    <row r="100" spans="1:13" ht="18.75" customHeight="1">
      <c r="A100" s="288" t="str">
        <f t="shared" si="17"/>
        <v>NL</v>
      </c>
      <c r="B100" s="453">
        <f t="shared" si="14"/>
        <v>78</v>
      </c>
      <c r="C100" s="189" t="s">
        <v>1153</v>
      </c>
      <c r="D100" s="290" t="s">
        <v>349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8"/>
    </row>
    <row r="101" spans="1:13" ht="18.75" customHeight="1">
      <c r="A101" s="288" t="str">
        <f t="shared" si="17"/>
        <v>NL</v>
      </c>
      <c r="B101" s="453">
        <f t="shared" si="14"/>
        <v>79</v>
      </c>
      <c r="C101" s="189" t="s">
        <v>1150</v>
      </c>
      <c r="D101" s="290" t="s">
        <v>349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8"/>
    </row>
    <row r="102" spans="1:13" ht="18.75" customHeight="1">
      <c r="A102" s="288" t="str">
        <f t="shared" si="17"/>
        <v>NL</v>
      </c>
      <c r="B102" s="453">
        <f t="shared" si="14"/>
        <v>80</v>
      </c>
      <c r="C102" s="189" t="s">
        <v>1149</v>
      </c>
      <c r="D102" s="290" t="s">
        <v>349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8"/>
    </row>
    <row r="103" spans="1:13" ht="18.75" customHeight="1">
      <c r="A103" s="288" t="str">
        <f t="shared" si="17"/>
        <v>NL</v>
      </c>
      <c r="B103" s="453">
        <f t="shared" si="14"/>
        <v>81</v>
      </c>
      <c r="C103" s="189" t="s">
        <v>1098</v>
      </c>
      <c r="D103" s="290" t="s">
        <v>349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8"/>
    </row>
    <row r="104" spans="1:13" ht="18.75" customHeight="1">
      <c r="A104" s="288" t="str">
        <f t="shared" si="17"/>
        <v>NL</v>
      </c>
      <c r="B104" s="453">
        <f t="shared" si="14"/>
        <v>82</v>
      </c>
      <c r="C104" s="189" t="s">
        <v>1148</v>
      </c>
      <c r="D104" s="290" t="s">
        <v>349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8"/>
    </row>
    <row r="105" spans="1:13" ht="18.75" customHeight="1">
      <c r="A105" s="288" t="str">
        <f t="shared" si="17"/>
        <v>NL</v>
      </c>
      <c r="B105" s="453">
        <f t="shared" si="14"/>
        <v>83</v>
      </c>
      <c r="C105" s="189" t="s">
        <v>1100</v>
      </c>
      <c r="D105" s="290" t="s">
        <v>349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8"/>
    </row>
    <row r="106" spans="1:13" ht="18.75" customHeight="1">
      <c r="A106" s="288" t="str">
        <f t="shared" si="17"/>
        <v>NL</v>
      </c>
      <c r="B106" s="453">
        <f t="shared" si="14"/>
        <v>84</v>
      </c>
      <c r="C106" s="189" t="s">
        <v>1097</v>
      </c>
      <c r="D106" s="290" t="s">
        <v>349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8"/>
    </row>
    <row r="107" spans="1:13" ht="18.75" customHeight="1">
      <c r="A107" s="288" t="str">
        <f t="shared" si="17"/>
        <v>NL</v>
      </c>
      <c r="B107" s="453">
        <f t="shared" si="14"/>
        <v>85</v>
      </c>
      <c r="C107" s="189" t="s">
        <v>1096</v>
      </c>
      <c r="D107" s="290" t="s">
        <v>349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8"/>
    </row>
    <row r="108" spans="1:13" ht="18.75" customHeight="1">
      <c r="A108" s="288" t="str">
        <f t="shared" si="17"/>
        <v>NL</v>
      </c>
      <c r="B108" s="453">
        <f t="shared" si="14"/>
        <v>86</v>
      </c>
      <c r="C108" s="40" t="s">
        <v>1195</v>
      </c>
      <c r="D108" s="290" t="s">
        <v>349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8"/>
    </row>
    <row r="109" spans="1:13" ht="18.75" customHeight="1">
      <c r="A109" s="288" t="str">
        <f t="shared" si="17"/>
        <v>NL</v>
      </c>
      <c r="B109" s="453">
        <f t="shared" si="14"/>
        <v>87</v>
      </c>
      <c r="C109" s="189" t="s">
        <v>1099</v>
      </c>
      <c r="D109" s="290" t="s">
        <v>349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8"/>
    </row>
    <row r="110" spans="1:13" ht="18.75" customHeight="1">
      <c r="A110" s="288" t="str">
        <f t="shared" si="17"/>
        <v>NL</v>
      </c>
      <c r="B110" s="453">
        <f t="shared" si="14"/>
        <v>88</v>
      </c>
      <c r="C110" s="40" t="s">
        <v>1194</v>
      </c>
      <c r="D110" s="290" t="s">
        <v>349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8"/>
    </row>
    <row r="111" spans="1:13" ht="18.75" customHeight="1">
      <c r="A111" s="288" t="str">
        <f t="shared" si="17"/>
        <v>NL</v>
      </c>
      <c r="B111" s="453">
        <f t="shared" si="14"/>
        <v>89</v>
      </c>
      <c r="C111" s="189" t="s">
        <v>1093</v>
      </c>
      <c r="D111" s="290" t="s">
        <v>349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8"/>
    </row>
    <row r="112" spans="1:13" ht="18.75" customHeight="1">
      <c r="A112" s="288" t="str">
        <f t="shared" si="17"/>
        <v>NL</v>
      </c>
      <c r="B112" s="453">
        <f t="shared" si="14"/>
        <v>90</v>
      </c>
      <c r="C112" s="189" t="s">
        <v>1094</v>
      </c>
      <c r="D112" s="290" t="s">
        <v>349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8"/>
    </row>
    <row r="113" spans="1:16" ht="18.75" customHeight="1">
      <c r="A113" s="288" t="str">
        <f t="shared" si="17"/>
        <v>NL</v>
      </c>
      <c r="B113" s="453">
        <f t="shared" si="14"/>
        <v>91</v>
      </c>
      <c r="C113" s="189" t="s">
        <v>1095</v>
      </c>
      <c r="D113" s="290" t="s">
        <v>349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8"/>
    </row>
    <row r="114" spans="1:16" ht="18.75" customHeight="1">
      <c r="A114" s="288" t="str">
        <f t="shared" si="17"/>
        <v>NL</v>
      </c>
      <c r="B114" s="453">
        <f t="shared" si="14"/>
        <v>92</v>
      </c>
      <c r="C114" s="192" t="s">
        <v>997</v>
      </c>
      <c r="D114" s="290" t="s">
        <v>349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8"/>
      <c r="P114" s="935"/>
    </row>
    <row r="115" spans="1:16" ht="18.75" customHeight="1">
      <c r="A115" s="288" t="str">
        <f t="shared" si="17"/>
        <v>NL</v>
      </c>
      <c r="B115" s="453">
        <f t="shared" si="14"/>
        <v>93</v>
      </c>
      <c r="C115" s="192" t="s">
        <v>995</v>
      </c>
      <c r="D115" s="290" t="s">
        <v>349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8"/>
      <c r="P115" s="935"/>
    </row>
    <row r="116" spans="1:16" ht="18.75" customHeight="1">
      <c r="A116" s="288" t="str">
        <f t="shared" si="17"/>
        <v>NL</v>
      </c>
      <c r="B116" s="453">
        <f t="shared" si="14"/>
        <v>94</v>
      </c>
      <c r="C116" s="192" t="s">
        <v>1004</v>
      </c>
      <c r="D116" s="290" t="s">
        <v>349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8"/>
      <c r="P116" s="935"/>
    </row>
    <row r="117" spans="1:16" ht="18.75" customHeight="1">
      <c r="A117" s="288" t="str">
        <f t="shared" si="17"/>
        <v>NL</v>
      </c>
      <c r="B117" s="453">
        <f t="shared" si="14"/>
        <v>95</v>
      </c>
      <c r="C117" s="189" t="s">
        <v>1141</v>
      </c>
      <c r="D117" s="290" t="s">
        <v>349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8"/>
    </row>
    <row r="118" spans="1:16" ht="18.75" customHeight="1">
      <c r="A118" s="288" t="str">
        <f t="shared" ref="A118" si="20">IF(B118&lt;&gt;"","NL","")</f>
        <v/>
      </c>
      <c r="B118" s="453" t="str">
        <f t="shared" si="14"/>
        <v/>
      </c>
      <c r="C118" s="291"/>
      <c r="D118" s="290"/>
      <c r="E118" s="8"/>
      <c r="F118" s="8"/>
      <c r="G118" s="25"/>
      <c r="H118" s="25"/>
      <c r="I118" s="25"/>
      <c r="J118" s="25"/>
      <c r="K118" s="8"/>
      <c r="L118" s="8"/>
      <c r="M118" s="288"/>
    </row>
    <row r="119" spans="1:16" ht="18.75" customHeight="1">
      <c r="A119" s="288" t="str">
        <f t="shared" ref="A119" si="21">IF(B119&lt;&gt;"","NL","")</f>
        <v/>
      </c>
      <c r="B119" s="287"/>
      <c r="C119" s="295" t="s">
        <v>333</v>
      </c>
      <c r="D119" s="287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8"/>
    </row>
    <row r="120" spans="1:16" ht="18.75" customHeight="1">
      <c r="A120" s="288"/>
      <c r="B120" s="454"/>
      <c r="C120" s="455"/>
      <c r="D120" s="454"/>
      <c r="E120" s="456"/>
      <c r="F120" s="456">
        <f>F119-CDPS!C20</f>
        <v>0</v>
      </c>
      <c r="G120" s="456"/>
      <c r="H120" s="456">
        <f>H119-CDPS!E20</f>
        <v>0</v>
      </c>
      <c r="I120" s="456"/>
      <c r="J120" s="456">
        <f>J119-CDPS!F20</f>
        <v>0</v>
      </c>
      <c r="K120" s="456"/>
      <c r="L120" s="456">
        <f>L119-CDPS!G20</f>
        <v>0</v>
      </c>
      <c r="M120" s="288"/>
    </row>
    <row r="121" spans="1:16" ht="18.75" customHeight="1">
      <c r="A121" s="288" t="str">
        <f t="shared" ref="A121:A184" si="23">IF(B121&lt;&gt;"","TP","")</f>
        <v>TP</v>
      </c>
      <c r="B121" s="297">
        <f t="shared" ref="B121:B184" si="24">IF(C121&lt;&gt;"",B120+1,"")</f>
        <v>1</v>
      </c>
      <c r="C121" s="192" t="s">
        <v>764</v>
      </c>
      <c r="D121" s="290" t="s">
        <v>349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8"/>
    </row>
    <row r="122" spans="1:16" ht="18.75" customHeight="1">
      <c r="A122" s="288" t="str">
        <f t="shared" si="23"/>
        <v>TP</v>
      </c>
      <c r="B122" s="297">
        <f t="shared" si="24"/>
        <v>2</v>
      </c>
      <c r="C122" s="192" t="s">
        <v>1157</v>
      </c>
      <c r="D122" s="290" t="s">
        <v>349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8"/>
    </row>
    <row r="123" spans="1:16" ht="18.75" customHeight="1">
      <c r="A123" s="288" t="str">
        <f t="shared" si="23"/>
        <v>TP</v>
      </c>
      <c r="B123" s="297">
        <f t="shared" si="24"/>
        <v>3</v>
      </c>
      <c r="C123" s="189" t="s">
        <v>796</v>
      </c>
      <c r="D123" s="290" t="s">
        <v>349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8"/>
    </row>
    <row r="124" spans="1:16" ht="18.75" customHeight="1">
      <c r="A124" s="288" t="str">
        <f t="shared" si="23"/>
        <v>TP</v>
      </c>
      <c r="B124" s="297">
        <f t="shared" si="24"/>
        <v>4</v>
      </c>
      <c r="C124" s="189" t="s">
        <v>834</v>
      </c>
      <c r="D124" s="290" t="s">
        <v>349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8"/>
    </row>
    <row r="125" spans="1:16" ht="18.75" customHeight="1">
      <c r="A125" s="288" t="str">
        <f t="shared" si="23"/>
        <v>TP</v>
      </c>
      <c r="B125" s="297">
        <f t="shared" si="24"/>
        <v>5</v>
      </c>
      <c r="C125" s="291" t="s">
        <v>647</v>
      </c>
      <c r="D125" s="290" t="s">
        <v>349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8"/>
    </row>
    <row r="126" spans="1:16" ht="18.75" customHeight="1">
      <c r="A126" s="288" t="str">
        <f t="shared" si="23"/>
        <v>TP</v>
      </c>
      <c r="B126" s="297">
        <f t="shared" si="24"/>
        <v>6</v>
      </c>
      <c r="C126" s="291" t="s">
        <v>649</v>
      </c>
      <c r="D126" s="290" t="s">
        <v>349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8"/>
    </row>
    <row r="127" spans="1:16" ht="18.75" customHeight="1">
      <c r="A127" s="288" t="str">
        <f t="shared" si="23"/>
        <v>TP</v>
      </c>
      <c r="B127" s="297">
        <f t="shared" si="24"/>
        <v>7</v>
      </c>
      <c r="C127" s="189" t="s">
        <v>644</v>
      </c>
      <c r="D127" s="290" t="s">
        <v>349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8"/>
    </row>
    <row r="128" spans="1:16" ht="18.75" customHeight="1">
      <c r="A128" s="288" t="str">
        <f t="shared" si="23"/>
        <v>TP</v>
      </c>
      <c r="B128" s="297">
        <f t="shared" si="24"/>
        <v>8</v>
      </c>
      <c r="C128" s="189" t="s">
        <v>830</v>
      </c>
      <c r="D128" s="290" t="s">
        <v>349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8"/>
    </row>
    <row r="129" spans="1:13" ht="18.75" customHeight="1">
      <c r="A129" s="288" t="str">
        <f t="shared" si="23"/>
        <v>TP</v>
      </c>
      <c r="B129" s="297">
        <f t="shared" si="24"/>
        <v>9</v>
      </c>
      <c r="C129" s="189" t="s">
        <v>648</v>
      </c>
      <c r="D129" s="290" t="s">
        <v>349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8"/>
    </row>
    <row r="130" spans="1:13" ht="18.75" customHeight="1">
      <c r="A130" s="288" t="str">
        <f t="shared" si="23"/>
        <v>TP</v>
      </c>
      <c r="B130" s="297">
        <f t="shared" si="24"/>
        <v>10</v>
      </c>
      <c r="C130" s="189" t="s">
        <v>833</v>
      </c>
      <c r="D130" s="290" t="s">
        <v>349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8"/>
    </row>
    <row r="131" spans="1:13" ht="18.75" customHeight="1">
      <c r="A131" s="288" t="str">
        <f t="shared" si="23"/>
        <v>TP</v>
      </c>
      <c r="B131" s="297">
        <f t="shared" si="24"/>
        <v>11</v>
      </c>
      <c r="C131" s="192" t="s">
        <v>728</v>
      </c>
      <c r="D131" s="290" t="s">
        <v>1381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8"/>
    </row>
    <row r="132" spans="1:13" ht="18.75" customHeight="1">
      <c r="A132" s="288" t="str">
        <f t="shared" si="23"/>
        <v>TP</v>
      </c>
      <c r="B132" s="297">
        <f t="shared" si="24"/>
        <v>12</v>
      </c>
      <c r="C132" s="192" t="s">
        <v>727</v>
      </c>
      <c r="D132" s="290" t="s">
        <v>1381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8"/>
    </row>
    <row r="133" spans="1:13" ht="18.75" customHeight="1">
      <c r="A133" s="288" t="str">
        <f t="shared" si="23"/>
        <v>TP</v>
      </c>
      <c r="B133" s="297">
        <f t="shared" si="24"/>
        <v>13</v>
      </c>
      <c r="C133" s="192" t="s">
        <v>1200</v>
      </c>
      <c r="D133" s="290" t="s">
        <v>349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8"/>
    </row>
    <row r="134" spans="1:13" ht="18.75" customHeight="1">
      <c r="A134" s="288" t="str">
        <f t="shared" si="23"/>
        <v>TP</v>
      </c>
      <c r="B134" s="297">
        <f t="shared" si="24"/>
        <v>14</v>
      </c>
      <c r="C134" s="189" t="s">
        <v>524</v>
      </c>
      <c r="D134" s="290" t="s">
        <v>349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8"/>
    </row>
    <row r="135" spans="1:13" ht="18.75" customHeight="1">
      <c r="A135" s="288" t="str">
        <f t="shared" si="23"/>
        <v>TP</v>
      </c>
      <c r="B135" s="297">
        <f t="shared" si="24"/>
        <v>15</v>
      </c>
      <c r="C135" s="40" t="s">
        <v>1204</v>
      </c>
      <c r="D135" s="290" t="s">
        <v>349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8"/>
    </row>
    <row r="136" spans="1:13" ht="18.75" customHeight="1">
      <c r="A136" s="288" t="str">
        <f t="shared" si="23"/>
        <v>TP</v>
      </c>
      <c r="B136" s="297">
        <f t="shared" si="24"/>
        <v>16</v>
      </c>
      <c r="C136" s="192" t="s">
        <v>623</v>
      </c>
      <c r="D136" s="290" t="s">
        <v>349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8"/>
    </row>
    <row r="137" spans="1:13" ht="18.75" customHeight="1">
      <c r="A137" s="288" t="str">
        <f t="shared" si="23"/>
        <v>TP</v>
      </c>
      <c r="B137" s="297">
        <f t="shared" si="24"/>
        <v>17</v>
      </c>
      <c r="C137" s="189" t="s">
        <v>1203</v>
      </c>
      <c r="D137" s="290" t="s">
        <v>349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8"/>
    </row>
    <row r="138" spans="1:13" ht="18.75" customHeight="1">
      <c r="A138" s="288" t="str">
        <f t="shared" si="23"/>
        <v>TP</v>
      </c>
      <c r="B138" s="297">
        <f t="shared" si="24"/>
        <v>18</v>
      </c>
      <c r="C138" s="189" t="s">
        <v>1201</v>
      </c>
      <c r="D138" s="290" t="s">
        <v>349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8"/>
    </row>
    <row r="139" spans="1:13" ht="18.75" customHeight="1">
      <c r="A139" s="288" t="str">
        <f t="shared" si="23"/>
        <v>TP</v>
      </c>
      <c r="B139" s="297">
        <f t="shared" si="24"/>
        <v>19</v>
      </c>
      <c r="C139" s="40" t="s">
        <v>1205</v>
      </c>
      <c r="D139" s="290" t="s">
        <v>349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8"/>
    </row>
    <row r="140" spans="1:13" ht="18.75" customHeight="1">
      <c r="A140" s="288" t="str">
        <f t="shared" si="23"/>
        <v>TP</v>
      </c>
      <c r="B140" s="297">
        <f t="shared" si="24"/>
        <v>20</v>
      </c>
      <c r="C140" s="40" t="s">
        <v>445</v>
      </c>
      <c r="D140" s="290" t="s">
        <v>349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8"/>
    </row>
    <row r="141" spans="1:13" ht="18.75" customHeight="1">
      <c r="A141" s="288" t="str">
        <f t="shared" si="23"/>
        <v>TP</v>
      </c>
      <c r="B141" s="297">
        <f t="shared" si="24"/>
        <v>21</v>
      </c>
      <c r="C141" s="189" t="s">
        <v>1202</v>
      </c>
      <c r="D141" s="290" t="s">
        <v>349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8"/>
    </row>
    <row r="142" spans="1:13" ht="18.75" customHeight="1">
      <c r="A142" s="288" t="str">
        <f t="shared" si="23"/>
        <v>TP</v>
      </c>
      <c r="B142" s="297">
        <f t="shared" si="24"/>
        <v>22</v>
      </c>
      <c r="C142" s="192" t="s">
        <v>746</v>
      </c>
      <c r="D142" s="290" t="s">
        <v>349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8"/>
    </row>
    <row r="143" spans="1:13" ht="18.75" customHeight="1">
      <c r="A143" s="288" t="str">
        <f t="shared" si="23"/>
        <v>TP</v>
      </c>
      <c r="B143" s="297">
        <f t="shared" si="24"/>
        <v>23</v>
      </c>
      <c r="C143" s="192" t="s">
        <v>1199</v>
      </c>
      <c r="D143" s="290" t="s">
        <v>349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8"/>
    </row>
    <row r="144" spans="1:13" ht="18.75" customHeight="1">
      <c r="A144" s="288" t="str">
        <f t="shared" si="23"/>
        <v>TP</v>
      </c>
      <c r="B144" s="297">
        <f t="shared" si="24"/>
        <v>24</v>
      </c>
      <c r="C144" s="189" t="s">
        <v>813</v>
      </c>
      <c r="D144" s="296" t="s">
        <v>1381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8"/>
    </row>
    <row r="145" spans="1:13" ht="18.75" customHeight="1">
      <c r="A145" s="288" t="str">
        <f t="shared" si="23"/>
        <v>TP</v>
      </c>
      <c r="B145" s="297">
        <f t="shared" si="24"/>
        <v>25</v>
      </c>
      <c r="C145" s="192" t="s">
        <v>819</v>
      </c>
      <c r="D145" s="296" t="s">
        <v>1381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8"/>
    </row>
    <row r="146" spans="1:13" ht="18.75" customHeight="1">
      <c r="A146" s="288" t="str">
        <f t="shared" si="23"/>
        <v>TP</v>
      </c>
      <c r="B146" s="297">
        <f t="shared" si="24"/>
        <v>26</v>
      </c>
      <c r="C146" s="189" t="s">
        <v>815</v>
      </c>
      <c r="D146" s="296" t="s">
        <v>1381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8"/>
    </row>
    <row r="147" spans="1:13" ht="18.75" customHeight="1">
      <c r="A147" s="288" t="str">
        <f t="shared" si="23"/>
        <v>TP</v>
      </c>
      <c r="B147" s="297">
        <f t="shared" si="24"/>
        <v>27</v>
      </c>
      <c r="C147" s="40" t="s">
        <v>772</v>
      </c>
      <c r="D147" s="296" t="s">
        <v>1381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8"/>
    </row>
    <row r="148" spans="1:13" ht="18.75" customHeight="1">
      <c r="A148" s="288" t="str">
        <f t="shared" si="23"/>
        <v>TP</v>
      </c>
      <c r="B148" s="297">
        <f t="shared" si="24"/>
        <v>28</v>
      </c>
      <c r="C148" s="192" t="s">
        <v>889</v>
      </c>
      <c r="D148" s="296" t="s">
        <v>1381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8"/>
    </row>
    <row r="149" spans="1:13" ht="18.75" customHeight="1">
      <c r="A149" s="288" t="str">
        <f t="shared" si="23"/>
        <v>TP</v>
      </c>
      <c r="B149" s="297">
        <f t="shared" si="24"/>
        <v>29</v>
      </c>
      <c r="C149" s="192" t="s">
        <v>738</v>
      </c>
      <c r="D149" s="296" t="s">
        <v>1381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8"/>
    </row>
    <row r="150" spans="1:13" ht="18.75" customHeight="1">
      <c r="A150" s="288" t="str">
        <f t="shared" si="23"/>
        <v>TP</v>
      </c>
      <c r="B150" s="297">
        <f t="shared" si="24"/>
        <v>30</v>
      </c>
      <c r="C150" s="192" t="s">
        <v>887</v>
      </c>
      <c r="D150" s="296" t="s">
        <v>1381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8"/>
    </row>
    <row r="151" spans="1:13" ht="18.75" customHeight="1">
      <c r="A151" s="288" t="str">
        <f t="shared" si="23"/>
        <v>TP</v>
      </c>
      <c r="B151" s="297">
        <f t="shared" si="24"/>
        <v>31</v>
      </c>
      <c r="C151" s="192" t="s">
        <v>888</v>
      </c>
      <c r="D151" s="296" t="s">
        <v>1381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8"/>
    </row>
    <row r="152" spans="1:13" ht="18.75" customHeight="1">
      <c r="A152" s="288" t="str">
        <f t="shared" si="23"/>
        <v>TP</v>
      </c>
      <c r="B152" s="297">
        <f t="shared" si="24"/>
        <v>32</v>
      </c>
      <c r="C152" s="40" t="s">
        <v>544</v>
      </c>
      <c r="D152" s="296" t="s">
        <v>1381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8"/>
    </row>
    <row r="153" spans="1:13" ht="18.75" customHeight="1">
      <c r="A153" s="288" t="str">
        <f t="shared" si="23"/>
        <v>TP</v>
      </c>
      <c r="B153" s="297">
        <f t="shared" si="24"/>
        <v>33</v>
      </c>
      <c r="C153" s="40" t="s">
        <v>547</v>
      </c>
      <c r="D153" s="296" t="s">
        <v>1381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8"/>
    </row>
    <row r="154" spans="1:13" ht="18.75" customHeight="1">
      <c r="A154" s="288" t="str">
        <f t="shared" si="23"/>
        <v>TP</v>
      </c>
      <c r="B154" s="297">
        <f t="shared" si="24"/>
        <v>34</v>
      </c>
      <c r="C154" s="192" t="s">
        <v>884</v>
      </c>
      <c r="D154" s="296" t="s">
        <v>1381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8"/>
    </row>
    <row r="155" spans="1:13" ht="18.75" customHeight="1">
      <c r="A155" s="288" t="str">
        <f t="shared" si="23"/>
        <v>TP</v>
      </c>
      <c r="B155" s="297">
        <f t="shared" si="24"/>
        <v>35</v>
      </c>
      <c r="C155" s="189" t="s">
        <v>475</v>
      </c>
      <c r="D155" s="296" t="s">
        <v>1381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8"/>
    </row>
    <row r="156" spans="1:13" ht="18.75" customHeight="1">
      <c r="A156" s="288" t="str">
        <f t="shared" si="23"/>
        <v>TP</v>
      </c>
      <c r="B156" s="297">
        <f t="shared" si="24"/>
        <v>36</v>
      </c>
      <c r="C156" s="192" t="s">
        <v>639</v>
      </c>
      <c r="D156" s="296" t="s">
        <v>1381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8"/>
    </row>
    <row r="157" spans="1:13" ht="18.75" customHeight="1">
      <c r="A157" s="288" t="str">
        <f t="shared" si="23"/>
        <v>TP</v>
      </c>
      <c r="B157" s="297">
        <f t="shared" si="24"/>
        <v>37</v>
      </c>
      <c r="C157" s="189" t="s">
        <v>479</v>
      </c>
      <c r="D157" s="296" t="s">
        <v>1381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8"/>
    </row>
    <row r="158" spans="1:13" ht="18.75" customHeight="1">
      <c r="A158" s="288" t="str">
        <f t="shared" si="23"/>
        <v>TP</v>
      </c>
      <c r="B158" s="297">
        <f t="shared" si="24"/>
        <v>38</v>
      </c>
      <c r="C158" s="189" t="s">
        <v>785</v>
      </c>
      <c r="D158" s="296" t="s">
        <v>1381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8"/>
    </row>
    <row r="159" spans="1:13" ht="18.75" customHeight="1">
      <c r="A159" s="288" t="str">
        <f t="shared" si="23"/>
        <v>TP</v>
      </c>
      <c r="B159" s="297">
        <f t="shared" si="24"/>
        <v>39</v>
      </c>
      <c r="C159" s="189" t="s">
        <v>780</v>
      </c>
      <c r="D159" s="296" t="s">
        <v>1381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8"/>
    </row>
    <row r="160" spans="1:13" ht="18.75" customHeight="1">
      <c r="A160" s="288" t="str">
        <f t="shared" si="23"/>
        <v>TP</v>
      </c>
      <c r="B160" s="297">
        <f t="shared" si="24"/>
        <v>40</v>
      </c>
      <c r="C160" s="40" t="s">
        <v>551</v>
      </c>
      <c r="D160" s="296" t="s">
        <v>1381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8"/>
    </row>
    <row r="161" spans="1:13" ht="18.75" customHeight="1">
      <c r="A161" s="288" t="str">
        <f t="shared" si="23"/>
        <v>TP</v>
      </c>
      <c r="B161" s="297">
        <f t="shared" si="24"/>
        <v>41</v>
      </c>
      <c r="C161" s="189" t="s">
        <v>466</v>
      </c>
      <c r="D161" s="296" t="s">
        <v>1381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8"/>
    </row>
    <row r="162" spans="1:13" ht="18.75" customHeight="1">
      <c r="A162" s="288" t="str">
        <f t="shared" si="23"/>
        <v>TP</v>
      </c>
      <c r="B162" s="297">
        <f t="shared" si="24"/>
        <v>42</v>
      </c>
      <c r="C162" s="192" t="s">
        <v>666</v>
      </c>
      <c r="D162" s="296" t="s">
        <v>1381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8"/>
    </row>
    <row r="163" spans="1:13" ht="18.75" customHeight="1">
      <c r="A163" s="288" t="str">
        <f t="shared" si="23"/>
        <v>TP</v>
      </c>
      <c r="B163" s="297">
        <f t="shared" si="24"/>
        <v>43</v>
      </c>
      <c r="C163" s="192" t="s">
        <v>664</v>
      </c>
      <c r="D163" s="296" t="s">
        <v>1381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8"/>
    </row>
    <row r="164" spans="1:13" ht="18.75" customHeight="1">
      <c r="A164" s="288" t="str">
        <f t="shared" si="23"/>
        <v>TP</v>
      </c>
      <c r="B164" s="297">
        <f t="shared" si="24"/>
        <v>44</v>
      </c>
      <c r="C164" s="189" t="s">
        <v>879</v>
      </c>
      <c r="D164" s="296" t="s">
        <v>1381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8"/>
    </row>
    <row r="165" spans="1:13" ht="18.75" customHeight="1">
      <c r="A165" s="288" t="str">
        <f t="shared" si="23"/>
        <v>TP</v>
      </c>
      <c r="B165" s="297">
        <f t="shared" si="24"/>
        <v>45</v>
      </c>
      <c r="C165" s="40" t="s">
        <v>470</v>
      </c>
      <c r="D165" s="296" t="s">
        <v>1381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8"/>
    </row>
    <row r="166" spans="1:13" ht="18.75" customHeight="1">
      <c r="A166" s="288" t="str">
        <f t="shared" si="23"/>
        <v>TP</v>
      </c>
      <c r="B166" s="297">
        <f t="shared" si="24"/>
        <v>46</v>
      </c>
      <c r="C166" s="189" t="s">
        <v>485</v>
      </c>
      <c r="D166" s="296" t="s">
        <v>1381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8"/>
    </row>
    <row r="167" spans="1:13" ht="18.75" customHeight="1">
      <c r="A167" s="288" t="str">
        <f t="shared" si="23"/>
        <v>TP</v>
      </c>
      <c r="B167" s="297">
        <f t="shared" si="24"/>
        <v>47</v>
      </c>
      <c r="C167" s="192" t="s">
        <v>693</v>
      </c>
      <c r="D167" s="296" t="s">
        <v>1381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8"/>
    </row>
    <row r="168" spans="1:13" ht="18.75" customHeight="1">
      <c r="A168" s="288" t="str">
        <f t="shared" si="23"/>
        <v>TP</v>
      </c>
      <c r="B168" s="297">
        <f t="shared" si="24"/>
        <v>48</v>
      </c>
      <c r="C168" s="189" t="s">
        <v>512</v>
      </c>
      <c r="D168" s="296" t="s">
        <v>1381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8"/>
    </row>
    <row r="169" spans="1:13" ht="18.75" customHeight="1">
      <c r="A169" s="288" t="str">
        <f t="shared" si="23"/>
        <v>TP</v>
      </c>
      <c r="B169" s="297">
        <f t="shared" si="24"/>
        <v>49</v>
      </c>
      <c r="C169" s="192" t="s">
        <v>805</v>
      </c>
      <c r="D169" s="296" t="s">
        <v>1381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8"/>
    </row>
    <row r="170" spans="1:13" ht="18.75" customHeight="1">
      <c r="A170" s="288" t="str">
        <f t="shared" si="23"/>
        <v>TP</v>
      </c>
      <c r="B170" s="297">
        <f t="shared" si="24"/>
        <v>50</v>
      </c>
      <c r="C170" s="192" t="s">
        <v>634</v>
      </c>
      <c r="D170" s="296" t="s">
        <v>1381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8"/>
    </row>
    <row r="171" spans="1:13" ht="18.75" customHeight="1">
      <c r="A171" s="288" t="str">
        <f t="shared" si="23"/>
        <v>TP</v>
      </c>
      <c r="B171" s="297">
        <f t="shared" si="24"/>
        <v>51</v>
      </c>
      <c r="C171" s="192" t="s">
        <v>630</v>
      </c>
      <c r="D171" s="296" t="s">
        <v>1381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8"/>
    </row>
    <row r="172" spans="1:13" ht="18.75" customHeight="1">
      <c r="A172" s="288" t="str">
        <f t="shared" si="23"/>
        <v>TP</v>
      </c>
      <c r="B172" s="297">
        <f t="shared" si="24"/>
        <v>52</v>
      </c>
      <c r="C172" s="40" t="s">
        <v>548</v>
      </c>
      <c r="D172" s="296" t="s">
        <v>1381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8"/>
    </row>
    <row r="173" spans="1:13" ht="18.75" customHeight="1">
      <c r="A173" s="288" t="str">
        <f t="shared" si="23"/>
        <v>TP</v>
      </c>
      <c r="B173" s="297">
        <f t="shared" si="24"/>
        <v>53</v>
      </c>
      <c r="C173" s="40" t="s">
        <v>810</v>
      </c>
      <c r="D173" s="296" t="s">
        <v>1381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8"/>
    </row>
    <row r="174" spans="1:13" ht="18.75" customHeight="1">
      <c r="A174" s="288" t="str">
        <f t="shared" si="23"/>
        <v>TP</v>
      </c>
      <c r="B174" s="297">
        <f t="shared" si="24"/>
        <v>54</v>
      </c>
      <c r="C174" s="192" t="s">
        <v>612</v>
      </c>
      <c r="D174" s="296" t="s">
        <v>1381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8"/>
    </row>
    <row r="175" spans="1:13" ht="18.75" customHeight="1">
      <c r="A175" s="288" t="str">
        <f t="shared" si="23"/>
        <v>TP</v>
      </c>
      <c r="B175" s="297">
        <f t="shared" si="24"/>
        <v>55</v>
      </c>
      <c r="C175" s="189" t="s">
        <v>492</v>
      </c>
      <c r="D175" s="296" t="s">
        <v>1381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8"/>
    </row>
    <row r="176" spans="1:13" ht="18.75" customHeight="1">
      <c r="A176" s="288" t="str">
        <f t="shared" si="23"/>
        <v>TP</v>
      </c>
      <c r="B176" s="297">
        <f t="shared" si="24"/>
        <v>56</v>
      </c>
      <c r="C176" s="189" t="s">
        <v>537</v>
      </c>
      <c r="D176" s="296" t="s">
        <v>1381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8"/>
    </row>
    <row r="177" spans="1:13" ht="18.75" customHeight="1">
      <c r="A177" s="288" t="str">
        <f t="shared" si="23"/>
        <v>TP</v>
      </c>
      <c r="B177" s="297">
        <f t="shared" si="24"/>
        <v>57</v>
      </c>
      <c r="C177" s="189" t="s">
        <v>480</v>
      </c>
      <c r="D177" s="296" t="s">
        <v>1381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8"/>
    </row>
    <row r="178" spans="1:13" ht="18.75" customHeight="1">
      <c r="A178" s="288" t="str">
        <f t="shared" si="23"/>
        <v>TP</v>
      </c>
      <c r="B178" s="297">
        <f t="shared" si="24"/>
        <v>58</v>
      </c>
      <c r="C178" s="192" t="s">
        <v>615</v>
      </c>
      <c r="D178" s="296" t="s">
        <v>1381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8"/>
    </row>
    <row r="179" spans="1:13" ht="18.75" customHeight="1">
      <c r="A179" s="288" t="str">
        <f t="shared" si="23"/>
        <v>TP</v>
      </c>
      <c r="B179" s="297">
        <f t="shared" si="24"/>
        <v>59</v>
      </c>
      <c r="C179" s="189" t="s">
        <v>575</v>
      </c>
      <c r="D179" s="296" t="s">
        <v>1381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8"/>
    </row>
    <row r="180" spans="1:13" ht="18.75" customHeight="1">
      <c r="A180" s="288" t="str">
        <f t="shared" si="23"/>
        <v>TP</v>
      </c>
      <c r="B180" s="297">
        <f t="shared" si="24"/>
        <v>60</v>
      </c>
      <c r="C180" s="189" t="s">
        <v>577</v>
      </c>
      <c r="D180" s="296" t="s">
        <v>1381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8"/>
    </row>
    <row r="181" spans="1:13" ht="18.75" customHeight="1">
      <c r="A181" s="288" t="str">
        <f t="shared" si="23"/>
        <v>TP</v>
      </c>
      <c r="B181" s="297">
        <f t="shared" si="24"/>
        <v>61</v>
      </c>
      <c r="C181" s="189" t="s">
        <v>563</v>
      </c>
      <c r="D181" s="296" t="s">
        <v>1381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8"/>
    </row>
    <row r="182" spans="1:13" ht="18.75" customHeight="1">
      <c r="A182" s="288" t="str">
        <f t="shared" si="23"/>
        <v>TP</v>
      </c>
      <c r="B182" s="297">
        <f t="shared" si="24"/>
        <v>62</v>
      </c>
      <c r="C182" s="40" t="s">
        <v>873</v>
      </c>
      <c r="D182" s="296" t="s">
        <v>1381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8"/>
    </row>
    <row r="183" spans="1:13" ht="18.75" customHeight="1">
      <c r="A183" s="288" t="str">
        <f t="shared" si="23"/>
        <v>TP</v>
      </c>
      <c r="B183" s="297">
        <f t="shared" si="24"/>
        <v>63</v>
      </c>
      <c r="C183" s="192" t="s">
        <v>767</v>
      </c>
      <c r="D183" s="296" t="s">
        <v>1381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8"/>
    </row>
    <row r="184" spans="1:13" ht="18.75" customHeight="1">
      <c r="A184" s="288" t="str">
        <f t="shared" si="23"/>
        <v>TP</v>
      </c>
      <c r="B184" s="297">
        <f t="shared" si="24"/>
        <v>64</v>
      </c>
      <c r="C184" s="40" t="s">
        <v>844</v>
      </c>
      <c r="D184" s="296" t="s">
        <v>1381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8"/>
    </row>
    <row r="185" spans="1:13" ht="18.75" customHeight="1">
      <c r="A185" s="288" t="str">
        <f t="shared" ref="A185:A248" si="27">IF(B185&lt;&gt;"","TP","")</f>
        <v>TP</v>
      </c>
      <c r="B185" s="297">
        <f t="shared" ref="B185:B248" si="28">IF(C185&lt;&gt;"",B184+1,"")</f>
        <v>65</v>
      </c>
      <c r="C185" s="189" t="s">
        <v>568</v>
      </c>
      <c r="D185" s="296" t="s">
        <v>1381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8"/>
    </row>
    <row r="186" spans="1:13" ht="18.75" customHeight="1">
      <c r="A186" s="288" t="str">
        <f t="shared" si="27"/>
        <v>TP</v>
      </c>
      <c r="B186" s="297">
        <f t="shared" si="28"/>
        <v>66</v>
      </c>
      <c r="C186" s="189" t="s">
        <v>417</v>
      </c>
      <c r="D186" s="296" t="s">
        <v>1381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8"/>
    </row>
    <row r="187" spans="1:13" ht="18.75" customHeight="1">
      <c r="A187" s="288" t="str">
        <f t="shared" si="27"/>
        <v>TP</v>
      </c>
      <c r="B187" s="297">
        <f t="shared" si="28"/>
        <v>67</v>
      </c>
      <c r="C187" s="192" t="s">
        <v>724</v>
      </c>
      <c r="D187" s="296" t="s">
        <v>1381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8"/>
    </row>
    <row r="188" spans="1:13" ht="18.75" customHeight="1">
      <c r="A188" s="288" t="str">
        <f t="shared" si="27"/>
        <v>TP</v>
      </c>
      <c r="B188" s="297">
        <f t="shared" si="28"/>
        <v>68</v>
      </c>
      <c r="C188" s="192" t="s">
        <v>868</v>
      </c>
      <c r="D188" s="296" t="s">
        <v>1381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8"/>
    </row>
    <row r="189" spans="1:13" ht="18.75" customHeight="1">
      <c r="A189" s="288" t="str">
        <f t="shared" si="27"/>
        <v>TP</v>
      </c>
      <c r="B189" s="297">
        <f t="shared" si="28"/>
        <v>69</v>
      </c>
      <c r="C189" s="192" t="s">
        <v>652</v>
      </c>
      <c r="D189" s="296" t="s">
        <v>1381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8"/>
    </row>
    <row r="190" spans="1:13" ht="18.75" customHeight="1">
      <c r="A190" s="288" t="str">
        <f t="shared" si="27"/>
        <v>TP</v>
      </c>
      <c r="B190" s="297">
        <f t="shared" si="28"/>
        <v>70</v>
      </c>
      <c r="C190" s="192" t="s">
        <v>703</v>
      </c>
      <c r="D190" s="296" t="s">
        <v>1381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8"/>
    </row>
    <row r="191" spans="1:13" ht="18.75" customHeight="1">
      <c r="A191" s="288" t="str">
        <f t="shared" si="27"/>
        <v>TP</v>
      </c>
      <c r="B191" s="297">
        <f t="shared" si="28"/>
        <v>71</v>
      </c>
      <c r="C191" s="192" t="s">
        <v>706</v>
      </c>
      <c r="D191" s="296" t="s">
        <v>1381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8"/>
    </row>
    <row r="192" spans="1:13" ht="18.75" customHeight="1">
      <c r="A192" s="288" t="str">
        <f t="shared" si="27"/>
        <v>TP</v>
      </c>
      <c r="B192" s="297">
        <f t="shared" si="28"/>
        <v>72</v>
      </c>
      <c r="C192" s="192" t="s">
        <v>866</v>
      </c>
      <c r="D192" s="296" t="s">
        <v>1381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8"/>
    </row>
    <row r="193" spans="1:13" ht="18.75" customHeight="1">
      <c r="A193" s="288" t="str">
        <f t="shared" si="27"/>
        <v>TP</v>
      </c>
      <c r="B193" s="297">
        <f t="shared" si="28"/>
        <v>73</v>
      </c>
      <c r="C193" s="192" t="s">
        <v>741</v>
      </c>
      <c r="D193" s="296" t="s">
        <v>1381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8"/>
    </row>
    <row r="194" spans="1:13" ht="18.75" customHeight="1">
      <c r="A194" s="288" t="str">
        <f t="shared" si="27"/>
        <v>TP</v>
      </c>
      <c r="B194" s="297">
        <f t="shared" si="28"/>
        <v>74</v>
      </c>
      <c r="C194" s="192" t="s">
        <v>668</v>
      </c>
      <c r="D194" s="296" t="s">
        <v>1381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8"/>
    </row>
    <row r="195" spans="1:13" ht="18.75" customHeight="1">
      <c r="A195" s="288" t="str">
        <f t="shared" si="27"/>
        <v>TP</v>
      </c>
      <c r="B195" s="297">
        <f t="shared" si="28"/>
        <v>75</v>
      </c>
      <c r="C195" s="192" t="s">
        <v>523</v>
      </c>
      <c r="D195" s="296" t="s">
        <v>1381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8"/>
    </row>
    <row r="196" spans="1:13" ht="18.75" customHeight="1">
      <c r="A196" s="288" t="str">
        <f t="shared" si="27"/>
        <v>TP</v>
      </c>
      <c r="B196" s="297">
        <f t="shared" si="28"/>
        <v>76</v>
      </c>
      <c r="C196" s="189" t="s">
        <v>562</v>
      </c>
      <c r="D196" s="296" t="s">
        <v>1381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8"/>
    </row>
    <row r="197" spans="1:13" ht="18.75" customHeight="1">
      <c r="A197" s="288" t="str">
        <f t="shared" si="27"/>
        <v>TP</v>
      </c>
      <c r="B197" s="297">
        <f t="shared" si="28"/>
        <v>77</v>
      </c>
      <c r="C197" s="189" t="s">
        <v>478</v>
      </c>
      <c r="D197" s="296" t="s">
        <v>1381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8"/>
    </row>
    <row r="198" spans="1:13" ht="18.75" customHeight="1">
      <c r="A198" s="288" t="str">
        <f t="shared" si="27"/>
        <v>TP</v>
      </c>
      <c r="B198" s="297">
        <f t="shared" si="28"/>
        <v>78</v>
      </c>
      <c r="C198" s="192" t="s">
        <v>631</v>
      </c>
      <c r="D198" s="296" t="s">
        <v>1381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8"/>
    </row>
    <row r="199" spans="1:13" ht="18.75" customHeight="1">
      <c r="A199" s="288" t="str">
        <f t="shared" si="27"/>
        <v>TP</v>
      </c>
      <c r="B199" s="297">
        <f t="shared" si="28"/>
        <v>79</v>
      </c>
      <c r="C199" s="189" t="s">
        <v>491</v>
      </c>
      <c r="D199" s="296" t="s">
        <v>1381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8"/>
    </row>
    <row r="200" spans="1:13" ht="18.75" customHeight="1">
      <c r="A200" s="288" t="str">
        <f t="shared" si="27"/>
        <v>TP</v>
      </c>
      <c r="B200" s="297">
        <f t="shared" si="28"/>
        <v>80</v>
      </c>
      <c r="C200" s="189" t="s">
        <v>883</v>
      </c>
      <c r="D200" s="296" t="s">
        <v>1381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8"/>
    </row>
    <row r="201" spans="1:13" ht="18.75" customHeight="1">
      <c r="A201" s="288" t="str">
        <f t="shared" si="27"/>
        <v>TP</v>
      </c>
      <c r="B201" s="297">
        <f t="shared" si="28"/>
        <v>81</v>
      </c>
      <c r="C201" s="192" t="s">
        <v>620</v>
      </c>
      <c r="D201" s="296" t="s">
        <v>1381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8"/>
    </row>
    <row r="202" spans="1:13" ht="18.75" customHeight="1">
      <c r="A202" s="288" t="str">
        <f t="shared" si="27"/>
        <v>TP</v>
      </c>
      <c r="B202" s="297">
        <f t="shared" si="28"/>
        <v>82</v>
      </c>
      <c r="C202" s="189" t="s">
        <v>540</v>
      </c>
      <c r="D202" s="296" t="s">
        <v>1381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8"/>
    </row>
    <row r="203" spans="1:13" ht="18.75" customHeight="1">
      <c r="A203" s="288" t="str">
        <f t="shared" si="27"/>
        <v>TP</v>
      </c>
      <c r="B203" s="297">
        <f t="shared" si="28"/>
        <v>83</v>
      </c>
      <c r="C203" s="189" t="s">
        <v>847</v>
      </c>
      <c r="D203" s="296" t="s">
        <v>1381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8"/>
    </row>
    <row r="204" spans="1:13" ht="18.75" customHeight="1">
      <c r="A204" s="288" t="str">
        <f t="shared" si="27"/>
        <v>TP</v>
      </c>
      <c r="B204" s="297">
        <f t="shared" si="28"/>
        <v>84</v>
      </c>
      <c r="C204" s="291" t="s">
        <v>848</v>
      </c>
      <c r="D204" s="296" t="s">
        <v>1381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8"/>
    </row>
    <row r="205" spans="1:13" ht="18.75" customHeight="1">
      <c r="A205" s="288" t="str">
        <f t="shared" si="27"/>
        <v>TP</v>
      </c>
      <c r="B205" s="297">
        <f t="shared" si="28"/>
        <v>85</v>
      </c>
      <c r="C205" s="291" t="s">
        <v>508</v>
      </c>
      <c r="D205" s="296" t="s">
        <v>1381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8"/>
    </row>
    <row r="206" spans="1:13" ht="18.75" customHeight="1">
      <c r="A206" s="288" t="str">
        <f t="shared" si="27"/>
        <v>TP</v>
      </c>
      <c r="B206" s="297">
        <f t="shared" si="28"/>
        <v>86</v>
      </c>
      <c r="C206" s="40" t="s">
        <v>584</v>
      </c>
      <c r="D206" s="296" t="s">
        <v>1381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8"/>
    </row>
    <row r="207" spans="1:13" ht="18.75" customHeight="1">
      <c r="A207" s="288" t="str">
        <f t="shared" si="27"/>
        <v>TP</v>
      </c>
      <c r="B207" s="297">
        <f t="shared" si="28"/>
        <v>87</v>
      </c>
      <c r="C207" s="192" t="s">
        <v>606</v>
      </c>
      <c r="D207" s="296" t="s">
        <v>1381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8"/>
    </row>
    <row r="208" spans="1:13" ht="18.75" customHeight="1">
      <c r="A208" s="288" t="str">
        <f t="shared" si="27"/>
        <v>TP</v>
      </c>
      <c r="B208" s="297">
        <f t="shared" si="28"/>
        <v>88</v>
      </c>
      <c r="C208" s="189" t="s">
        <v>871</v>
      </c>
      <c r="D208" s="296" t="s">
        <v>1381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8"/>
    </row>
    <row r="209" spans="1:13" ht="18.75" customHeight="1">
      <c r="A209" s="288" t="str">
        <f t="shared" si="27"/>
        <v>TP</v>
      </c>
      <c r="B209" s="297">
        <f t="shared" si="28"/>
        <v>89</v>
      </c>
      <c r="C209" s="192" t="s">
        <v>735</v>
      </c>
      <c r="D209" s="296" t="s">
        <v>1381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8"/>
    </row>
    <row r="210" spans="1:13" ht="18.75" customHeight="1">
      <c r="A210" s="288" t="str">
        <f t="shared" si="27"/>
        <v>TP</v>
      </c>
      <c r="B210" s="297">
        <f t="shared" si="28"/>
        <v>90</v>
      </c>
      <c r="C210" s="192" t="s">
        <v>662</v>
      </c>
      <c r="D210" s="296" t="s">
        <v>1381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8"/>
    </row>
    <row r="211" spans="1:13" ht="18.75" customHeight="1">
      <c r="A211" s="288" t="str">
        <f t="shared" si="27"/>
        <v>TP</v>
      </c>
      <c r="B211" s="297">
        <f t="shared" si="28"/>
        <v>91</v>
      </c>
      <c r="C211" s="189" t="s">
        <v>423</v>
      </c>
      <c r="D211" s="296" t="s">
        <v>1381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8"/>
    </row>
    <row r="212" spans="1:13" ht="18.75" customHeight="1">
      <c r="A212" s="288" t="str">
        <f t="shared" si="27"/>
        <v>TP</v>
      </c>
      <c r="B212" s="297">
        <f t="shared" si="28"/>
        <v>92</v>
      </c>
      <c r="C212" s="40" t="s">
        <v>496</v>
      </c>
      <c r="D212" s="296" t="s">
        <v>1381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8"/>
    </row>
    <row r="213" spans="1:13" ht="18.75" customHeight="1">
      <c r="A213" s="288" t="str">
        <f t="shared" si="27"/>
        <v>TP</v>
      </c>
      <c r="B213" s="297">
        <f t="shared" si="28"/>
        <v>93</v>
      </c>
      <c r="C213" s="189" t="s">
        <v>488</v>
      </c>
      <c r="D213" s="296" t="s">
        <v>1381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8"/>
    </row>
    <row r="214" spans="1:13" ht="18.75" customHeight="1">
      <c r="A214" s="288" t="str">
        <f t="shared" si="27"/>
        <v>TP</v>
      </c>
      <c r="B214" s="297">
        <f t="shared" si="28"/>
        <v>94</v>
      </c>
      <c r="C214" s="192" t="s">
        <v>708</v>
      </c>
      <c r="D214" s="296" t="s">
        <v>1381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8"/>
    </row>
    <row r="215" spans="1:13" ht="18.75" customHeight="1">
      <c r="A215" s="288" t="str">
        <f t="shared" si="27"/>
        <v>TP</v>
      </c>
      <c r="B215" s="297">
        <f t="shared" si="28"/>
        <v>95</v>
      </c>
      <c r="C215" s="189" t="s">
        <v>521</v>
      </c>
      <c r="D215" s="296" t="s">
        <v>1381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8"/>
    </row>
    <row r="216" spans="1:13" ht="18.75" customHeight="1">
      <c r="A216" s="288" t="str">
        <f t="shared" si="27"/>
        <v>TP</v>
      </c>
      <c r="B216" s="297">
        <f t="shared" si="28"/>
        <v>96</v>
      </c>
      <c r="C216" s="189" t="s">
        <v>486</v>
      </c>
      <c r="D216" s="296" t="s">
        <v>1381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8"/>
    </row>
    <row r="217" spans="1:13" ht="18.75" customHeight="1">
      <c r="A217" s="288" t="str">
        <f t="shared" si="27"/>
        <v>TP</v>
      </c>
      <c r="B217" s="297">
        <f t="shared" si="28"/>
        <v>97</v>
      </c>
      <c r="C217" s="192" t="s">
        <v>710</v>
      </c>
      <c r="D217" s="296" t="s">
        <v>1381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8"/>
    </row>
    <row r="218" spans="1:13" ht="18.75" customHeight="1">
      <c r="A218" s="288" t="str">
        <f t="shared" si="27"/>
        <v>TP</v>
      </c>
      <c r="B218" s="297">
        <f t="shared" si="28"/>
        <v>98</v>
      </c>
      <c r="C218" s="192" t="s">
        <v>807</v>
      </c>
      <c r="D218" s="296" t="s">
        <v>1381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8"/>
    </row>
    <row r="219" spans="1:13" ht="18.75" customHeight="1">
      <c r="A219" s="288" t="str">
        <f t="shared" si="27"/>
        <v>TP</v>
      </c>
      <c r="B219" s="297">
        <f t="shared" si="28"/>
        <v>99</v>
      </c>
      <c r="C219" s="192" t="s">
        <v>694</v>
      </c>
      <c r="D219" s="296" t="s">
        <v>1381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8"/>
    </row>
    <row r="220" spans="1:13" ht="18.75" customHeight="1">
      <c r="A220" s="288" t="str">
        <f t="shared" si="27"/>
        <v>TP</v>
      </c>
      <c r="B220" s="297">
        <f t="shared" si="28"/>
        <v>100</v>
      </c>
      <c r="C220" s="189" t="s">
        <v>494</v>
      </c>
      <c r="D220" s="296" t="s">
        <v>1381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8"/>
    </row>
    <row r="221" spans="1:13" ht="18.75" customHeight="1">
      <c r="A221" s="288" t="str">
        <f t="shared" si="27"/>
        <v>TP</v>
      </c>
      <c r="B221" s="297">
        <f t="shared" si="28"/>
        <v>101</v>
      </c>
      <c r="C221" s="192" t="s">
        <v>610</v>
      </c>
      <c r="D221" s="296" t="s">
        <v>1381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8"/>
    </row>
    <row r="222" spans="1:13" ht="18.75" customHeight="1">
      <c r="A222" s="288" t="str">
        <f t="shared" si="27"/>
        <v>TP</v>
      </c>
      <c r="B222" s="297">
        <f t="shared" si="28"/>
        <v>102</v>
      </c>
      <c r="C222" s="192" t="s">
        <v>608</v>
      </c>
      <c r="D222" s="296" t="s">
        <v>1381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8"/>
    </row>
    <row r="223" spans="1:13" ht="18.75" customHeight="1">
      <c r="A223" s="288" t="str">
        <f t="shared" si="27"/>
        <v>TP</v>
      </c>
      <c r="B223" s="297">
        <f t="shared" si="28"/>
        <v>103</v>
      </c>
      <c r="C223" s="192" t="s">
        <v>709</v>
      </c>
      <c r="D223" s="296" t="s">
        <v>1381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8"/>
    </row>
    <row r="224" spans="1:13" ht="18.75" customHeight="1">
      <c r="A224" s="288" t="str">
        <f t="shared" si="27"/>
        <v>TP</v>
      </c>
      <c r="B224" s="297">
        <f t="shared" si="28"/>
        <v>104</v>
      </c>
      <c r="C224" s="189" t="s">
        <v>487</v>
      </c>
      <c r="D224" s="296" t="s">
        <v>1381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8"/>
    </row>
    <row r="225" spans="1:13" ht="18.75" customHeight="1">
      <c r="A225" s="288" t="str">
        <f t="shared" si="27"/>
        <v>TP</v>
      </c>
      <c r="B225" s="297">
        <f t="shared" si="28"/>
        <v>105</v>
      </c>
      <c r="C225" s="192" t="s">
        <v>595</v>
      </c>
      <c r="D225" s="296" t="s">
        <v>1381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8"/>
    </row>
    <row r="226" spans="1:13" ht="18.75" customHeight="1">
      <c r="A226" s="288" t="str">
        <f t="shared" si="27"/>
        <v>TP</v>
      </c>
      <c r="B226" s="297">
        <f t="shared" si="28"/>
        <v>106</v>
      </c>
      <c r="C226" s="192" t="s">
        <v>670</v>
      </c>
      <c r="D226" s="296" t="s">
        <v>1381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8"/>
    </row>
    <row r="227" spans="1:13" ht="18.75" customHeight="1">
      <c r="A227" s="288" t="str">
        <f t="shared" si="27"/>
        <v>TP</v>
      </c>
      <c r="B227" s="297">
        <f t="shared" si="28"/>
        <v>107</v>
      </c>
      <c r="C227" s="189" t="s">
        <v>850</v>
      </c>
      <c r="D227" s="296" t="s">
        <v>1381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8"/>
    </row>
    <row r="228" spans="1:13" ht="18.75" customHeight="1">
      <c r="A228" s="288" t="str">
        <f t="shared" si="27"/>
        <v>TP</v>
      </c>
      <c r="B228" s="297">
        <f t="shared" si="28"/>
        <v>108</v>
      </c>
      <c r="C228" s="189" t="s">
        <v>851</v>
      </c>
      <c r="D228" s="296" t="s">
        <v>1381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8"/>
    </row>
    <row r="229" spans="1:13" ht="18.75" customHeight="1">
      <c r="A229" s="288" t="str">
        <f t="shared" si="27"/>
        <v>TP</v>
      </c>
      <c r="B229" s="297">
        <f t="shared" si="28"/>
        <v>109</v>
      </c>
      <c r="C229" s="192" t="s">
        <v>726</v>
      </c>
      <c r="D229" s="296" t="s">
        <v>1381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8"/>
    </row>
    <row r="230" spans="1:13" ht="18.75" customHeight="1">
      <c r="A230" s="288" t="str">
        <f t="shared" si="27"/>
        <v>TP</v>
      </c>
      <c r="B230" s="297">
        <f t="shared" si="28"/>
        <v>110</v>
      </c>
      <c r="C230" s="192" t="s">
        <v>628</v>
      </c>
      <c r="D230" s="296" t="s">
        <v>1381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8"/>
    </row>
    <row r="231" spans="1:13" ht="18.75" customHeight="1">
      <c r="A231" s="288" t="str">
        <f t="shared" si="27"/>
        <v>TP</v>
      </c>
      <c r="B231" s="297">
        <f t="shared" si="28"/>
        <v>111</v>
      </c>
      <c r="C231" s="40" t="s">
        <v>586</v>
      </c>
      <c r="D231" s="296" t="s">
        <v>1381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8"/>
    </row>
    <row r="232" spans="1:13" ht="18.75" customHeight="1">
      <c r="A232" s="288" t="str">
        <f t="shared" si="27"/>
        <v>TP</v>
      </c>
      <c r="B232" s="297">
        <f t="shared" si="28"/>
        <v>112</v>
      </c>
      <c r="C232" s="40" t="s">
        <v>793</v>
      </c>
      <c r="D232" s="296" t="s">
        <v>1381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8"/>
    </row>
    <row r="233" spans="1:13" ht="18.75" customHeight="1">
      <c r="A233" s="288" t="str">
        <f t="shared" si="27"/>
        <v>TP</v>
      </c>
      <c r="B233" s="297">
        <f t="shared" si="28"/>
        <v>113</v>
      </c>
      <c r="C233" s="192" t="s">
        <v>598</v>
      </c>
      <c r="D233" s="296" t="s">
        <v>1381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8"/>
    </row>
    <row r="234" spans="1:13" ht="18.75" customHeight="1">
      <c r="A234" s="288" t="str">
        <f t="shared" si="27"/>
        <v>TP</v>
      </c>
      <c r="B234" s="297">
        <f t="shared" si="28"/>
        <v>114</v>
      </c>
      <c r="C234" s="192" t="s">
        <v>690</v>
      </c>
      <c r="D234" s="296" t="s">
        <v>1381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8"/>
    </row>
    <row r="235" spans="1:13" ht="18.75" customHeight="1">
      <c r="A235" s="288" t="str">
        <f t="shared" si="27"/>
        <v>TP</v>
      </c>
      <c r="B235" s="297">
        <f t="shared" si="28"/>
        <v>115</v>
      </c>
      <c r="C235" s="189" t="s">
        <v>1206</v>
      </c>
      <c r="D235" s="296" t="s">
        <v>1381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8"/>
    </row>
    <row r="236" spans="1:13" ht="18.75" customHeight="1">
      <c r="A236" s="288" t="str">
        <f t="shared" si="27"/>
        <v>TP</v>
      </c>
      <c r="B236" s="297">
        <f t="shared" si="28"/>
        <v>116</v>
      </c>
      <c r="C236" s="189" t="s">
        <v>789</v>
      </c>
      <c r="D236" s="296" t="s">
        <v>1381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8"/>
    </row>
    <row r="237" spans="1:13" ht="18.75" customHeight="1">
      <c r="A237" s="288" t="str">
        <f t="shared" si="27"/>
        <v>TP</v>
      </c>
      <c r="B237" s="297">
        <f t="shared" si="28"/>
        <v>117</v>
      </c>
      <c r="C237" s="192" t="s">
        <v>719</v>
      </c>
      <c r="D237" s="296" t="s">
        <v>1381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8"/>
    </row>
    <row r="238" spans="1:13" ht="18.75" customHeight="1">
      <c r="A238" s="288" t="str">
        <f t="shared" si="27"/>
        <v>TP</v>
      </c>
      <c r="B238" s="297">
        <f t="shared" si="28"/>
        <v>118</v>
      </c>
      <c r="C238" s="189" t="s">
        <v>574</v>
      </c>
      <c r="D238" s="296" t="s">
        <v>1381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8"/>
    </row>
    <row r="239" spans="1:13" ht="18.75" customHeight="1">
      <c r="A239" s="288" t="str">
        <f t="shared" si="27"/>
        <v>TP</v>
      </c>
      <c r="B239" s="297">
        <f t="shared" si="28"/>
        <v>119</v>
      </c>
      <c r="C239" s="189" t="s">
        <v>580</v>
      </c>
      <c r="D239" s="296" t="s">
        <v>1381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8"/>
    </row>
    <row r="240" spans="1:13" ht="18.75" customHeight="1">
      <c r="A240" s="288" t="str">
        <f t="shared" si="27"/>
        <v>TP</v>
      </c>
      <c r="B240" s="297">
        <f t="shared" si="28"/>
        <v>120</v>
      </c>
      <c r="C240" s="192" t="s">
        <v>707</v>
      </c>
      <c r="D240" s="296" t="s">
        <v>1381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8"/>
    </row>
    <row r="241" spans="1:13" ht="18.75" customHeight="1">
      <c r="A241" s="288" t="str">
        <f t="shared" si="27"/>
        <v>TP</v>
      </c>
      <c r="B241" s="297">
        <f t="shared" si="28"/>
        <v>121</v>
      </c>
      <c r="C241" s="40" t="s">
        <v>585</v>
      </c>
      <c r="D241" s="296" t="s">
        <v>1381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8"/>
    </row>
    <row r="242" spans="1:13" ht="18.75" customHeight="1">
      <c r="A242" s="288" t="str">
        <f t="shared" si="27"/>
        <v>TP</v>
      </c>
      <c r="B242" s="297">
        <f t="shared" si="28"/>
        <v>122</v>
      </c>
      <c r="C242" s="192" t="s">
        <v>865</v>
      </c>
      <c r="D242" s="296" t="s">
        <v>1381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8"/>
    </row>
    <row r="243" spans="1:13" ht="18.75" customHeight="1">
      <c r="A243" s="288" t="str">
        <f t="shared" si="27"/>
        <v>TP</v>
      </c>
      <c r="B243" s="297">
        <f t="shared" si="28"/>
        <v>123</v>
      </c>
      <c r="C243" s="189" t="s">
        <v>882</v>
      </c>
      <c r="D243" s="296" t="s">
        <v>1381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8"/>
    </row>
    <row r="244" spans="1:13" ht="18.75" customHeight="1">
      <c r="A244" s="288" t="str">
        <f t="shared" si="27"/>
        <v>TP</v>
      </c>
      <c r="B244" s="297">
        <f t="shared" si="28"/>
        <v>124</v>
      </c>
      <c r="C244" s="189" t="s">
        <v>519</v>
      </c>
      <c r="D244" s="296" t="s">
        <v>1381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8"/>
    </row>
    <row r="245" spans="1:13" ht="18.75" customHeight="1">
      <c r="A245" s="288" t="str">
        <f t="shared" si="27"/>
        <v>TP</v>
      </c>
      <c r="B245" s="297">
        <f t="shared" si="28"/>
        <v>125</v>
      </c>
      <c r="C245" s="189" t="s">
        <v>852</v>
      </c>
      <c r="D245" s="296" t="s">
        <v>1381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8"/>
    </row>
    <row r="246" spans="1:13" ht="18.75" customHeight="1">
      <c r="A246" s="288" t="str">
        <f t="shared" si="27"/>
        <v>TP</v>
      </c>
      <c r="B246" s="297">
        <f t="shared" si="28"/>
        <v>126</v>
      </c>
      <c r="C246" s="189" t="s">
        <v>571</v>
      </c>
      <c r="D246" s="296" t="s">
        <v>1381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8"/>
    </row>
    <row r="247" spans="1:13" ht="18.75" customHeight="1">
      <c r="A247" s="288" t="str">
        <f t="shared" si="27"/>
        <v>TP</v>
      </c>
      <c r="B247" s="297">
        <f t="shared" si="28"/>
        <v>127</v>
      </c>
      <c r="C247" s="192" t="s">
        <v>637</v>
      </c>
      <c r="D247" s="296" t="s">
        <v>1381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8"/>
    </row>
    <row r="248" spans="1:13" ht="18.75" customHeight="1">
      <c r="A248" s="288" t="str">
        <f t="shared" si="27"/>
        <v>TP</v>
      </c>
      <c r="B248" s="297">
        <f t="shared" si="28"/>
        <v>128</v>
      </c>
      <c r="C248" s="189" t="s">
        <v>775</v>
      </c>
      <c r="D248" s="296" t="s">
        <v>1381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8"/>
    </row>
    <row r="249" spans="1:13" ht="18.75" customHeight="1">
      <c r="A249" s="288" t="str">
        <f t="shared" ref="A249:A312" si="31">IF(B249&lt;&gt;"","TP","")</f>
        <v>TP</v>
      </c>
      <c r="B249" s="297">
        <f t="shared" ref="B249:B312" si="32">IF(C249&lt;&gt;"",B248+1,"")</f>
        <v>129</v>
      </c>
      <c r="C249" s="192" t="s">
        <v>657</v>
      </c>
      <c r="D249" s="296" t="s">
        <v>1381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8"/>
    </row>
    <row r="250" spans="1:13" ht="18.75" customHeight="1">
      <c r="A250" s="288" t="str">
        <f t="shared" si="31"/>
        <v>TP</v>
      </c>
      <c r="B250" s="297">
        <f t="shared" si="32"/>
        <v>130</v>
      </c>
      <c r="C250" s="192" t="s">
        <v>817</v>
      </c>
      <c r="D250" s="296" t="s">
        <v>1381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8"/>
    </row>
    <row r="251" spans="1:13" ht="18.75" customHeight="1">
      <c r="A251" s="288" t="str">
        <f t="shared" si="31"/>
        <v>TP</v>
      </c>
      <c r="B251" s="297">
        <f t="shared" si="32"/>
        <v>131</v>
      </c>
      <c r="C251" s="192" t="s">
        <v>622</v>
      </c>
      <c r="D251" s="296" t="s">
        <v>1381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8"/>
    </row>
    <row r="252" spans="1:13" ht="18.75" customHeight="1">
      <c r="A252" s="288" t="str">
        <f t="shared" si="31"/>
        <v>TP</v>
      </c>
      <c r="B252" s="297">
        <f t="shared" si="32"/>
        <v>132</v>
      </c>
      <c r="C252" s="192" t="s">
        <v>663</v>
      </c>
      <c r="D252" s="296" t="s">
        <v>1381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8"/>
    </row>
    <row r="253" spans="1:13" ht="18.75" customHeight="1">
      <c r="A253" s="288" t="str">
        <f t="shared" si="31"/>
        <v>TP</v>
      </c>
      <c r="B253" s="297">
        <f t="shared" si="32"/>
        <v>133</v>
      </c>
      <c r="C253" s="192" t="s">
        <v>597</v>
      </c>
      <c r="D253" s="296" t="s">
        <v>1381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8"/>
    </row>
    <row r="254" spans="1:13" ht="18.75" customHeight="1">
      <c r="A254" s="288" t="str">
        <f t="shared" si="31"/>
        <v>TP</v>
      </c>
      <c r="B254" s="297">
        <f t="shared" si="32"/>
        <v>134</v>
      </c>
      <c r="C254" s="189" t="s">
        <v>483</v>
      </c>
      <c r="D254" s="296" t="s">
        <v>1381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8"/>
    </row>
    <row r="255" spans="1:13" ht="18.75" customHeight="1">
      <c r="A255" s="288" t="str">
        <f t="shared" si="31"/>
        <v>TP</v>
      </c>
      <c r="B255" s="297">
        <f t="shared" si="32"/>
        <v>135</v>
      </c>
      <c r="C255" s="189" t="s">
        <v>436</v>
      </c>
      <c r="D255" s="296" t="s">
        <v>1381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8"/>
    </row>
    <row r="256" spans="1:13" ht="18.75" customHeight="1">
      <c r="A256" s="288" t="str">
        <f t="shared" si="31"/>
        <v>TP</v>
      </c>
      <c r="B256" s="297">
        <f t="shared" si="32"/>
        <v>136</v>
      </c>
      <c r="C256" s="189" t="s">
        <v>566</v>
      </c>
      <c r="D256" s="296" t="s">
        <v>1381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8"/>
    </row>
    <row r="257" spans="1:13" ht="18.75" customHeight="1">
      <c r="A257" s="288" t="str">
        <f t="shared" si="31"/>
        <v>TP</v>
      </c>
      <c r="B257" s="297">
        <f t="shared" si="32"/>
        <v>137</v>
      </c>
      <c r="C257" s="192" t="s">
        <v>603</v>
      </c>
      <c r="D257" s="296" t="s">
        <v>1381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8"/>
    </row>
    <row r="258" spans="1:13" ht="18.75" customHeight="1">
      <c r="A258" s="288" t="str">
        <f t="shared" si="31"/>
        <v>TP</v>
      </c>
      <c r="B258" s="297">
        <f t="shared" si="32"/>
        <v>138</v>
      </c>
      <c r="C258" s="192" t="s">
        <v>600</v>
      </c>
      <c r="D258" s="296" t="s">
        <v>1381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8"/>
    </row>
    <row r="259" spans="1:13" ht="18.75" customHeight="1">
      <c r="A259" s="288" t="str">
        <f t="shared" si="31"/>
        <v>TP</v>
      </c>
      <c r="B259" s="297">
        <f t="shared" si="32"/>
        <v>139</v>
      </c>
      <c r="C259" s="192" t="s">
        <v>655</v>
      </c>
      <c r="D259" s="296" t="s">
        <v>1381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8"/>
    </row>
    <row r="260" spans="1:13" ht="18.75" customHeight="1">
      <c r="A260" s="288" t="str">
        <f t="shared" si="31"/>
        <v>TP</v>
      </c>
      <c r="B260" s="297">
        <f t="shared" si="32"/>
        <v>140</v>
      </c>
      <c r="C260" s="189" t="s">
        <v>853</v>
      </c>
      <c r="D260" s="296" t="s">
        <v>1381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8"/>
    </row>
    <row r="261" spans="1:13" ht="18.75" customHeight="1">
      <c r="A261" s="288" t="str">
        <f t="shared" si="31"/>
        <v>TP</v>
      </c>
      <c r="B261" s="297">
        <f t="shared" si="32"/>
        <v>141</v>
      </c>
      <c r="C261" s="40" t="s">
        <v>527</v>
      </c>
      <c r="D261" s="296" t="s">
        <v>1381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8"/>
    </row>
    <row r="262" spans="1:13" ht="18.75" customHeight="1">
      <c r="A262" s="288" t="str">
        <f t="shared" si="31"/>
        <v>TP</v>
      </c>
      <c r="B262" s="297">
        <f t="shared" si="32"/>
        <v>142</v>
      </c>
      <c r="C262" s="192" t="s">
        <v>731</v>
      </c>
      <c r="D262" s="296" t="s">
        <v>1381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8"/>
    </row>
    <row r="263" spans="1:13" ht="18.75" customHeight="1">
      <c r="A263" s="288" t="str">
        <f t="shared" si="31"/>
        <v>TP</v>
      </c>
      <c r="B263" s="297">
        <f t="shared" si="32"/>
        <v>143</v>
      </c>
      <c r="C263" s="192" t="s">
        <v>632</v>
      </c>
      <c r="D263" s="296" t="s">
        <v>1381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8"/>
    </row>
    <row r="264" spans="1:13" ht="18.75" customHeight="1">
      <c r="A264" s="288" t="str">
        <f t="shared" si="31"/>
        <v>TP</v>
      </c>
      <c r="B264" s="297">
        <f t="shared" si="32"/>
        <v>144</v>
      </c>
      <c r="C264" s="189" t="s">
        <v>836</v>
      </c>
      <c r="D264" s="296" t="s">
        <v>1381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8"/>
    </row>
    <row r="265" spans="1:13" ht="18.75" customHeight="1">
      <c r="A265" s="288" t="str">
        <f t="shared" si="31"/>
        <v>TP</v>
      </c>
      <c r="B265" s="297">
        <f t="shared" si="32"/>
        <v>145</v>
      </c>
      <c r="C265" s="192" t="s">
        <v>621</v>
      </c>
      <c r="D265" s="296" t="s">
        <v>1381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8"/>
    </row>
    <row r="266" spans="1:13" ht="18.75" customHeight="1">
      <c r="A266" s="288" t="str">
        <f t="shared" si="31"/>
        <v>TP</v>
      </c>
      <c r="B266" s="297">
        <f t="shared" si="32"/>
        <v>146</v>
      </c>
      <c r="C266" s="192" t="s">
        <v>618</v>
      </c>
      <c r="D266" s="296" t="s">
        <v>1381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8"/>
    </row>
    <row r="267" spans="1:13" ht="18.75" customHeight="1">
      <c r="A267" s="288" t="str">
        <f t="shared" si="31"/>
        <v>TP</v>
      </c>
      <c r="B267" s="297">
        <f t="shared" si="32"/>
        <v>147</v>
      </c>
      <c r="C267" s="192" t="s">
        <v>674</v>
      </c>
      <c r="D267" s="296" t="s">
        <v>1381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8"/>
    </row>
    <row r="268" spans="1:13" ht="18.75" customHeight="1">
      <c r="A268" s="288" t="str">
        <f t="shared" si="31"/>
        <v>TP</v>
      </c>
      <c r="B268" s="297">
        <f t="shared" si="32"/>
        <v>148</v>
      </c>
      <c r="C268" s="192" t="s">
        <v>701</v>
      </c>
      <c r="D268" s="296" t="s">
        <v>1381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8"/>
    </row>
    <row r="269" spans="1:13" ht="18.75" customHeight="1">
      <c r="A269" s="288" t="str">
        <f t="shared" si="31"/>
        <v>TP</v>
      </c>
      <c r="B269" s="297">
        <f t="shared" si="32"/>
        <v>149</v>
      </c>
      <c r="C269" s="189" t="s">
        <v>779</v>
      </c>
      <c r="D269" s="296" t="s">
        <v>1381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8"/>
    </row>
    <row r="270" spans="1:13" ht="18.75" customHeight="1">
      <c r="A270" s="288" t="str">
        <f t="shared" si="31"/>
        <v>TP</v>
      </c>
      <c r="B270" s="297">
        <f t="shared" si="32"/>
        <v>150</v>
      </c>
      <c r="C270" s="189" t="s">
        <v>500</v>
      </c>
      <c r="D270" s="296" t="s">
        <v>1381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8"/>
    </row>
    <row r="271" spans="1:13" ht="18.75" customHeight="1">
      <c r="A271" s="288" t="str">
        <f t="shared" si="31"/>
        <v>TP</v>
      </c>
      <c r="B271" s="297">
        <f t="shared" si="32"/>
        <v>151</v>
      </c>
      <c r="C271" s="771" t="s">
        <v>503</v>
      </c>
      <c r="D271" s="296" t="s">
        <v>1381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8"/>
    </row>
    <row r="272" spans="1:13" ht="18.75" customHeight="1">
      <c r="A272" s="288" t="str">
        <f t="shared" si="31"/>
        <v>TP</v>
      </c>
      <c r="B272" s="297">
        <f t="shared" si="32"/>
        <v>152</v>
      </c>
      <c r="C272" s="189" t="s">
        <v>504</v>
      </c>
      <c r="D272" s="296" t="s">
        <v>1381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8"/>
    </row>
    <row r="273" spans="1:13" ht="18.75" customHeight="1">
      <c r="A273" s="288" t="str">
        <f t="shared" si="31"/>
        <v>TP</v>
      </c>
      <c r="B273" s="297">
        <f t="shared" si="32"/>
        <v>153</v>
      </c>
      <c r="C273" s="189" t="s">
        <v>754</v>
      </c>
      <c r="D273" s="296" t="s">
        <v>1381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8"/>
    </row>
    <row r="274" spans="1:13" ht="18.75" customHeight="1">
      <c r="A274" s="288" t="str">
        <f t="shared" si="31"/>
        <v>TP</v>
      </c>
      <c r="B274" s="297">
        <f t="shared" si="32"/>
        <v>154</v>
      </c>
      <c r="C274" s="192" t="s">
        <v>692</v>
      </c>
      <c r="D274" s="296" t="s">
        <v>1381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8"/>
    </row>
    <row r="275" spans="1:13" ht="18.75" customHeight="1">
      <c r="A275" s="288" t="str">
        <f t="shared" si="31"/>
        <v>TP</v>
      </c>
      <c r="B275" s="297">
        <f t="shared" si="32"/>
        <v>155</v>
      </c>
      <c r="C275" s="192" t="s">
        <v>705</v>
      </c>
      <c r="D275" s="296" t="s">
        <v>1381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8"/>
    </row>
    <row r="276" spans="1:13" ht="18.75" customHeight="1">
      <c r="A276" s="288" t="str">
        <f t="shared" si="31"/>
        <v>TP</v>
      </c>
      <c r="B276" s="297">
        <f t="shared" si="32"/>
        <v>156</v>
      </c>
      <c r="C276" s="189" t="s">
        <v>881</v>
      </c>
      <c r="D276" s="296" t="s">
        <v>1381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8"/>
    </row>
    <row r="277" spans="1:13" ht="18.75" customHeight="1">
      <c r="A277" s="288" t="str">
        <f t="shared" si="31"/>
        <v>TP</v>
      </c>
      <c r="B277" s="297">
        <f t="shared" si="32"/>
        <v>157</v>
      </c>
      <c r="C277" s="192" t="s">
        <v>739</v>
      </c>
      <c r="D277" s="296" t="s">
        <v>1381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8"/>
    </row>
    <row r="278" spans="1:13" ht="18.75" customHeight="1">
      <c r="A278" s="288" t="str">
        <f t="shared" si="31"/>
        <v>TP</v>
      </c>
      <c r="B278" s="297">
        <f t="shared" si="32"/>
        <v>158</v>
      </c>
      <c r="C278" s="189" t="s">
        <v>841</v>
      </c>
      <c r="D278" s="296" t="s">
        <v>1381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8"/>
    </row>
    <row r="279" spans="1:13" ht="18.75" customHeight="1">
      <c r="A279" s="288" t="str">
        <f t="shared" si="31"/>
        <v>TP</v>
      </c>
      <c r="B279" s="297">
        <f t="shared" si="32"/>
        <v>159</v>
      </c>
      <c r="C279" s="189" t="s">
        <v>825</v>
      </c>
      <c r="D279" s="296" t="s">
        <v>1381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8"/>
    </row>
    <row r="280" spans="1:13" ht="18.75" customHeight="1">
      <c r="A280" s="288" t="str">
        <f t="shared" si="31"/>
        <v>TP</v>
      </c>
      <c r="B280" s="297">
        <f t="shared" si="32"/>
        <v>160</v>
      </c>
      <c r="C280" s="192" t="s">
        <v>712</v>
      </c>
      <c r="D280" s="296" t="s">
        <v>1381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8"/>
    </row>
    <row r="281" spans="1:13" ht="18.75" customHeight="1">
      <c r="A281" s="288" t="str">
        <f t="shared" si="31"/>
        <v>TP</v>
      </c>
      <c r="B281" s="297">
        <f t="shared" si="32"/>
        <v>161</v>
      </c>
      <c r="C281" s="189" t="s">
        <v>573</v>
      </c>
      <c r="D281" s="296" t="s">
        <v>1381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8"/>
    </row>
    <row r="282" spans="1:13" ht="18.75" customHeight="1">
      <c r="A282" s="288" t="str">
        <f t="shared" si="31"/>
        <v>TP</v>
      </c>
      <c r="B282" s="297">
        <f t="shared" si="32"/>
        <v>162</v>
      </c>
      <c r="C282" s="192" t="s">
        <v>864</v>
      </c>
      <c r="D282" s="296" t="s">
        <v>1381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8"/>
    </row>
    <row r="283" spans="1:13" ht="18.75" customHeight="1">
      <c r="A283" s="288" t="str">
        <f t="shared" si="31"/>
        <v>TP</v>
      </c>
      <c r="B283" s="297">
        <f t="shared" si="32"/>
        <v>163</v>
      </c>
      <c r="C283" s="192" t="s">
        <v>863</v>
      </c>
      <c r="D283" s="296" t="s">
        <v>1381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8"/>
    </row>
    <row r="284" spans="1:13" ht="18.75" customHeight="1">
      <c r="A284" s="288" t="str">
        <f t="shared" si="31"/>
        <v>TP</v>
      </c>
      <c r="B284" s="297">
        <f t="shared" si="32"/>
        <v>164</v>
      </c>
      <c r="C284" s="189" t="s">
        <v>456</v>
      </c>
      <c r="D284" s="296" t="s">
        <v>1381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8"/>
    </row>
    <row r="285" spans="1:13" ht="18.75" customHeight="1">
      <c r="A285" s="288" t="str">
        <f t="shared" si="31"/>
        <v>TP</v>
      </c>
      <c r="B285" s="297">
        <f t="shared" si="32"/>
        <v>165</v>
      </c>
      <c r="C285" s="192" t="s">
        <v>604</v>
      </c>
      <c r="D285" s="296" t="s">
        <v>1381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8"/>
    </row>
    <row r="286" spans="1:13" ht="18.75" customHeight="1">
      <c r="A286" s="288" t="str">
        <f t="shared" si="31"/>
        <v>TP</v>
      </c>
      <c r="B286" s="297">
        <f t="shared" si="32"/>
        <v>166</v>
      </c>
      <c r="C286" s="189" t="s">
        <v>406</v>
      </c>
      <c r="D286" s="296" t="s">
        <v>1381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8"/>
    </row>
    <row r="287" spans="1:13" ht="18.75" customHeight="1">
      <c r="A287" s="288" t="str">
        <f t="shared" si="31"/>
        <v>TP</v>
      </c>
      <c r="B287" s="297">
        <f t="shared" si="32"/>
        <v>167</v>
      </c>
      <c r="C287" s="291" t="s">
        <v>533</v>
      </c>
      <c r="D287" s="296" t="s">
        <v>1381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8"/>
    </row>
    <row r="288" spans="1:13" ht="18.75" customHeight="1">
      <c r="A288" s="288" t="str">
        <f t="shared" si="31"/>
        <v>TP</v>
      </c>
      <c r="B288" s="297">
        <f t="shared" si="32"/>
        <v>168</v>
      </c>
      <c r="C288" s="40" t="s">
        <v>559</v>
      </c>
      <c r="D288" s="296" t="s">
        <v>1381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8"/>
    </row>
    <row r="289" spans="1:13" ht="18.75" customHeight="1">
      <c r="A289" s="288" t="str">
        <f t="shared" si="31"/>
        <v>TP</v>
      </c>
      <c r="B289" s="297">
        <f t="shared" si="32"/>
        <v>169</v>
      </c>
      <c r="C289" s="192" t="s">
        <v>824</v>
      </c>
      <c r="D289" s="296" t="s">
        <v>1381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8"/>
    </row>
    <row r="290" spans="1:13" ht="18.75" customHeight="1">
      <c r="A290" s="288" t="str">
        <f t="shared" si="31"/>
        <v>TP</v>
      </c>
      <c r="B290" s="297">
        <f t="shared" si="32"/>
        <v>170</v>
      </c>
      <c r="C290" s="192" t="s">
        <v>890</v>
      </c>
      <c r="D290" s="296" t="s">
        <v>1381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8"/>
    </row>
    <row r="291" spans="1:13" ht="18.75" customHeight="1">
      <c r="A291" s="288" t="str">
        <f t="shared" si="31"/>
        <v>TP</v>
      </c>
      <c r="B291" s="297">
        <f t="shared" si="32"/>
        <v>171</v>
      </c>
      <c r="C291" s="189" t="s">
        <v>849</v>
      </c>
      <c r="D291" s="296" t="s">
        <v>1381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8"/>
    </row>
    <row r="292" spans="1:13" ht="18.75" customHeight="1">
      <c r="A292" s="288" t="str">
        <f t="shared" si="31"/>
        <v>TP</v>
      </c>
      <c r="B292" s="297">
        <f t="shared" si="32"/>
        <v>172</v>
      </c>
      <c r="C292" s="189" t="s">
        <v>459</v>
      </c>
      <c r="D292" s="296" t="s">
        <v>1381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8"/>
    </row>
    <row r="293" spans="1:13" ht="18.75" customHeight="1">
      <c r="A293" s="288" t="str">
        <f t="shared" si="31"/>
        <v>TP</v>
      </c>
      <c r="B293" s="297">
        <f t="shared" si="32"/>
        <v>173</v>
      </c>
      <c r="C293" s="189" t="s">
        <v>517</v>
      </c>
      <c r="D293" s="296" t="s">
        <v>1381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8"/>
    </row>
    <row r="294" spans="1:13" ht="18.75" customHeight="1">
      <c r="A294" s="288" t="str">
        <f t="shared" si="31"/>
        <v>TP</v>
      </c>
      <c r="B294" s="297">
        <f t="shared" si="32"/>
        <v>174</v>
      </c>
      <c r="C294" s="189" t="s">
        <v>463</v>
      </c>
      <c r="D294" s="296" t="s">
        <v>1381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8"/>
    </row>
    <row r="295" spans="1:13" ht="18.75" customHeight="1">
      <c r="A295" s="288" t="str">
        <f t="shared" si="31"/>
        <v>TP</v>
      </c>
      <c r="B295" s="297">
        <f t="shared" si="32"/>
        <v>175</v>
      </c>
      <c r="C295" s="189" t="s">
        <v>455</v>
      </c>
      <c r="D295" s="296" t="s">
        <v>1381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8"/>
    </row>
    <row r="296" spans="1:13" ht="18.75" customHeight="1">
      <c r="A296" s="288" t="str">
        <f t="shared" si="31"/>
        <v>TP</v>
      </c>
      <c r="B296" s="297">
        <f t="shared" si="32"/>
        <v>176</v>
      </c>
      <c r="C296" s="189" t="s">
        <v>854</v>
      </c>
      <c r="D296" s="296" t="s">
        <v>1381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8"/>
    </row>
    <row r="297" spans="1:13" ht="18.75" customHeight="1">
      <c r="A297" s="288" t="str">
        <f t="shared" si="31"/>
        <v>TP</v>
      </c>
      <c r="B297" s="297">
        <f t="shared" si="32"/>
        <v>177</v>
      </c>
      <c r="C297" s="189" t="s">
        <v>855</v>
      </c>
      <c r="D297" s="296" t="s">
        <v>1381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8"/>
    </row>
    <row r="298" spans="1:13" ht="18.75" customHeight="1">
      <c r="A298" s="288" t="str">
        <f t="shared" si="31"/>
        <v>TP</v>
      </c>
      <c r="B298" s="297">
        <f t="shared" si="32"/>
        <v>178</v>
      </c>
      <c r="C298" s="192" t="s">
        <v>593</v>
      </c>
      <c r="D298" s="296" t="s">
        <v>1381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8"/>
    </row>
    <row r="299" spans="1:13" ht="18.75" customHeight="1">
      <c r="A299" s="288" t="str">
        <f t="shared" si="31"/>
        <v>TP</v>
      </c>
      <c r="B299" s="297">
        <f t="shared" si="32"/>
        <v>179</v>
      </c>
      <c r="C299" s="189" t="s">
        <v>421</v>
      </c>
      <c r="D299" s="296" t="s">
        <v>1381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8"/>
    </row>
    <row r="300" spans="1:13" ht="18.75" customHeight="1">
      <c r="A300" s="288" t="str">
        <f t="shared" si="31"/>
        <v>TP</v>
      </c>
      <c r="B300" s="297">
        <f t="shared" si="32"/>
        <v>180</v>
      </c>
      <c r="C300" s="192" t="s">
        <v>823</v>
      </c>
      <c r="D300" s="296" t="s">
        <v>1381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8"/>
    </row>
    <row r="301" spans="1:13" ht="18.75" customHeight="1">
      <c r="A301" s="288" t="str">
        <f t="shared" si="31"/>
        <v>TP</v>
      </c>
      <c r="B301" s="297">
        <f t="shared" si="32"/>
        <v>181</v>
      </c>
      <c r="C301" s="189" t="s">
        <v>473</v>
      </c>
      <c r="D301" s="296" t="s">
        <v>1381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8"/>
    </row>
    <row r="302" spans="1:13" ht="18.75" customHeight="1">
      <c r="A302" s="288" t="str">
        <f t="shared" si="31"/>
        <v>TP</v>
      </c>
      <c r="B302" s="297">
        <f t="shared" si="32"/>
        <v>182</v>
      </c>
      <c r="C302" s="40" t="s">
        <v>431</v>
      </c>
      <c r="D302" s="296" t="s">
        <v>1381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8"/>
    </row>
    <row r="303" spans="1:13" ht="18.75" customHeight="1">
      <c r="A303" s="288" t="str">
        <f t="shared" si="31"/>
        <v>TP</v>
      </c>
      <c r="B303" s="297">
        <f t="shared" si="32"/>
        <v>183</v>
      </c>
      <c r="C303" s="192" t="s">
        <v>766</v>
      </c>
      <c r="D303" s="296" t="s">
        <v>1381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8"/>
    </row>
    <row r="304" spans="1:13" ht="18.75" customHeight="1">
      <c r="A304" s="288" t="str">
        <f t="shared" si="31"/>
        <v>TP</v>
      </c>
      <c r="B304" s="297">
        <f t="shared" si="32"/>
        <v>184</v>
      </c>
      <c r="C304" s="189" t="s">
        <v>481</v>
      </c>
      <c r="D304" s="296" t="s">
        <v>1381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8"/>
    </row>
    <row r="305" spans="1:13" ht="18.75" customHeight="1">
      <c r="A305" s="288" t="str">
        <f t="shared" si="31"/>
        <v>TP</v>
      </c>
      <c r="B305" s="297">
        <f t="shared" si="32"/>
        <v>185</v>
      </c>
      <c r="C305" s="189" t="s">
        <v>515</v>
      </c>
      <c r="D305" s="296" t="s">
        <v>1381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8"/>
    </row>
    <row r="306" spans="1:13" ht="18.75" customHeight="1">
      <c r="A306" s="288" t="str">
        <f t="shared" si="31"/>
        <v>TP</v>
      </c>
      <c r="B306" s="297">
        <f t="shared" si="32"/>
        <v>186</v>
      </c>
      <c r="C306" s="189" t="s">
        <v>827</v>
      </c>
      <c r="D306" s="296" t="s">
        <v>1381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8"/>
    </row>
    <row r="307" spans="1:13" ht="18.75" customHeight="1">
      <c r="A307" s="288" t="str">
        <f t="shared" si="31"/>
        <v>TP</v>
      </c>
      <c r="B307" s="297">
        <f t="shared" si="32"/>
        <v>187</v>
      </c>
      <c r="C307" s="189" t="s">
        <v>552</v>
      </c>
      <c r="D307" s="296" t="s">
        <v>1381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8"/>
    </row>
    <row r="308" spans="1:13" ht="18.75" customHeight="1">
      <c r="A308" s="288" t="str">
        <f t="shared" si="31"/>
        <v>TP</v>
      </c>
      <c r="B308" s="297">
        <f t="shared" si="32"/>
        <v>188</v>
      </c>
      <c r="C308" s="192" t="s">
        <v>860</v>
      </c>
      <c r="D308" s="296" t="s">
        <v>1381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8"/>
    </row>
    <row r="309" spans="1:13" ht="18.75" customHeight="1">
      <c r="A309" s="288" t="str">
        <f t="shared" si="31"/>
        <v>TP</v>
      </c>
      <c r="B309" s="297">
        <f t="shared" si="32"/>
        <v>189</v>
      </c>
      <c r="C309" s="192" t="s">
        <v>747</v>
      </c>
      <c r="D309" s="296" t="s">
        <v>1381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8"/>
    </row>
    <row r="310" spans="1:13" ht="18.75" customHeight="1">
      <c r="A310" s="288" t="str">
        <f t="shared" si="31"/>
        <v>TP</v>
      </c>
      <c r="B310" s="297">
        <f t="shared" si="32"/>
        <v>190</v>
      </c>
      <c r="C310" s="40" t="s">
        <v>583</v>
      </c>
      <c r="D310" s="296" t="s">
        <v>1381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8"/>
    </row>
    <row r="311" spans="1:13" ht="18.75" customHeight="1">
      <c r="A311" s="288" t="str">
        <f t="shared" si="31"/>
        <v>TP</v>
      </c>
      <c r="B311" s="297">
        <f t="shared" si="32"/>
        <v>191</v>
      </c>
      <c r="C311" s="291" t="s">
        <v>828</v>
      </c>
      <c r="D311" s="296" t="s">
        <v>1381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8"/>
    </row>
    <row r="312" spans="1:13" ht="18.75" customHeight="1">
      <c r="A312" s="288" t="str">
        <f t="shared" si="31"/>
        <v>TP</v>
      </c>
      <c r="B312" s="297">
        <f t="shared" si="32"/>
        <v>192</v>
      </c>
      <c r="C312" s="189" t="s">
        <v>554</v>
      </c>
      <c r="D312" s="296" t="s">
        <v>1381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8"/>
    </row>
    <row r="313" spans="1:13" ht="18.75" customHeight="1">
      <c r="A313" s="288" t="str">
        <f t="shared" ref="A313:A330" si="35">IF(B313&lt;&gt;"","TP","")</f>
        <v>TP</v>
      </c>
      <c r="B313" s="297">
        <f t="shared" ref="B313:B330" si="36">IF(C313&lt;&gt;"",B312+1,"")</f>
        <v>193</v>
      </c>
      <c r="C313" s="189" t="s">
        <v>439</v>
      </c>
      <c r="D313" s="296" t="s">
        <v>1381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8"/>
    </row>
    <row r="314" spans="1:13" ht="18.75" customHeight="1">
      <c r="A314" s="288" t="str">
        <f t="shared" si="35"/>
        <v>TP</v>
      </c>
      <c r="B314" s="297">
        <f t="shared" si="36"/>
        <v>194</v>
      </c>
      <c r="C314" s="438" t="s">
        <v>452</v>
      </c>
      <c r="D314" s="296" t="s">
        <v>1381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8"/>
    </row>
    <row r="315" spans="1:13" ht="18.75" customHeight="1">
      <c r="A315" s="288" t="str">
        <f t="shared" si="35"/>
        <v>TP</v>
      </c>
      <c r="B315" s="297">
        <f t="shared" si="36"/>
        <v>195</v>
      </c>
      <c r="C315" s="189" t="s">
        <v>497</v>
      </c>
      <c r="D315" s="296" t="s">
        <v>1381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8"/>
    </row>
    <row r="316" spans="1:13" ht="18.75" customHeight="1">
      <c r="A316" s="288" t="str">
        <f t="shared" si="35"/>
        <v>TP</v>
      </c>
      <c r="B316" s="297">
        <f t="shared" si="36"/>
        <v>196</v>
      </c>
      <c r="C316" s="189" t="s">
        <v>532</v>
      </c>
      <c r="D316" s="296" t="s">
        <v>1381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8"/>
    </row>
    <row r="317" spans="1:13" ht="18.75" customHeight="1">
      <c r="A317" s="288" t="str">
        <f t="shared" si="35"/>
        <v>TP</v>
      </c>
      <c r="B317" s="297">
        <f t="shared" si="36"/>
        <v>197</v>
      </c>
      <c r="C317" s="192" t="s">
        <v>591</v>
      </c>
      <c r="D317" s="296" t="s">
        <v>1381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8"/>
    </row>
    <row r="318" spans="1:13" ht="18.75" customHeight="1">
      <c r="A318" s="288" t="str">
        <f t="shared" si="35"/>
        <v>TP</v>
      </c>
      <c r="B318" s="297">
        <f t="shared" si="36"/>
        <v>198</v>
      </c>
      <c r="C318" s="189" t="s">
        <v>843</v>
      </c>
      <c r="D318" s="296" t="s">
        <v>1381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8"/>
    </row>
    <row r="319" spans="1:13" ht="18.75" customHeight="1">
      <c r="A319" s="288" t="str">
        <f t="shared" si="35"/>
        <v>TP</v>
      </c>
      <c r="B319" s="297">
        <f t="shared" si="36"/>
        <v>199</v>
      </c>
      <c r="C319" s="192" t="s">
        <v>686</v>
      </c>
      <c r="D319" s="296" t="s">
        <v>1381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8"/>
    </row>
    <row r="320" spans="1:13" ht="18.75" customHeight="1">
      <c r="A320" s="288" t="str">
        <f t="shared" si="35"/>
        <v>TP</v>
      </c>
      <c r="B320" s="297">
        <f t="shared" si="36"/>
        <v>200</v>
      </c>
      <c r="C320" s="192" t="s">
        <v>716</v>
      </c>
      <c r="D320" s="296" t="s">
        <v>1381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8"/>
    </row>
    <row r="321" spans="1:13" ht="18.75" customHeight="1">
      <c r="A321" s="288" t="str">
        <f t="shared" si="35"/>
        <v>TP</v>
      </c>
      <c r="B321" s="297">
        <f t="shared" si="36"/>
        <v>201</v>
      </c>
      <c r="C321" s="40" t="s">
        <v>771</v>
      </c>
      <c r="D321" s="296" t="s">
        <v>1381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8"/>
    </row>
    <row r="322" spans="1:13" ht="18.75" customHeight="1">
      <c r="A322" s="288" t="str">
        <f t="shared" si="35"/>
        <v>TP</v>
      </c>
      <c r="B322" s="297">
        <f t="shared" si="36"/>
        <v>202</v>
      </c>
      <c r="C322" s="192" t="s">
        <v>695</v>
      </c>
      <c r="D322" s="296" t="s">
        <v>1381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8"/>
    </row>
    <row r="323" spans="1:13" ht="18.75" customHeight="1">
      <c r="A323" s="288" t="str">
        <f t="shared" si="35"/>
        <v>TP</v>
      </c>
      <c r="B323" s="297">
        <f t="shared" si="36"/>
        <v>203</v>
      </c>
      <c r="C323" s="192" t="s">
        <v>760</v>
      </c>
      <c r="D323" s="296" t="s">
        <v>1381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8"/>
    </row>
    <row r="324" spans="1:13" ht="18.75" customHeight="1">
      <c r="A324" s="288" t="str">
        <f t="shared" si="35"/>
        <v>TP</v>
      </c>
      <c r="B324" s="297">
        <f t="shared" si="36"/>
        <v>204</v>
      </c>
      <c r="C324" s="40" t="s">
        <v>858</v>
      </c>
      <c r="D324" s="296" t="s">
        <v>1381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8"/>
    </row>
    <row r="325" spans="1:13" ht="18.75" customHeight="1">
      <c r="A325" s="288" t="str">
        <f t="shared" si="35"/>
        <v>TP</v>
      </c>
      <c r="B325" s="297">
        <f t="shared" si="36"/>
        <v>205</v>
      </c>
      <c r="C325" s="40" t="s">
        <v>874</v>
      </c>
      <c r="D325" s="296" t="s">
        <v>1381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8"/>
    </row>
    <row r="326" spans="1:13" ht="18.75" customHeight="1">
      <c r="A326" s="288" t="str">
        <f t="shared" si="35"/>
        <v>TP</v>
      </c>
      <c r="B326" s="297">
        <f t="shared" si="36"/>
        <v>206</v>
      </c>
      <c r="C326" s="192" t="s">
        <v>753</v>
      </c>
      <c r="D326" s="296" t="s">
        <v>1381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8"/>
    </row>
    <row r="327" spans="1:13" ht="18.75" customHeight="1">
      <c r="A327" s="288" t="str">
        <f t="shared" si="35"/>
        <v>TP</v>
      </c>
      <c r="B327" s="297">
        <f t="shared" si="36"/>
        <v>207</v>
      </c>
      <c r="C327" s="192" t="s">
        <v>682</v>
      </c>
      <c r="D327" s="296" t="s">
        <v>1381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8"/>
    </row>
    <row r="328" spans="1:13" ht="18.75" customHeight="1">
      <c r="A328" s="288" t="str">
        <f t="shared" si="35"/>
        <v>TP</v>
      </c>
      <c r="B328" s="297">
        <f t="shared" si="36"/>
        <v>208</v>
      </c>
      <c r="C328" s="192" t="s">
        <v>744</v>
      </c>
      <c r="D328" s="296" t="s">
        <v>1381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8"/>
    </row>
    <row r="329" spans="1:13" ht="18.75" customHeight="1">
      <c r="A329" s="288" t="str">
        <f t="shared" si="35"/>
        <v>TP</v>
      </c>
      <c r="B329" s="297">
        <f t="shared" si="36"/>
        <v>209</v>
      </c>
      <c r="C329" s="192" t="s">
        <v>722</v>
      </c>
      <c r="D329" s="296" t="s">
        <v>1381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8"/>
    </row>
    <row r="330" spans="1:13" ht="18.75" customHeight="1">
      <c r="A330" s="288" t="str">
        <f t="shared" si="35"/>
        <v>TP</v>
      </c>
      <c r="B330" s="297">
        <f t="shared" si="36"/>
        <v>210</v>
      </c>
      <c r="C330" s="192" t="s">
        <v>751</v>
      </c>
      <c r="D330" s="296" t="s">
        <v>1381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8"/>
    </row>
    <row r="331" spans="1:13" ht="18.75" customHeight="1">
      <c r="A331" s="288" t="str">
        <f t="shared" ref="A331:A340" si="39">IF(B331&lt;&gt;"","TP","")</f>
        <v>TP</v>
      </c>
      <c r="B331" s="297">
        <f t="shared" ref="B331:B340" si="40">IF(C331&lt;&gt;"",B330+1,"")</f>
        <v>211</v>
      </c>
      <c r="C331" s="189" t="s">
        <v>446</v>
      </c>
      <c r="D331" s="296" t="s">
        <v>1381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8"/>
    </row>
    <row r="332" spans="1:13" ht="18.75" customHeight="1">
      <c r="A332" s="288" t="str">
        <f t="shared" si="39"/>
        <v>TP</v>
      </c>
      <c r="B332" s="297">
        <f t="shared" si="40"/>
        <v>212</v>
      </c>
      <c r="C332" s="189" t="s">
        <v>433</v>
      </c>
      <c r="D332" s="296" t="s">
        <v>1381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8"/>
    </row>
    <row r="333" spans="1:13" ht="18.75" customHeight="1">
      <c r="A333" s="288" t="str">
        <f t="shared" si="39"/>
        <v>TP</v>
      </c>
      <c r="B333" s="297">
        <f t="shared" si="40"/>
        <v>213</v>
      </c>
      <c r="C333" s="189" t="s">
        <v>448</v>
      </c>
      <c r="D333" s="296" t="s">
        <v>1381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8"/>
    </row>
    <row r="334" spans="1:13" ht="18.75" customHeight="1">
      <c r="A334" s="288" t="str">
        <f t="shared" si="39"/>
        <v>TP</v>
      </c>
      <c r="B334" s="297">
        <f t="shared" si="40"/>
        <v>214</v>
      </c>
      <c r="C334" s="40" t="s">
        <v>428</v>
      </c>
      <c r="D334" s="296" t="s">
        <v>1381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8"/>
    </row>
    <row r="335" spans="1:13" ht="18.75" customHeight="1">
      <c r="A335" s="288" t="str">
        <f t="shared" si="39"/>
        <v>TP</v>
      </c>
      <c r="B335" s="297">
        <f t="shared" si="40"/>
        <v>215</v>
      </c>
      <c r="C335" s="189" t="s">
        <v>430</v>
      </c>
      <c r="D335" s="296" t="s">
        <v>1381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8"/>
    </row>
    <row r="336" spans="1:13" ht="18.75" customHeight="1">
      <c r="A336" s="288" t="str">
        <f t="shared" si="39"/>
        <v>TP</v>
      </c>
      <c r="B336" s="297">
        <f t="shared" si="40"/>
        <v>216</v>
      </c>
      <c r="C336" s="40" t="s">
        <v>426</v>
      </c>
      <c r="D336" s="296" t="s">
        <v>1381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8"/>
    </row>
    <row r="337" spans="1:13" ht="18.75" customHeight="1">
      <c r="A337" s="288" t="str">
        <f t="shared" si="39"/>
        <v>TP</v>
      </c>
      <c r="B337" s="297">
        <f t="shared" si="40"/>
        <v>217</v>
      </c>
      <c r="C337" s="189" t="s">
        <v>451</v>
      </c>
      <c r="D337" s="296" t="s">
        <v>1381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8"/>
    </row>
    <row r="338" spans="1:13" ht="18.75" customHeight="1">
      <c r="A338" s="288" t="str">
        <f t="shared" si="39"/>
        <v>TP</v>
      </c>
      <c r="B338" s="297">
        <f t="shared" si="40"/>
        <v>218</v>
      </c>
      <c r="C338" s="40" t="s">
        <v>429</v>
      </c>
      <c r="D338" s="296" t="s">
        <v>1381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8"/>
    </row>
    <row r="339" spans="1:13" ht="18.75" customHeight="1">
      <c r="A339" s="288" t="str">
        <f t="shared" si="39"/>
        <v>TP</v>
      </c>
      <c r="B339" s="297">
        <f t="shared" si="40"/>
        <v>219</v>
      </c>
      <c r="C339" s="189" t="s">
        <v>450</v>
      </c>
      <c r="D339" s="296" t="s">
        <v>1381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8"/>
    </row>
    <row r="340" spans="1:13" ht="18.75" customHeight="1">
      <c r="A340" s="288" t="str">
        <f t="shared" si="39"/>
        <v>TP</v>
      </c>
      <c r="B340" s="297">
        <f t="shared" si="40"/>
        <v>220</v>
      </c>
      <c r="C340" s="189" t="s">
        <v>783</v>
      </c>
      <c r="D340" s="296" t="s">
        <v>1381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8"/>
    </row>
    <row r="341" spans="1:13" ht="18.75" customHeight="1">
      <c r="A341" s="288" t="str">
        <f t="shared" ref="A341:A343" si="41">IF(B341&lt;&gt;"","TP","")</f>
        <v>TP</v>
      </c>
      <c r="B341" s="297">
        <f t="shared" ref="B341:B343" si="42">IF(C341&lt;&gt;"",B340+1,"")</f>
        <v>221</v>
      </c>
      <c r="C341" s="189" t="s">
        <v>784</v>
      </c>
      <c r="D341" s="296" t="s">
        <v>1381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8"/>
    </row>
    <row r="342" spans="1:13" ht="18.75" customHeight="1">
      <c r="A342" s="288" t="str">
        <f t="shared" si="41"/>
        <v>TP</v>
      </c>
      <c r="B342" s="297">
        <f t="shared" si="42"/>
        <v>222</v>
      </c>
      <c r="C342" s="189" t="s">
        <v>786</v>
      </c>
      <c r="D342" s="296" t="s">
        <v>1381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8"/>
    </row>
    <row r="343" spans="1:13" ht="18.75" customHeight="1">
      <c r="A343" s="288" t="str">
        <f t="shared" si="41"/>
        <v>TP</v>
      </c>
      <c r="B343" s="297">
        <f t="shared" si="42"/>
        <v>223</v>
      </c>
      <c r="C343" s="189" t="s">
        <v>787</v>
      </c>
      <c r="D343" s="296" t="s">
        <v>1381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8"/>
    </row>
    <row r="344" spans="1:13" ht="18.75" customHeight="1">
      <c r="A344" s="288"/>
      <c r="B344" s="297"/>
      <c r="C344" s="189"/>
      <c r="D344" s="296"/>
      <c r="E344" s="8"/>
      <c r="F344" s="8"/>
      <c r="G344" s="25"/>
      <c r="H344" s="25"/>
      <c r="I344" s="25"/>
      <c r="J344" s="25"/>
      <c r="K344" s="8"/>
      <c r="L344" s="8"/>
      <c r="M344" s="288"/>
    </row>
    <row r="345" spans="1:13" ht="18.75" customHeight="1">
      <c r="A345" s="288" t="str">
        <f t="shared" ref="A345:A346" si="45">IF(B345&lt;&gt;"","TP","")</f>
        <v/>
      </c>
      <c r="B345" s="287"/>
      <c r="C345" s="295" t="s">
        <v>203</v>
      </c>
      <c r="D345" s="287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8"/>
    </row>
    <row r="346" spans="1:13" ht="18.75" customHeight="1">
      <c r="A346" s="288" t="str">
        <f t="shared" si="45"/>
        <v/>
      </c>
      <c r="B346" s="455"/>
      <c r="C346" s="455"/>
      <c r="D346" s="454"/>
      <c r="E346" s="456"/>
      <c r="F346" s="456">
        <f>F345-CDPS!C25</f>
        <v>0</v>
      </c>
      <c r="G346" s="456"/>
      <c r="H346" s="456">
        <f>H345-CDPS!E25</f>
        <v>0</v>
      </c>
      <c r="I346" s="456"/>
      <c r="J346" s="456">
        <f>J345-CDPS!F25</f>
        <v>0</v>
      </c>
      <c r="K346" s="456"/>
      <c r="L346" s="456">
        <f>L345-CDPS!G25</f>
        <v>0</v>
      </c>
      <c r="M346" s="298"/>
    </row>
    <row r="347" spans="1:13" ht="18.75" customHeight="1"/>
    <row r="348" spans="1:13" ht="19.5" customHeight="1"/>
    <row r="349" spans="1:13" ht="19.5" customHeight="1">
      <c r="C349" s="1025"/>
      <c r="D349" s="1025"/>
      <c r="E349" s="1025"/>
      <c r="F349" s="805"/>
      <c r="G349" s="805"/>
      <c r="H349" s="805"/>
      <c r="I349" s="805"/>
      <c r="J349" s="1025" t="s">
        <v>414</v>
      </c>
      <c r="K349" s="1025"/>
      <c r="L349" s="1025"/>
    </row>
    <row r="350" spans="1:13" ht="19.5" customHeight="1">
      <c r="C350" s="806"/>
      <c r="D350" s="806"/>
      <c r="E350" s="806"/>
      <c r="F350" s="1025"/>
      <c r="G350" s="1025"/>
      <c r="H350" s="1025"/>
      <c r="I350" s="805"/>
      <c r="J350" s="1025" t="s">
        <v>109</v>
      </c>
      <c r="K350" s="1025"/>
      <c r="L350" s="1025"/>
    </row>
    <row r="351" spans="1:13" ht="19.5" customHeight="1">
      <c r="C351" s="806"/>
      <c r="D351" s="806"/>
      <c r="E351" s="806"/>
      <c r="F351" s="1025"/>
      <c r="G351" s="1025"/>
      <c r="H351" s="1025"/>
      <c r="I351" s="283"/>
      <c r="J351" s="1025" t="s">
        <v>136</v>
      </c>
      <c r="K351" s="1025"/>
      <c r="L351" s="102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302" customWidth="1"/>
    <col min="2" max="2" width="29.7109375" style="302" customWidth="1"/>
    <col min="3" max="3" width="5.7109375" style="302" customWidth="1"/>
    <col min="4" max="4" width="6.7109375" style="302" customWidth="1"/>
    <col min="5" max="5" width="12.7109375" style="302" customWidth="1"/>
    <col min="6" max="6" width="9.85546875" style="302" customWidth="1"/>
    <col min="7" max="7" width="11" style="302" customWidth="1"/>
    <col min="8" max="8" width="14" style="302" customWidth="1"/>
    <col min="9" max="9" width="2.85546875" style="302" customWidth="1"/>
    <col min="10" max="10" width="7.5703125" style="302" customWidth="1"/>
    <col min="11" max="11" width="3.140625" style="302" customWidth="1"/>
    <col min="12" max="12" width="5.7109375" style="302" customWidth="1"/>
    <col min="13" max="13" width="2.7109375" style="302" customWidth="1"/>
    <col min="14" max="14" width="4" style="302" customWidth="1"/>
    <col min="15" max="15" width="3.7109375" style="302" customWidth="1"/>
    <col min="16" max="16384" width="9.140625" style="302"/>
  </cols>
  <sheetData>
    <row r="1" spans="1:17" ht="5.25" hidden="1" customHeight="1"/>
    <row r="2" spans="1:17" s="631" customFormat="1" ht="12" customHeight="1">
      <c r="A2" s="630" t="str">
        <f>TH!A1</f>
        <v>Đơn vị: CÔNG TY TNHH SX TM KIM DUNG PHÁT</v>
      </c>
      <c r="G2" s="632" t="str">
        <f>+IF(LEFT($D$7,1)="N","Mẫu số 01 - VT","Mẫu số 02 - VT")</f>
        <v>Mẫu số 02 - VT</v>
      </c>
    </row>
    <row r="3" spans="1:17" s="631" customFormat="1" ht="12" customHeight="1">
      <c r="A3" s="63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2" t="s">
        <v>104</v>
      </c>
      <c r="O3" s="634"/>
      <c r="P3" s="635">
        <f>IF(J5="Quý I",1,IF(J5="Quý II",4,IF(J5="Quý III",7,IF(J5="Quý IV",10,""))))</f>
        <v>10</v>
      </c>
      <c r="Q3" s="635">
        <f>IF(J5="Quý I",3,IF(J5="Quý II",6,IF(J5="Quý III",9,IF(J5="Quý IV",12,""))))</f>
        <v>12</v>
      </c>
    </row>
    <row r="4" spans="1:17" s="631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6"/>
      <c r="M4" s="637"/>
      <c r="N4" s="632" t="s">
        <v>105</v>
      </c>
      <c r="O4" s="634"/>
    </row>
    <row r="5" spans="1:17" ht="18" customHeight="1" thickBot="1">
      <c r="D5" s="306" t="str">
        <f>+IF(LEFT($L$5,1)="N","PHIẾU NHẬP KHO","PHIẾU XUẤT KHO")</f>
        <v>PHIẾU XUẤT KHO</v>
      </c>
      <c r="J5" s="627" t="s">
        <v>1383</v>
      </c>
      <c r="K5" s="307"/>
      <c r="L5" s="628" t="s">
        <v>409</v>
      </c>
      <c r="M5" s="308"/>
      <c r="N5" s="629">
        <v>79</v>
      </c>
      <c r="O5" s="303"/>
      <c r="P5" s="303"/>
    </row>
    <row r="6" spans="1:17" ht="10.5" customHeight="1">
      <c r="D6" s="6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40"/>
      <c r="M6" s="305"/>
      <c r="O6" s="303"/>
    </row>
    <row r="7" spans="1:17" ht="10.5" customHeight="1">
      <c r="C7" s="641" t="str">
        <f xml:space="preserve"> "Số:"</f>
        <v>Số:</v>
      </c>
      <c r="D7" s="642" t="str">
        <f xml:space="preserve"> RIGHT($L$5,2)&amp;"/"&amp;LEFT($L$5,1)&amp;IF($N$5&gt;=10,$N$5,"0"&amp;$N$5)</f>
        <v>TP/X79</v>
      </c>
      <c r="G7" s="302" t="str">
        <f ca="1">"Nợ:  "&amp;IF(ROWS($1:1)&gt;COUNT(Dong10),"",OFFSET(TH!L$1,SMALL(Dong10,ROWS($1:1)),))</f>
        <v>Nợ:  131</v>
      </c>
      <c r="M7" s="305"/>
      <c r="O7" s="303"/>
    </row>
    <row r="8" spans="1:17" ht="10.5" customHeight="1">
      <c r="D8" s="71"/>
      <c r="G8" s="302" t="str">
        <f ca="1">"Có:  "&amp;IF(ROWS($1:1)&gt;COUNT(Dong10),"",OFFSET(TH!M$1,SMALL(Dong10,ROWS($1:1)),))</f>
        <v>Có:  5112</v>
      </c>
      <c r="M8" s="305"/>
      <c r="O8" s="643"/>
    </row>
    <row r="9" spans="1:17" ht="11.25" customHeight="1">
      <c r="A9" s="30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5"/>
    </row>
    <row r="10" spans="1:17" ht="11.25" customHeight="1">
      <c r="A10" s="30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2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5" t="s">
        <v>35</v>
      </c>
      <c r="B14" s="1075" t="s">
        <v>204</v>
      </c>
      <c r="C14" s="1075" t="s">
        <v>205</v>
      </c>
      <c r="D14" s="1075" t="s">
        <v>196</v>
      </c>
      <c r="E14" s="1077" t="s">
        <v>206</v>
      </c>
      <c r="F14" s="1077"/>
      <c r="G14" s="1075" t="s">
        <v>207</v>
      </c>
      <c r="H14" s="1075" t="s">
        <v>208</v>
      </c>
    </row>
    <row r="15" spans="1:17" ht="12.75" customHeight="1">
      <c r="A15" s="1076"/>
      <c r="B15" s="1076"/>
      <c r="C15" s="1076"/>
      <c r="D15" s="1076"/>
      <c r="E15" s="644" t="s">
        <v>209</v>
      </c>
      <c r="F15" s="644" t="str">
        <f>IF(LEFT($D$7,1)="N","Thực nhập","Thực xuất")</f>
        <v>Thực xuất</v>
      </c>
      <c r="G15" s="1076"/>
      <c r="H15" s="1076"/>
    </row>
    <row r="16" spans="1:17" s="71" customFormat="1" ht="8.25" customHeight="1">
      <c r="A16" s="645" t="s">
        <v>2</v>
      </c>
      <c r="B16" s="645" t="s">
        <v>3</v>
      </c>
      <c r="C16" s="645" t="s">
        <v>4</v>
      </c>
      <c r="D16" s="645" t="s">
        <v>5</v>
      </c>
      <c r="E16" s="645">
        <v>1</v>
      </c>
      <c r="F16" s="645">
        <v>2</v>
      </c>
      <c r="G16" s="645">
        <v>3</v>
      </c>
      <c r="H16" s="645">
        <v>4</v>
      </c>
    </row>
    <row r="17" spans="1:8" ht="11.25" customHeight="1">
      <c r="A17" s="646">
        <f ca="1">IF(B17="","",ROW()-16)</f>
        <v>1</v>
      </c>
      <c r="B17" s="647" t="str">
        <f ca="1">IF(ROWS($1:1)&gt;COUNT(Dong10),"",OFFSET(TH!F$1,SMALL(Dong10,ROWS($1:1)),))</f>
        <v>Thùng (55,5x46x30)</v>
      </c>
      <c r="C17" s="648"/>
      <c r="D17" s="649" t="str">
        <f ca="1">IF(ISNA(VLOOKUP(B17,NXT!$C$12:$D$344,2,0)),"",VLOOKUP(B17,NXT!$C$12:$D$344,2,0))</f>
        <v>cái</v>
      </c>
      <c r="E17" s="650"/>
      <c r="F17" s="651">
        <f ca="1">IF(ROWS($1:1)&gt;COUNT(Dong10),"",OFFSET(TH!I$1,SMALL(Dong10,ROWS($1:1)),))</f>
        <v>1280</v>
      </c>
      <c r="G17" s="651">
        <f ca="1">IF(ROWS($1:1)&gt;COUNT(Dong10),"",OFFSET(TH!J$1,SMALL(Dong10,ROWS($1:1)),))</f>
        <v>11100</v>
      </c>
      <c r="H17" s="650">
        <f ca="1">IF(F17&lt;&gt;"",ROUND(F17*G17,0),0)</f>
        <v>14208000</v>
      </c>
    </row>
    <row r="18" spans="1:8" ht="11.25" customHeight="1">
      <c r="A18" s="646" t="str">
        <f t="shared" ref="A18:A20" ca="1" si="0">IF(B18="","",A17+1)</f>
        <v/>
      </c>
      <c r="B18" s="647" t="str">
        <f ca="1">IF(ROWS($1:2)&gt;COUNT(Dong10),"",OFFSET(TH!F$1,SMALL(Dong10,ROWS($1:2)),))</f>
        <v/>
      </c>
      <c r="C18" s="648"/>
      <c r="D18" s="649" t="str">
        <f ca="1">IF(ISNA(VLOOKUP(B18,NXT!$C$12:$D$344,2,0)),"",VLOOKUP(B18,NXT!$C$12:$D$344,2,0))</f>
        <v/>
      </c>
      <c r="E18" s="650"/>
      <c r="F18" s="651" t="str">
        <f ca="1">IF(ROWS($1:2)&gt;COUNT(Dong10),"",OFFSET(TH!I$1,SMALL(Dong10,ROWS($1:2)),))</f>
        <v/>
      </c>
      <c r="G18" s="651" t="str">
        <f ca="1">IF(ROWS($1:2)&gt;COUNT(Dong10),"",OFFSET(TH!J$1,SMALL(Dong10,ROWS($1:2)),))</f>
        <v/>
      </c>
      <c r="H18" s="650">
        <f t="shared" ref="H18:H24" ca="1" si="1">IF(F18&lt;&gt;"",ROUND(F18*G18,0),0)</f>
        <v>0</v>
      </c>
    </row>
    <row r="19" spans="1:8" ht="11.25" customHeight="1">
      <c r="A19" s="646" t="str">
        <f t="shared" ca="1" si="0"/>
        <v/>
      </c>
      <c r="B19" s="647" t="str">
        <f ca="1">IF(ROWS($1:3)&gt;COUNT(Dong10),"",OFFSET(TH!F$1,SMALL(Dong10,ROWS($1:3)),))</f>
        <v/>
      </c>
      <c r="C19" s="648"/>
      <c r="D19" s="649" t="str">
        <f ca="1">IF(ISNA(VLOOKUP(B19,NXT!$C$12:$D$344,2,0)),"",VLOOKUP(B19,NXT!$C$12:$D$344,2,0))</f>
        <v/>
      </c>
      <c r="E19" s="650"/>
      <c r="F19" s="651" t="str">
        <f ca="1">IF(ROWS($1:3)&gt;COUNT(Dong10),"",OFFSET(TH!I$1,SMALL(Dong10,ROWS($1:3)),))</f>
        <v/>
      </c>
      <c r="G19" s="651" t="str">
        <f ca="1">IF(ROWS($1:3)&gt;COUNT(Dong10),"",OFFSET(TH!J$1,SMALL(Dong10,ROWS($1:3)),))</f>
        <v/>
      </c>
      <c r="H19" s="650">
        <f t="shared" ca="1" si="1"/>
        <v>0</v>
      </c>
    </row>
    <row r="20" spans="1:8" ht="11.25" customHeight="1">
      <c r="A20" s="646" t="str">
        <f t="shared" ca="1" si="0"/>
        <v/>
      </c>
      <c r="B20" s="647" t="str">
        <f ca="1">IF(ROWS($1:4)&gt;COUNT(Dong10),"",OFFSET(TH!F$1,SMALL(Dong10,ROWS($1:4)),))</f>
        <v/>
      </c>
      <c r="C20" s="648"/>
      <c r="D20" s="649" t="str">
        <f ca="1">IF(ISNA(VLOOKUP(B20,NXT!$C$12:$D$344,2,0)),"",VLOOKUP(B20,NXT!$C$12:$D$344,2,0))</f>
        <v/>
      </c>
      <c r="E20" s="650"/>
      <c r="F20" s="651" t="str">
        <f ca="1">IF(ROWS($1:4)&gt;COUNT(Dong10),"",OFFSET(TH!I$1,SMALL(Dong10,ROWS($1:4)),))</f>
        <v/>
      </c>
      <c r="G20" s="651" t="str">
        <f ca="1">IF(ROWS($1:4)&gt;COUNT(Dong10),"",OFFSET(TH!J$1,SMALL(Dong10,ROWS($1:4)),))</f>
        <v/>
      </c>
      <c r="H20" s="650">
        <f t="shared" ca="1" si="1"/>
        <v>0</v>
      </c>
    </row>
    <row r="21" spans="1:8" ht="11.25" customHeight="1">
      <c r="A21" s="646" t="str">
        <f t="shared" ref="A21:A23" ca="1" si="2">IF(B21="","",A20+1)</f>
        <v/>
      </c>
      <c r="B21" s="647" t="str">
        <f ca="1">IF(ROWS($1:5)&gt;COUNT(Dong10),"",OFFSET(TH!F$1,SMALL(Dong10,ROWS($1:5)),))</f>
        <v/>
      </c>
      <c r="C21" s="648"/>
      <c r="D21" s="649" t="str">
        <f ca="1">IF(ISNA(VLOOKUP(B21,NXT!$C$12:$D$344,2,0)),"",VLOOKUP(B21,NXT!$C$12:$D$344,2,0))</f>
        <v/>
      </c>
      <c r="E21" s="650"/>
      <c r="F21" s="651" t="str">
        <f ca="1">IF(ROWS($1:5)&gt;COUNT(Dong10),"",OFFSET(TH!I$1,SMALL(Dong10,ROWS($1:5)),))</f>
        <v/>
      </c>
      <c r="G21" s="651" t="str">
        <f ca="1">IF(ROWS($1:5)&gt;COUNT(Dong10),"",OFFSET(TH!J$1,SMALL(Dong10,ROWS($1:5)),))</f>
        <v/>
      </c>
      <c r="H21" s="650">
        <f t="shared" ca="1" si="1"/>
        <v>0</v>
      </c>
    </row>
    <row r="22" spans="1:8" ht="11.25" customHeight="1">
      <c r="A22" s="646" t="str">
        <f t="shared" ca="1" si="2"/>
        <v/>
      </c>
      <c r="B22" s="647" t="str">
        <f ca="1">IF(ROWS($1:6)&gt;COUNT(Dong10),"",OFFSET(TH!F$1,SMALL(Dong10,ROWS($1:6)),))</f>
        <v/>
      </c>
      <c r="C22" s="648"/>
      <c r="D22" s="649" t="str">
        <f ca="1">IF(ISNA(VLOOKUP(B22,NXT!$C$12:$D$344,2,0)),"",VLOOKUP(B22,NXT!$C$12:$D$344,2,0))</f>
        <v/>
      </c>
      <c r="E22" s="650"/>
      <c r="F22" s="651" t="str">
        <f ca="1">IF(ROWS($1:6)&gt;COUNT(Dong10),"",OFFSET(TH!I$1,SMALL(Dong10,ROWS($1:6)),))</f>
        <v/>
      </c>
      <c r="G22" s="651" t="str">
        <f ca="1">IF(ROWS($1:6)&gt;COUNT(Dong10),"",OFFSET(TH!J$1,SMALL(Dong10,ROWS($1:6)),))</f>
        <v/>
      </c>
      <c r="H22" s="650">
        <f t="shared" ca="1" si="1"/>
        <v>0</v>
      </c>
    </row>
    <row r="23" spans="1:8" ht="11.25" customHeight="1">
      <c r="A23" s="646" t="str">
        <f t="shared" ca="1" si="2"/>
        <v/>
      </c>
      <c r="B23" s="647" t="str">
        <f ca="1">IF(ROWS($1:7)&gt;COUNT(Dong10),"",OFFSET(TH!F$1,SMALL(Dong10,ROWS($1:7)),))</f>
        <v/>
      </c>
      <c r="C23" s="648"/>
      <c r="D23" s="649" t="str">
        <f ca="1">IF(ISNA(VLOOKUP(B23,NXT!$C$12:$D$344,2,0)),"",VLOOKUP(B23,NXT!$C$12:$D$344,2,0))</f>
        <v/>
      </c>
      <c r="E23" s="650"/>
      <c r="F23" s="651" t="str">
        <f ca="1">IF(ROWS($1:7)&gt;COUNT(Dong10),"",OFFSET(TH!I$1,SMALL(Dong10,ROWS($1:7)),))</f>
        <v/>
      </c>
      <c r="G23" s="651" t="str">
        <f ca="1">IF(ROWS($1:7)&gt;COUNT(Dong10),"",OFFSET(TH!J$1,SMALL(Dong10,ROWS($1:7)),))</f>
        <v/>
      </c>
      <c r="H23" s="650">
        <f t="shared" ca="1" si="1"/>
        <v>0</v>
      </c>
    </row>
    <row r="24" spans="1:8" ht="11.25" customHeight="1">
      <c r="A24" s="646" t="str">
        <f t="shared" ref="A24" ca="1" si="3">IF(B24="","",A23+1)</f>
        <v/>
      </c>
      <c r="B24" s="647" t="str">
        <f ca="1">IF(ROWS($1:8)&gt;COUNT(Dong10),"",OFFSET(TH!F$1,SMALL(Dong10,ROWS($1:8)),))</f>
        <v/>
      </c>
      <c r="C24" s="648"/>
      <c r="D24" s="649" t="str">
        <f ca="1">IF(ISNA(VLOOKUP(B24,NXT!$C$12:$D$344,2,0)),"",VLOOKUP(B24,NXT!$C$12:$D$344,2,0))</f>
        <v/>
      </c>
      <c r="E24" s="650"/>
      <c r="F24" s="651" t="str">
        <f ca="1">IF(ROWS($1:8)&gt;COUNT(Dong10),"",OFFSET(TH!I$1,SMALL(Dong10,ROWS($1:8)),))</f>
        <v/>
      </c>
      <c r="G24" s="651" t="str">
        <f ca="1">IF(ROWS($1:8)&gt;COUNT(Dong10),"",OFFSET(TH!J$1,SMALL(Dong10,ROWS($1:8)),))</f>
        <v/>
      </c>
      <c r="H24" s="650">
        <f t="shared" ca="1" si="1"/>
        <v>0</v>
      </c>
    </row>
    <row r="25" spans="1:8" ht="11.25" customHeight="1">
      <c r="A25" s="646" t="str">
        <f t="shared" ref="A25" ca="1" si="4">IF(B25="","",A24+1)</f>
        <v/>
      </c>
      <c r="B25" s="647" t="str">
        <f ca="1">IF(ROWS($1:9)&gt;COUNT(Dong10),"",OFFSET(TH!F$1,SMALL(Dong10,ROWS($1:9)),))</f>
        <v/>
      </c>
      <c r="C25" s="648"/>
      <c r="D25" s="649" t="str">
        <f ca="1">IF(ISNA(VLOOKUP(B25,NXT!$C$12:$D$344,2,0)),"",VLOOKUP(B25,NXT!$C$12:$D$344,2,0))</f>
        <v/>
      </c>
      <c r="E25" s="650"/>
      <c r="F25" s="651" t="str">
        <f ca="1">IF(ROWS($1:9)&gt;COUNT(Dong10),"",OFFSET(TH!I$1,SMALL(Dong10,ROWS($1:9)),))</f>
        <v/>
      </c>
      <c r="G25" s="651" t="str">
        <f ca="1">IF(ROWS($1:9)&gt;COUNT(Dong10),"",OFFSET(TH!J$1,SMALL(Dong10,ROWS($1:9)),))</f>
        <v/>
      </c>
      <c r="H25" s="650">
        <f t="shared" ref="H25" ca="1" si="5">IF(F25&lt;&gt;"",ROUND(F25*G25,0),0)</f>
        <v>0</v>
      </c>
    </row>
    <row r="26" spans="1:8" ht="11.25" customHeight="1">
      <c r="A26" s="646" t="str">
        <f t="shared" ref="A26" ca="1" si="6">IF(B26="","",A25+1)</f>
        <v/>
      </c>
      <c r="B26" s="647" t="str">
        <f ca="1">IF(ROWS($1:10)&gt;COUNT(Dong10),"",OFFSET(TH!F$1,SMALL(Dong10,ROWS($1:10)),))</f>
        <v/>
      </c>
      <c r="C26" s="648"/>
      <c r="D26" s="649" t="str">
        <f ca="1">IF(ISNA(VLOOKUP(B26,NXT!$C$12:$D$344,2,0)),"",VLOOKUP(B26,NXT!$C$12:$D$344,2,0))</f>
        <v/>
      </c>
      <c r="E26" s="650"/>
      <c r="F26" s="651" t="str">
        <f ca="1">IF(ROWS($1:10)&gt;COUNT(Dong10),"",OFFSET(TH!I$1,SMALL(Dong10,ROWS($1:10)),))</f>
        <v/>
      </c>
      <c r="G26" s="651" t="str">
        <f ca="1">IF(ROWS($1:10)&gt;COUNT(Dong10),"",OFFSET(TH!J$1,SMALL(Dong10,ROWS($1:10)),))</f>
        <v/>
      </c>
      <c r="H26" s="650">
        <f t="shared" ref="H26" ca="1" si="7">IF(F26&lt;&gt;"",ROUND(F26*G26,0),0)</f>
        <v>0</v>
      </c>
    </row>
    <row r="27" spans="1:8" ht="11.25" customHeight="1">
      <c r="A27" s="646" t="str">
        <f t="shared" ref="A27" ca="1" si="8">IF(B27="","",A26+1)</f>
        <v/>
      </c>
      <c r="B27" s="647" t="str">
        <f ca="1">IF(ROWS($1:11)&gt;COUNT(Dong10),"",OFFSET(TH!F$1,SMALL(Dong10,ROWS($1:11)),))</f>
        <v/>
      </c>
      <c r="C27" s="648"/>
      <c r="D27" s="649" t="str">
        <f ca="1">IF(ISNA(VLOOKUP(B27,NXT!$C$12:$D$344,2,0)),"",VLOOKUP(B27,NXT!$C$12:$D$344,2,0))</f>
        <v/>
      </c>
      <c r="E27" s="650"/>
      <c r="F27" s="651" t="str">
        <f ca="1">IF(ROWS($1:11)&gt;COUNT(Dong10),"",OFFSET(TH!I$1,SMALL(Dong10,ROWS($1:11)),))</f>
        <v/>
      </c>
      <c r="G27" s="651" t="str">
        <f ca="1">IF(ROWS($1:11)&gt;COUNT(Dong10),"",OFFSET(TH!J$1,SMALL(Dong10,ROWS($1:11)),))</f>
        <v/>
      </c>
      <c r="H27" s="650">
        <f t="shared" ref="H27" ca="1" si="9">IF(F27&lt;&gt;"",ROUND(F27*G27,0),0)</f>
        <v>0</v>
      </c>
    </row>
    <row r="28" spans="1:8" ht="11.25" customHeight="1">
      <c r="A28" s="1077" t="s">
        <v>210</v>
      </c>
      <c r="B28" s="1077"/>
      <c r="C28" s="652"/>
      <c r="D28" s="652"/>
      <c r="E28" s="653"/>
      <c r="F28" s="653"/>
      <c r="G28" s="653"/>
      <c r="H28" s="653">
        <f ca="1">SUM(H17:H26)</f>
        <v>14208000</v>
      </c>
    </row>
    <row r="29" spans="1:8" ht="3" customHeight="1">
      <c r="A29" s="654"/>
      <c r="B29" s="654"/>
      <c r="C29" s="305"/>
      <c r="D29" s="305"/>
      <c r="E29" s="655"/>
      <c r="F29" s="655"/>
      <c r="G29" s="655"/>
      <c r="H29" s="655"/>
    </row>
    <row r="30" spans="1:8" ht="11.25" customHeight="1">
      <c r="A30" s="302" t="str">
        <f ca="1">"Tổng số tiền (viết bằng chữ):  "&amp;[4]!VND(H28, TRUE)</f>
        <v>Tổng số tiền (viết bằng chữ):  Mười bốn triệu, hai trăm lẻ tám ngàn đồng</v>
      </c>
    </row>
    <row r="31" spans="1:8" ht="11.25" customHeight="1">
      <c r="A31" s="302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304" customFormat="1" ht="11.25" customHeight="1">
      <c r="A33" s="656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42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42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8" customFormat="1" ht="11.25" customHeight="1"/>
    <row r="40" spans="1:8" ht="11.25" customHeight="1">
      <c r="A40" s="310"/>
      <c r="F40" s="311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13" customWidth="1"/>
    <col min="2" max="2" width="8.5703125" style="313" customWidth="1"/>
    <col min="3" max="3" width="11" style="313" customWidth="1"/>
    <col min="4" max="4" width="41.7109375" style="313" customWidth="1"/>
    <col min="5" max="5" width="8" style="326" customWidth="1"/>
    <col min="6" max="6" width="8.85546875" style="313" customWidth="1"/>
    <col min="7" max="7" width="9" style="313" customWidth="1"/>
    <col min="8" max="8" width="14.140625" style="313" customWidth="1"/>
    <col min="9" max="9" width="8.85546875" style="313" customWidth="1"/>
    <col min="10" max="10" width="13.42578125" style="313" customWidth="1"/>
    <col min="11" max="11" width="10.140625" style="313" customWidth="1"/>
    <col min="12" max="12" width="13" style="313" customWidth="1"/>
    <col min="13" max="13" width="7.140625" style="313" customWidth="1"/>
    <col min="14" max="14" width="2" style="313" customWidth="1"/>
    <col min="15" max="15" width="5.5703125" style="313" customWidth="1"/>
    <col min="16" max="16" width="4.42578125" style="313" customWidth="1"/>
    <col min="17" max="16384" width="23.85546875" style="313"/>
  </cols>
  <sheetData>
    <row r="1" spans="1:17">
      <c r="A1" s="312" t="s">
        <v>213</v>
      </c>
      <c r="E1" s="313"/>
      <c r="O1" s="314"/>
    </row>
    <row r="2" spans="1:17" s="258" customFormat="1" ht="16.5" customHeight="1">
      <c r="B2" s="315" t="str">
        <f>TH!A1</f>
        <v>Đơn vị: CÔNG TY TNHH SX TM KIM DUNG PHÁT</v>
      </c>
      <c r="C2" s="316"/>
      <c r="D2" s="317"/>
      <c r="E2" s="318"/>
      <c r="F2" s="2"/>
      <c r="J2" s="1085" t="s">
        <v>214</v>
      </c>
      <c r="K2" s="1085"/>
      <c r="L2" s="1085"/>
      <c r="M2" s="1085"/>
      <c r="N2" s="319"/>
    </row>
    <row r="3" spans="1:17" s="258" customFormat="1" ht="16.5" customHeight="1">
      <c r="B3" s="580" t="str">
        <f>TH!A2</f>
        <v>Địa chỉ: 1A227/1 Ấp 1, Phạm Văn Hai, Bình Chánh, TPHCM</v>
      </c>
      <c r="C3" s="315"/>
      <c r="D3" s="315"/>
      <c r="E3" s="320"/>
      <c r="F3" s="315"/>
      <c r="J3" s="108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6"/>
      <c r="L3" s="1086"/>
      <c r="M3" s="1086"/>
      <c r="N3" s="321"/>
    </row>
    <row r="4" spans="1:17" s="258" customFormat="1" ht="16.5" customHeight="1">
      <c r="B4" s="315"/>
      <c r="C4" s="315"/>
      <c r="D4" s="315"/>
      <c r="E4" s="320"/>
      <c r="F4" s="315"/>
      <c r="J4" s="1086"/>
      <c r="K4" s="1086"/>
      <c r="L4" s="1086"/>
      <c r="M4" s="1086"/>
      <c r="N4" s="321"/>
    </row>
    <row r="5" spans="1:17" ht="18.75" customHeight="1">
      <c r="B5" s="1087" t="s">
        <v>215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322"/>
    </row>
    <row r="6" spans="1:17" s="323" customFormat="1" ht="12.75">
      <c r="B6" s="1088" t="s">
        <v>216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324"/>
    </row>
    <row r="7" spans="1:17">
      <c r="C7" s="325"/>
      <c r="D7" s="325"/>
      <c r="F7" s="327" t="s">
        <v>268</v>
      </c>
      <c r="G7" s="443" t="str">
        <f>IF($O$10="VL","1522",IF($O$10="NL","1521",IF($O$10="TP","155","")))</f>
        <v>1521</v>
      </c>
      <c r="H7" s="327" t="s">
        <v>217</v>
      </c>
      <c r="I7" s="325" t="str">
        <f>IF($O$10="NL","Nguyên Liệu",IF($O$10="TP","Thành Phẩm",IF($O$10="VL","Vật Liệu","")))</f>
        <v>Nguyên Liệu</v>
      </c>
      <c r="J7" s="325"/>
      <c r="K7" s="325"/>
      <c r="L7" s="325"/>
      <c r="M7" s="325"/>
      <c r="N7" s="326"/>
    </row>
    <row r="8" spans="1:17">
      <c r="B8" s="326"/>
      <c r="C8" s="325"/>
      <c r="D8" s="325"/>
      <c r="F8" s="326" t="s">
        <v>218</v>
      </c>
      <c r="H8" s="325"/>
      <c r="I8" s="325"/>
      <c r="J8" s="1089" t="s">
        <v>1075</v>
      </c>
      <c r="K8" s="1089"/>
      <c r="L8" s="1089"/>
      <c r="M8" s="325"/>
      <c r="N8" s="325"/>
    </row>
    <row r="9" spans="1:17">
      <c r="D9" s="328"/>
      <c r="E9" s="329"/>
      <c r="F9" s="328"/>
      <c r="G9" s="328"/>
      <c r="H9" s="328"/>
      <c r="I9" s="328"/>
      <c r="J9" s="328"/>
      <c r="K9" s="328" t="s">
        <v>123</v>
      </c>
      <c r="M9" s="330"/>
      <c r="N9" s="331"/>
    </row>
    <row r="10" spans="1:17" ht="15.75" customHeight="1">
      <c r="A10" s="1079" t="s">
        <v>35</v>
      </c>
      <c r="B10" s="1080" t="s">
        <v>1</v>
      </c>
      <c r="C10" s="1080"/>
      <c r="D10" s="1081" t="s">
        <v>0</v>
      </c>
      <c r="E10" s="1081" t="s">
        <v>219</v>
      </c>
      <c r="F10" s="1081" t="s">
        <v>207</v>
      </c>
      <c r="G10" s="1083" t="s">
        <v>220</v>
      </c>
      <c r="H10" s="1084"/>
      <c r="I10" s="1083" t="s">
        <v>221</v>
      </c>
      <c r="J10" s="1084"/>
      <c r="K10" s="1083" t="s">
        <v>222</v>
      </c>
      <c r="L10" s="1084"/>
      <c r="M10" s="1081" t="s">
        <v>127</v>
      </c>
      <c r="N10" s="332"/>
      <c r="O10" s="333" t="s">
        <v>213</v>
      </c>
    </row>
    <row r="11" spans="1:17" ht="31.5" customHeight="1">
      <c r="A11" s="1079"/>
      <c r="B11" s="334" t="s">
        <v>15</v>
      </c>
      <c r="C11" s="334" t="s">
        <v>32</v>
      </c>
      <c r="D11" s="1081"/>
      <c r="E11" s="1081"/>
      <c r="F11" s="1081"/>
      <c r="G11" s="334" t="s">
        <v>206</v>
      </c>
      <c r="H11" s="334" t="s">
        <v>208</v>
      </c>
      <c r="I11" s="334" t="s">
        <v>206</v>
      </c>
      <c r="J11" s="334" t="s">
        <v>208</v>
      </c>
      <c r="K11" s="334" t="s">
        <v>206</v>
      </c>
      <c r="L11" s="334" t="s">
        <v>208</v>
      </c>
      <c r="M11" s="1081"/>
      <c r="N11" s="332"/>
    </row>
    <row r="12" spans="1:17" s="326" customFormat="1">
      <c r="A12" s="335"/>
      <c r="B12" s="336" t="s">
        <v>2</v>
      </c>
      <c r="C12" s="337" t="s">
        <v>3</v>
      </c>
      <c r="D12" s="337" t="s">
        <v>4</v>
      </c>
      <c r="E12" s="336" t="s">
        <v>5</v>
      </c>
      <c r="F12" s="336">
        <v>1</v>
      </c>
      <c r="G12" s="336">
        <v>2</v>
      </c>
      <c r="H12" s="336" t="s">
        <v>224</v>
      </c>
      <c r="I12" s="336">
        <v>4</v>
      </c>
      <c r="J12" s="336" t="s">
        <v>225</v>
      </c>
      <c r="K12" s="336">
        <v>6</v>
      </c>
      <c r="L12" s="336" t="s">
        <v>226</v>
      </c>
      <c r="M12" s="336"/>
      <c r="N12" s="338"/>
    </row>
    <row r="13" spans="1:17" hidden="1">
      <c r="A13" s="339"/>
      <c r="B13" s="339"/>
      <c r="C13" s="339"/>
      <c r="D13" s="340" t="s">
        <v>144</v>
      </c>
      <c r="E13" s="341"/>
      <c r="F13" s="342"/>
      <c r="G13" s="342"/>
      <c r="H13" s="342"/>
      <c r="I13" s="342"/>
      <c r="J13" s="342"/>
      <c r="K13" s="343">
        <f>VLOOKUP($J$8,NXT!$C$12:$L$344,3,0)</f>
        <v>0</v>
      </c>
      <c r="L13" s="343">
        <f>VLOOKUP($J$8,NXT!$C$12:$L$344,4,0)</f>
        <v>0</v>
      </c>
      <c r="M13" s="342"/>
      <c r="N13" s="338"/>
    </row>
    <row r="14" spans="1:17">
      <c r="A14" s="309">
        <f ca="1">IF(B14="","",ROW()-13)</f>
        <v>1</v>
      </c>
      <c r="B14" s="344" t="str">
        <f ca="1">IF(ROWS($1:1)&gt;COUNT(Dong11),"",OFFSET(TH!D$1,SMALL(Dong11,ROWS($1:1)),))</f>
        <v>NL/N10</v>
      </c>
      <c r="C14" s="345">
        <f ca="1">IF(ROWS($1:1)&gt;COUNT(Dong11),"",OFFSET(TH!E$1,SMALL(Dong11,ROWS($1:1)),))</f>
        <v>41820</v>
      </c>
      <c r="D14" s="346" t="str">
        <f ca="1">IF(ROWS($1:1)&gt;COUNT(Dong11),"",OFFSET(TH!H$1,SMALL(Dong11,ROWS($1:1)),))</f>
        <v>Cty TNHH SX-TM Vĩnh Phúc</v>
      </c>
      <c r="E14" s="344" t="str">
        <f ca="1">IF(ROWS($1:1)&gt;COUNT(Dong11),"",IF(OFFSET(TH!L$1,SMALL(Dong11,ROWS($1:1)),)=$G$7,OFFSET(TH!M$1,SMALL(Dong11,ROWS($1:1)),),OFFSET(TH!L$1,SMALL(Dong11,ROWS($1:1)),)))</f>
        <v>331</v>
      </c>
      <c r="F14" s="347">
        <f ca="1">IF(ROWS($1:1)&gt;COUNT(Dong11),0,OFFSET(TH!J$1,SMALL(Dong11,ROWS($1:1)),))</f>
        <v>8500</v>
      </c>
      <c r="G14" s="347">
        <f ca="1">IF(ROWS($1:1)&gt;COUNT(Dong11),0,IF(MID(OFFSET(TH!D$1,SMALL(Dong11,ROWS($1:1)),),4,1)="N",OFFSET(TH!I$1,SMALL(Dong11,ROWS($1:1)),),0))</f>
        <v>10230</v>
      </c>
      <c r="H14" s="348">
        <f ca="1">ROUND(F14*G14,0)</f>
        <v>86955000</v>
      </c>
      <c r="I14" s="347">
        <f ca="1">IF(ROWS($1:1)&gt;COUNT(Dong11),0,IF(MID(OFFSET(TH!D$1,SMALL(Dong11,ROWS($1:1)),),4,1)="X",OFFSET(TH!I$1,SMALL(Dong11,ROWS($1:1)),),0))</f>
        <v>0</v>
      </c>
      <c r="J14" s="348">
        <f ca="1">ROUND(F14*I14,0)</f>
        <v>0</v>
      </c>
      <c r="K14" s="348">
        <f ca="1">IF(D14&lt;&gt;"",K13+G14-I14,0)</f>
        <v>10230</v>
      </c>
      <c r="L14" s="348">
        <f ca="1">IF(D14&lt;&gt;"",L13+H14-J14,0)</f>
        <v>86955000</v>
      </c>
      <c r="M14" s="348"/>
      <c r="N14" s="338"/>
    </row>
    <row r="15" spans="1:17" hidden="1">
      <c r="A15" s="309">
        <f t="shared" ref="A15:A72" ca="1" si="0">IF(B15="","",ROW()-13)</f>
        <v>2</v>
      </c>
      <c r="B15" s="344" t="str">
        <f ca="1">IF(ROWS($1:2)&gt;COUNT(Dong11),"",OFFSET(TH!D$1,SMALL(Dong11,ROWS($1:2)),))</f>
        <v>NL/N01</v>
      </c>
      <c r="C15" s="345">
        <f ca="1">IF(ROWS($1:2)&gt;COUNT(Dong11),"",OFFSET(TH!E$1,SMALL(Dong11,ROWS($1:2)),))</f>
        <v>41823</v>
      </c>
      <c r="D15" s="346" t="str">
        <f ca="1">IF(ROWS($1:2)&gt;COUNT(Dong11),"",OFFSET(TH!H$1,SMALL(Dong11,ROWS($1:2)),))</f>
        <v>Cty MTV TM SX Giấy Trường Phước</v>
      </c>
      <c r="E15" s="344" t="str">
        <f ca="1">IF(ROWS($1:2)&gt;COUNT(Dong11),"",IF(OFFSET(TH!L$1,SMALL(Dong11,ROWS($1:2)),)=$G$7,OFFSET(TH!M$1,SMALL(Dong11,ROWS($1:2)),),OFFSET(TH!L$1,SMALL(Dong11,ROWS($1:2)),)))</f>
        <v>331</v>
      </c>
      <c r="F15" s="347">
        <f ca="1">IF(ROWS($1:2)&gt;COUNT(Dong11),0,OFFSET(TH!J$1,SMALL(Dong11,ROWS($1:2)),))</f>
        <v>7500</v>
      </c>
      <c r="G15" s="347">
        <f ca="1">IF(ROWS($1:2)&gt;COUNT(Dong11),0,IF(MID(OFFSET(TH!D$1,SMALL(Dong11,ROWS($1:2)),),4,1)="N",OFFSET(TH!I$1,SMALL(Dong11,ROWS($1:2)),),0))</f>
        <v>7379</v>
      </c>
      <c r="H15" s="348">
        <f t="shared" ref="H15:H72" ca="1" si="1">ROUND(F15*G15,0)</f>
        <v>55342500</v>
      </c>
      <c r="I15" s="347">
        <f ca="1">IF(ROWS($1:2)&gt;COUNT(Dong11),0,IF(MID(OFFSET(TH!D$1,SMALL(Dong11,ROWS($1:2)),),4,1)="X",OFFSET(TH!I$1,SMALL(Dong11,ROWS($1:2)),),0))</f>
        <v>0</v>
      </c>
      <c r="J15" s="348">
        <f t="shared" ref="J15:J72" ca="1" si="2">ROUND(F15*I15,0)</f>
        <v>0</v>
      </c>
      <c r="K15" s="348">
        <f t="shared" ref="K15:K72" ca="1" si="3">IF(D15&lt;&gt;"",K14+G15-I15,0)</f>
        <v>17609</v>
      </c>
      <c r="L15" s="348">
        <f t="shared" ref="L15:L72" ca="1" si="4">IF(D15&lt;&gt;"",L14+H15-J15,0)</f>
        <v>142297500</v>
      </c>
      <c r="M15" s="348"/>
      <c r="N15" s="338"/>
      <c r="Q15" s="349"/>
    </row>
    <row r="16" spans="1:17" hidden="1">
      <c r="A16" s="309">
        <f t="shared" ca="1" si="0"/>
        <v>3</v>
      </c>
      <c r="B16" s="344" t="str">
        <f ca="1">IF(ROWS($1:3)&gt;COUNT(Dong11),"",OFFSET(TH!D$1,SMALL(Dong11,ROWS($1:3)),))</f>
        <v>NL/N01</v>
      </c>
      <c r="C16" s="345">
        <f ca="1">IF(ROWS($1:3)&gt;COUNT(Dong11),"",OFFSET(TH!E$1,SMALL(Dong11,ROWS($1:3)),))</f>
        <v>41823</v>
      </c>
      <c r="D16" s="346" t="str">
        <f ca="1">IF(ROWS($1:3)&gt;COUNT(Dong11),"",OFFSET(TH!H$1,SMALL(Dong11,ROWS($1:3)),))</f>
        <v>Cty MTV TM SX Giấy Trường Phước</v>
      </c>
      <c r="E16" s="344" t="str">
        <f ca="1">IF(ROWS($1:3)&gt;COUNT(Dong11),"",IF(OFFSET(TH!L$1,SMALL(Dong11,ROWS($1:3)),)=$G$7,OFFSET(TH!M$1,SMALL(Dong11,ROWS($1:3)),),OFFSET(TH!L$1,SMALL(Dong11,ROWS($1:3)),)))</f>
        <v>331</v>
      </c>
      <c r="F16" s="347">
        <f ca="1">IF(ROWS($1:3)&gt;COUNT(Dong11),0,OFFSET(TH!J$1,SMALL(Dong11,ROWS($1:3)),))</f>
        <v>7200</v>
      </c>
      <c r="G16" s="347">
        <f ca="1">IF(ROWS($1:3)&gt;COUNT(Dong11),0,IF(MID(OFFSET(TH!D$1,SMALL(Dong11,ROWS($1:3)),),4,1)="N",OFFSET(TH!I$1,SMALL(Dong11,ROWS($1:3)),),0))</f>
        <v>5973</v>
      </c>
      <c r="H16" s="348">
        <f t="shared" ca="1" si="1"/>
        <v>43005600</v>
      </c>
      <c r="I16" s="347">
        <f ca="1">IF(ROWS($1:3)&gt;COUNT(Dong11),0,IF(MID(OFFSET(TH!D$1,SMALL(Dong11,ROWS($1:3)),),4,1)="X",OFFSET(TH!I$1,SMALL(Dong11,ROWS($1:3)),),0))</f>
        <v>0</v>
      </c>
      <c r="J16" s="348">
        <f t="shared" ca="1" si="2"/>
        <v>0</v>
      </c>
      <c r="K16" s="348">
        <f t="shared" ca="1" si="3"/>
        <v>23582</v>
      </c>
      <c r="L16" s="348">
        <f t="shared" ca="1" si="4"/>
        <v>185303100</v>
      </c>
      <c r="M16" s="348"/>
      <c r="N16" s="338"/>
    </row>
    <row r="17" spans="1:16">
      <c r="A17" s="309">
        <f t="shared" ca="1" si="0"/>
        <v>4</v>
      </c>
      <c r="B17" s="344" t="str">
        <f ca="1">IF(ROWS($1:4)&gt;COUNT(Dong11),"",OFFSET(TH!D$1,SMALL(Dong11,ROWS($1:4)),))</f>
        <v>NL/N02</v>
      </c>
      <c r="C17" s="345">
        <f ca="1">IF(ROWS($1:4)&gt;COUNT(Dong11),"",OFFSET(TH!E$1,SMALL(Dong11,ROWS($1:4)),))</f>
        <v>41826</v>
      </c>
      <c r="D17" s="346" t="str">
        <f ca="1">IF(ROWS($1:4)&gt;COUNT(Dong11),"",OFFSET(TH!H$1,SMALL(Dong11,ROWS($1:4)),))</f>
        <v>Cty TNHH SX-TM Vĩnh Phúc</v>
      </c>
      <c r="E17" s="344" t="str">
        <f ca="1">IF(ROWS($1:4)&gt;COUNT(Dong11),"",IF(OFFSET(TH!L$1,SMALL(Dong11,ROWS($1:4)),)=$G$7,OFFSET(TH!M$1,SMALL(Dong11,ROWS($1:4)),),OFFSET(TH!L$1,SMALL(Dong11,ROWS($1:4)),)))</f>
        <v>331</v>
      </c>
      <c r="F17" s="347">
        <f ca="1">IF(ROWS($1:4)&gt;COUNT(Dong11),0,OFFSET(TH!J$1,SMALL(Dong11,ROWS($1:4)),))</f>
        <v>8500</v>
      </c>
      <c r="G17" s="347">
        <f ca="1">IF(ROWS($1:4)&gt;COUNT(Dong11),0,IF(MID(OFFSET(TH!D$1,SMALL(Dong11,ROWS($1:4)),),4,1)="N",OFFSET(TH!I$1,SMALL(Dong11,ROWS($1:4)),),0))</f>
        <v>9665</v>
      </c>
      <c r="H17" s="348">
        <f t="shared" ca="1" si="1"/>
        <v>82152500</v>
      </c>
      <c r="I17" s="347">
        <f ca="1">IF(ROWS($1:4)&gt;COUNT(Dong11),0,IF(MID(OFFSET(TH!D$1,SMALL(Dong11,ROWS($1:4)),),4,1)="X",OFFSET(TH!I$1,SMALL(Dong11,ROWS($1:4)),),0))</f>
        <v>0</v>
      </c>
      <c r="J17" s="348">
        <f t="shared" ca="1" si="2"/>
        <v>0</v>
      </c>
      <c r="K17" s="348">
        <f t="shared" ca="1" si="3"/>
        <v>33247</v>
      </c>
      <c r="L17" s="348">
        <f t="shared" ca="1" si="4"/>
        <v>267455600</v>
      </c>
      <c r="M17" s="348"/>
      <c r="N17" s="338"/>
      <c r="P17" s="350"/>
    </row>
    <row r="18" spans="1:16">
      <c r="A18" s="309">
        <f t="shared" ca="1" si="0"/>
        <v>5</v>
      </c>
      <c r="B18" s="344" t="str">
        <f ca="1">IF(ROWS($1:5)&gt;COUNT(Dong11),"",OFFSET(TH!D$1,SMALL(Dong11,ROWS($1:5)),))</f>
        <v>NL/N04</v>
      </c>
      <c r="C18" s="345">
        <f ca="1">IF(ROWS($1:5)&gt;COUNT(Dong11),"",OFFSET(TH!E$1,SMALL(Dong11,ROWS($1:5)),))</f>
        <v>41830</v>
      </c>
      <c r="D18" s="346" t="str">
        <f ca="1">IF(ROWS($1:5)&gt;COUNT(Dong11),"",OFFSET(TH!H$1,SMALL(Dong11,ROWS($1:5)),))</f>
        <v>Cty TNHH SX-TM Vĩnh Phúc</v>
      </c>
      <c r="E18" s="344" t="str">
        <f ca="1">IF(ROWS($1:5)&gt;COUNT(Dong11),"",IF(OFFSET(TH!L$1,SMALL(Dong11,ROWS($1:5)),)=$G$7,OFFSET(TH!M$1,SMALL(Dong11,ROWS($1:5)),),OFFSET(TH!L$1,SMALL(Dong11,ROWS($1:5)),)))</f>
        <v>331</v>
      </c>
      <c r="F18" s="347">
        <f ca="1">IF(ROWS($1:5)&gt;COUNT(Dong11),0,OFFSET(TH!J$1,SMALL(Dong11,ROWS($1:5)),))</f>
        <v>8500</v>
      </c>
      <c r="G18" s="347">
        <f ca="1">IF(ROWS($1:5)&gt;COUNT(Dong11),0,IF(MID(OFFSET(TH!D$1,SMALL(Dong11,ROWS($1:5)),),4,1)="N",OFFSET(TH!I$1,SMALL(Dong11,ROWS($1:5)),),0))</f>
        <v>15247</v>
      </c>
      <c r="H18" s="348">
        <f t="shared" ca="1" si="1"/>
        <v>129599500</v>
      </c>
      <c r="I18" s="347">
        <f ca="1">IF(ROWS($1:5)&gt;COUNT(Dong11),0,IF(MID(OFFSET(TH!D$1,SMALL(Dong11,ROWS($1:5)),),4,1)="X",OFFSET(TH!I$1,SMALL(Dong11,ROWS($1:5)),),0))</f>
        <v>0</v>
      </c>
      <c r="J18" s="348">
        <f t="shared" ca="1" si="2"/>
        <v>0</v>
      </c>
      <c r="K18" s="348">
        <f t="shared" ca="1" si="3"/>
        <v>48494</v>
      </c>
      <c r="L18" s="348">
        <f t="shared" ca="1" si="4"/>
        <v>397055100</v>
      </c>
      <c r="M18" s="348"/>
      <c r="N18" s="338"/>
    </row>
    <row r="19" spans="1:16" hidden="1">
      <c r="A19" s="309">
        <f t="shared" ca="1" si="0"/>
        <v>6</v>
      </c>
      <c r="B19" s="344" t="str">
        <f ca="1">IF(ROWS($1:6)&gt;COUNT(Dong11),"",OFFSET(TH!D$1,SMALL(Dong11,ROWS($1:6)),))</f>
        <v>NL/N06</v>
      </c>
      <c r="C19" s="345">
        <f ca="1">IF(ROWS($1:6)&gt;COUNT(Dong11),"",OFFSET(TH!E$1,SMALL(Dong11,ROWS($1:6)),))</f>
        <v>41834</v>
      </c>
      <c r="D19" s="346" t="str">
        <f ca="1">IF(ROWS($1:6)&gt;COUNT(Dong11),"",OFFSET(TH!H$1,SMALL(Dong11,ROWS($1:6)),))</f>
        <v>Cty MTV TM SX Giấy Trường Phước</v>
      </c>
      <c r="E19" s="344" t="str">
        <f ca="1">IF(ROWS($1:6)&gt;COUNT(Dong11),"",IF(OFFSET(TH!L$1,SMALL(Dong11,ROWS($1:6)),)=$G$7,OFFSET(TH!M$1,SMALL(Dong11,ROWS($1:6)),),OFFSET(TH!L$1,SMALL(Dong11,ROWS($1:6)),)))</f>
        <v>331</v>
      </c>
      <c r="F19" s="347">
        <f ca="1">IF(ROWS($1:6)&gt;COUNT(Dong11),0,OFFSET(TH!J$1,SMALL(Dong11,ROWS($1:6)),))</f>
        <v>7200</v>
      </c>
      <c r="G19" s="347">
        <f ca="1">IF(ROWS($1:6)&gt;COUNT(Dong11),0,IF(MID(OFFSET(TH!D$1,SMALL(Dong11,ROWS($1:6)),),4,1)="N",OFFSET(TH!I$1,SMALL(Dong11,ROWS($1:6)),),0))</f>
        <v>1663</v>
      </c>
      <c r="H19" s="348">
        <f t="shared" ca="1" si="1"/>
        <v>11973600</v>
      </c>
      <c r="I19" s="347">
        <f ca="1">IF(ROWS($1:6)&gt;COUNT(Dong11),0,IF(MID(OFFSET(TH!D$1,SMALL(Dong11,ROWS($1:6)),),4,1)="X",OFFSET(TH!I$1,SMALL(Dong11,ROWS($1:6)),),0))</f>
        <v>0</v>
      </c>
      <c r="J19" s="348">
        <f t="shared" ca="1" si="2"/>
        <v>0</v>
      </c>
      <c r="K19" s="348">
        <f t="shared" ca="1" si="3"/>
        <v>50157</v>
      </c>
      <c r="L19" s="348">
        <f t="shared" ca="1" si="4"/>
        <v>409028700</v>
      </c>
      <c r="M19" s="348"/>
      <c r="N19" s="338"/>
    </row>
    <row r="20" spans="1:16" hidden="1">
      <c r="A20" s="309">
        <f t="shared" ca="1" si="0"/>
        <v>7</v>
      </c>
      <c r="B20" s="344" t="str">
        <f ca="1">IF(ROWS($1:7)&gt;COUNT(Dong11),"",OFFSET(TH!D$1,SMALL(Dong11,ROWS($1:7)),))</f>
        <v>NL/N06</v>
      </c>
      <c r="C20" s="345">
        <f ca="1">IF(ROWS($1:7)&gt;COUNT(Dong11),"",OFFSET(TH!E$1,SMALL(Dong11,ROWS($1:7)),))</f>
        <v>41834</v>
      </c>
      <c r="D20" s="346" t="str">
        <f ca="1">IF(ROWS($1:7)&gt;COUNT(Dong11),"",OFFSET(TH!H$1,SMALL(Dong11,ROWS($1:7)),))</f>
        <v>Cty MTV TM SX Giấy Trường Phước</v>
      </c>
      <c r="E20" s="344" t="str">
        <f ca="1">IF(ROWS($1:7)&gt;COUNT(Dong11),"",IF(OFFSET(TH!L$1,SMALL(Dong11,ROWS($1:7)),)=$G$7,OFFSET(TH!M$1,SMALL(Dong11,ROWS($1:7)),),OFFSET(TH!L$1,SMALL(Dong11,ROWS($1:7)),)))</f>
        <v>331</v>
      </c>
      <c r="F20" s="347">
        <f ca="1">IF(ROWS($1:7)&gt;COUNT(Dong11),0,OFFSET(TH!J$1,SMALL(Dong11,ROWS($1:7)),))</f>
        <v>7500</v>
      </c>
      <c r="G20" s="347">
        <f ca="1">IF(ROWS($1:7)&gt;COUNT(Dong11),0,IF(MID(OFFSET(TH!D$1,SMALL(Dong11,ROWS($1:7)),),4,1)="N",OFFSET(TH!I$1,SMALL(Dong11,ROWS($1:7)),),0))</f>
        <v>1821</v>
      </c>
      <c r="H20" s="348">
        <f t="shared" ca="1" si="1"/>
        <v>13657500</v>
      </c>
      <c r="I20" s="347">
        <f ca="1">IF(ROWS($1:7)&gt;COUNT(Dong11),0,IF(MID(OFFSET(TH!D$1,SMALL(Dong11,ROWS($1:7)),),4,1)="X",OFFSET(TH!I$1,SMALL(Dong11,ROWS($1:7)),),0))</f>
        <v>0</v>
      </c>
      <c r="J20" s="348">
        <f t="shared" ca="1" si="2"/>
        <v>0</v>
      </c>
      <c r="K20" s="348">
        <f t="shared" ca="1" si="3"/>
        <v>51978</v>
      </c>
      <c r="L20" s="348">
        <f t="shared" ca="1" si="4"/>
        <v>422686200</v>
      </c>
      <c r="M20" s="348"/>
      <c r="N20" s="338"/>
    </row>
    <row r="21" spans="1:16">
      <c r="A21" s="309">
        <f t="shared" ca="1" si="0"/>
        <v>8</v>
      </c>
      <c r="B21" s="344" t="str">
        <f ca="1">IF(ROWS($1:8)&gt;COUNT(Dong11),"",OFFSET(TH!D$1,SMALL(Dong11,ROWS($1:8)),))</f>
        <v>NL/N08</v>
      </c>
      <c r="C21" s="345">
        <f ca="1">IF(ROWS($1:8)&gt;COUNT(Dong11),"",OFFSET(TH!E$1,SMALL(Dong11,ROWS($1:8)),))</f>
        <v>41835</v>
      </c>
      <c r="D21" s="346" t="str">
        <f ca="1">IF(ROWS($1:8)&gt;COUNT(Dong11),"",OFFSET(TH!H$1,SMALL(Dong11,ROWS($1:8)),))</f>
        <v>Cty TNHH SX-TM Vĩnh Phúc</v>
      </c>
      <c r="E21" s="344" t="str">
        <f ca="1">IF(ROWS($1:8)&gt;COUNT(Dong11),"",IF(OFFSET(TH!L$1,SMALL(Dong11,ROWS($1:8)),)=$G$7,OFFSET(TH!M$1,SMALL(Dong11,ROWS($1:8)),),OFFSET(TH!L$1,SMALL(Dong11,ROWS($1:8)),)))</f>
        <v>331</v>
      </c>
      <c r="F21" s="347">
        <f ca="1">IF(ROWS($1:8)&gt;COUNT(Dong11),0,OFFSET(TH!J$1,SMALL(Dong11,ROWS($1:8)),))</f>
        <v>8500</v>
      </c>
      <c r="G21" s="347">
        <f ca="1">IF(ROWS($1:8)&gt;COUNT(Dong11),0,IF(MID(OFFSET(TH!D$1,SMALL(Dong11,ROWS($1:8)),),4,1)="N",OFFSET(TH!I$1,SMALL(Dong11,ROWS($1:8)),),0))</f>
        <v>9240</v>
      </c>
      <c r="H21" s="348">
        <f t="shared" ca="1" si="1"/>
        <v>78540000</v>
      </c>
      <c r="I21" s="347">
        <f ca="1">IF(ROWS($1:8)&gt;COUNT(Dong11),0,IF(MID(OFFSET(TH!D$1,SMALL(Dong11,ROWS($1:8)),),4,1)="X",OFFSET(TH!I$1,SMALL(Dong11,ROWS($1:8)),),0))</f>
        <v>0</v>
      </c>
      <c r="J21" s="348">
        <f t="shared" ca="1" si="2"/>
        <v>0</v>
      </c>
      <c r="K21" s="348">
        <f t="shared" ca="1" si="3"/>
        <v>61218</v>
      </c>
      <c r="L21" s="348">
        <f t="shared" ca="1" si="4"/>
        <v>501226200</v>
      </c>
      <c r="M21" s="348"/>
      <c r="N21" s="338"/>
    </row>
    <row r="22" spans="1:16">
      <c r="A22" s="309">
        <f t="shared" ca="1" si="0"/>
        <v>9</v>
      </c>
      <c r="B22" s="344" t="str">
        <f ca="1">IF(ROWS($1:9)&gt;COUNT(Dong11),"",OFFSET(TH!D$1,SMALL(Dong11,ROWS($1:9)),))</f>
        <v>NL/N13</v>
      </c>
      <c r="C22" s="345">
        <f ca="1">IF(ROWS($1:9)&gt;COUNT(Dong11),"",OFFSET(TH!E$1,SMALL(Dong11,ROWS($1:9)),))</f>
        <v>41847</v>
      </c>
      <c r="D22" s="346" t="str">
        <f ca="1">IF(ROWS($1:9)&gt;COUNT(Dong11),"",OFFSET(TH!H$1,SMALL(Dong11,ROWS($1:9)),))</f>
        <v>Cty TNHH SX-TM Vĩnh Phúc</v>
      </c>
      <c r="E22" s="344" t="str">
        <f ca="1">IF(ROWS($1:9)&gt;COUNT(Dong11),"",IF(OFFSET(TH!L$1,SMALL(Dong11,ROWS($1:9)),)=$G$7,OFFSET(TH!M$1,SMALL(Dong11,ROWS($1:9)),),OFFSET(TH!L$1,SMALL(Dong11,ROWS($1:9)),)))</f>
        <v>331</v>
      </c>
      <c r="F22" s="347">
        <f ca="1">IF(ROWS($1:9)&gt;COUNT(Dong11),0,OFFSET(TH!J$1,SMALL(Dong11,ROWS($1:9)),))</f>
        <v>8500</v>
      </c>
      <c r="G22" s="347">
        <f ca="1">IF(ROWS($1:9)&gt;COUNT(Dong11),0,IF(MID(OFFSET(TH!D$1,SMALL(Dong11,ROWS($1:9)),),4,1)="N",OFFSET(TH!I$1,SMALL(Dong11,ROWS($1:9)),),0))</f>
        <v>5880</v>
      </c>
      <c r="H22" s="348">
        <f t="shared" ca="1" si="1"/>
        <v>49980000</v>
      </c>
      <c r="I22" s="347">
        <f ca="1">IF(ROWS($1:9)&gt;COUNT(Dong11),0,IF(MID(OFFSET(TH!D$1,SMALL(Dong11,ROWS($1:9)),),4,1)="X",OFFSET(TH!I$1,SMALL(Dong11,ROWS($1:9)),),0))</f>
        <v>0</v>
      </c>
      <c r="J22" s="348">
        <f t="shared" ca="1" si="2"/>
        <v>0</v>
      </c>
      <c r="K22" s="348">
        <f t="shared" ca="1" si="3"/>
        <v>67098</v>
      </c>
      <c r="L22" s="348">
        <f t="shared" ca="1" si="4"/>
        <v>551206200</v>
      </c>
      <c r="M22" s="348"/>
      <c r="N22" s="338"/>
    </row>
    <row r="23" spans="1:16">
      <c r="A23" s="309">
        <f t="shared" ca="1" si="0"/>
        <v>10</v>
      </c>
      <c r="B23" s="344" t="str">
        <f ca="1">IF(ROWS($1:10)&gt;COUNT(Dong11),"",OFFSET(TH!D$1,SMALL(Dong11,ROWS($1:10)),))</f>
        <v>NL/N17</v>
      </c>
      <c r="C23" s="345">
        <f ca="1">IF(ROWS($1:10)&gt;COUNT(Dong11),"",OFFSET(TH!E$1,SMALL(Dong11,ROWS($1:10)),))</f>
        <v>41852</v>
      </c>
      <c r="D23" s="346" t="str">
        <f ca="1">IF(ROWS($1:10)&gt;COUNT(Dong11),"",OFFSET(TH!H$1,SMALL(Dong11,ROWS($1:10)),))</f>
        <v>Cty TNHH SX-TM Vĩnh Phúc</v>
      </c>
      <c r="E23" s="344" t="str">
        <f ca="1">IF(ROWS($1:10)&gt;COUNT(Dong11),"",IF(OFFSET(TH!L$1,SMALL(Dong11,ROWS($1:10)),)=$G$7,OFFSET(TH!M$1,SMALL(Dong11,ROWS($1:10)),),OFFSET(TH!L$1,SMALL(Dong11,ROWS($1:10)),)))</f>
        <v>331</v>
      </c>
      <c r="F23" s="347">
        <f ca="1">IF(ROWS($1:10)&gt;COUNT(Dong11),0,OFFSET(TH!J$1,SMALL(Dong11,ROWS($1:10)),))</f>
        <v>8500</v>
      </c>
      <c r="G23" s="347">
        <f ca="1">IF(ROWS($1:10)&gt;COUNT(Dong11),0,IF(MID(OFFSET(TH!D$1,SMALL(Dong11,ROWS($1:10)),),4,1)="N",OFFSET(TH!I$1,SMALL(Dong11,ROWS($1:10)),),0))</f>
        <v>5710</v>
      </c>
      <c r="H23" s="348">
        <f t="shared" ca="1" si="1"/>
        <v>48535000</v>
      </c>
      <c r="I23" s="347">
        <f ca="1">IF(ROWS($1:10)&gt;COUNT(Dong11),0,IF(MID(OFFSET(TH!D$1,SMALL(Dong11,ROWS($1:10)),),4,1)="X",OFFSET(TH!I$1,SMALL(Dong11,ROWS($1:10)),),0))</f>
        <v>0</v>
      </c>
      <c r="J23" s="348">
        <f t="shared" ca="1" si="2"/>
        <v>0</v>
      </c>
      <c r="K23" s="348">
        <f t="shared" ca="1" si="3"/>
        <v>72808</v>
      </c>
      <c r="L23" s="348">
        <f t="shared" ca="1" si="4"/>
        <v>599741200</v>
      </c>
      <c r="M23" s="348"/>
      <c r="N23" s="338"/>
    </row>
    <row r="24" spans="1:16" hidden="1">
      <c r="A24" s="309">
        <f t="shared" ca="1" si="0"/>
        <v>11</v>
      </c>
      <c r="B24" s="344" t="str">
        <f ca="1">IF(ROWS($1:11)&gt;COUNT(Dong11),"",OFFSET(TH!D$1,SMALL(Dong11,ROWS($1:11)),))</f>
        <v>NL/N18</v>
      </c>
      <c r="C24" s="345">
        <f ca="1">IF(ROWS($1:11)&gt;COUNT(Dong11),"",OFFSET(TH!E$1,SMALL(Dong11,ROWS($1:11)),))</f>
        <v>41853</v>
      </c>
      <c r="D24" s="346" t="str">
        <f ca="1">IF(ROWS($1:11)&gt;COUNT(Dong11),"",OFFSET(TH!H$1,SMALL(Dong11,ROWS($1:11)),))</f>
        <v>Cty TNHH Giấy Minh Đạt</v>
      </c>
      <c r="E24" s="344" t="str">
        <f ca="1">IF(ROWS($1:11)&gt;COUNT(Dong11),"",IF(OFFSET(TH!L$1,SMALL(Dong11,ROWS($1:11)),)=$G$7,OFFSET(TH!M$1,SMALL(Dong11,ROWS($1:11)),),OFFSET(TH!L$1,SMALL(Dong11,ROWS($1:11)),)))</f>
        <v>331</v>
      </c>
      <c r="F24" s="347">
        <f ca="1">IF(ROWS($1:11)&gt;COUNT(Dong11),0,OFFSET(TH!J$1,SMALL(Dong11,ROWS($1:11)),))</f>
        <v>7600</v>
      </c>
      <c r="G24" s="347">
        <f ca="1">IF(ROWS($1:11)&gt;COUNT(Dong11),0,IF(MID(OFFSET(TH!D$1,SMALL(Dong11,ROWS($1:11)),),4,1)="N",OFFSET(TH!I$1,SMALL(Dong11,ROWS($1:11)),),0))</f>
        <v>11999</v>
      </c>
      <c r="H24" s="348">
        <f t="shared" ca="1" si="1"/>
        <v>91192400</v>
      </c>
      <c r="I24" s="347">
        <f ca="1">IF(ROWS($1:11)&gt;COUNT(Dong11),0,IF(MID(OFFSET(TH!D$1,SMALL(Dong11,ROWS($1:11)),),4,1)="X",OFFSET(TH!I$1,SMALL(Dong11,ROWS($1:11)),),0))</f>
        <v>0</v>
      </c>
      <c r="J24" s="348">
        <f t="shared" ca="1" si="2"/>
        <v>0</v>
      </c>
      <c r="K24" s="348">
        <f t="shared" ca="1" si="3"/>
        <v>84807</v>
      </c>
      <c r="L24" s="348">
        <f t="shared" ca="1" si="4"/>
        <v>690933600</v>
      </c>
      <c r="M24" s="348"/>
      <c r="N24" s="338"/>
    </row>
    <row r="25" spans="1:16" hidden="1">
      <c r="A25" s="309">
        <f t="shared" ca="1" si="0"/>
        <v>12</v>
      </c>
      <c r="B25" s="344" t="str">
        <f ca="1">IF(ROWS($1:12)&gt;COUNT(Dong11),"",OFFSET(TH!D$1,SMALL(Dong11,ROWS($1:12)),))</f>
        <v>NL/N19</v>
      </c>
      <c r="C25" s="345">
        <f ca="1">IF(ROWS($1:12)&gt;COUNT(Dong11),"",OFFSET(TH!E$1,SMALL(Dong11,ROWS($1:12)),))</f>
        <v>41853</v>
      </c>
      <c r="D25" s="346" t="str">
        <f ca="1">IF(ROWS($1:12)&gt;COUNT(Dong11),"",OFFSET(TH!H$1,SMALL(Dong11,ROWS($1:12)),))</f>
        <v>Cty Giấy &amp; Bao Bì Đồng Tiến -CN Bình Dương</v>
      </c>
      <c r="E25" s="344" t="str">
        <f ca="1">IF(ROWS($1:12)&gt;COUNT(Dong11),"",IF(OFFSET(TH!L$1,SMALL(Dong11,ROWS($1:12)),)=$G$7,OFFSET(TH!M$1,SMALL(Dong11,ROWS($1:12)),),OFFSET(TH!L$1,SMALL(Dong11,ROWS($1:12)),)))</f>
        <v>331</v>
      </c>
      <c r="F25" s="347">
        <f ca="1">IF(ROWS($1:12)&gt;COUNT(Dong11),0,OFFSET(TH!J$1,SMALL(Dong11,ROWS($1:12)),))</f>
        <v>9000</v>
      </c>
      <c r="G25" s="347">
        <f ca="1">IF(ROWS($1:12)&gt;COUNT(Dong11),0,IF(MID(OFFSET(TH!D$1,SMALL(Dong11,ROWS($1:12)),),4,1)="N",OFFSET(TH!I$1,SMALL(Dong11,ROWS($1:12)),),0))</f>
        <v>1320</v>
      </c>
      <c r="H25" s="348">
        <f t="shared" ca="1" si="1"/>
        <v>11880000</v>
      </c>
      <c r="I25" s="347">
        <f ca="1">IF(ROWS($1:12)&gt;COUNT(Dong11),0,IF(MID(OFFSET(TH!D$1,SMALL(Dong11,ROWS($1:12)),),4,1)="X",OFFSET(TH!I$1,SMALL(Dong11,ROWS($1:12)),),0))</f>
        <v>0</v>
      </c>
      <c r="J25" s="348">
        <f t="shared" ca="1" si="2"/>
        <v>0</v>
      </c>
      <c r="K25" s="348">
        <f t="shared" ca="1" si="3"/>
        <v>86127</v>
      </c>
      <c r="L25" s="348">
        <f t="shared" ca="1" si="4"/>
        <v>702813600</v>
      </c>
      <c r="M25" s="348"/>
      <c r="N25" s="338"/>
    </row>
    <row r="26" spans="1:16" hidden="1">
      <c r="A26" s="309">
        <f t="shared" ca="1" si="0"/>
        <v>13</v>
      </c>
      <c r="B26" s="344" t="str">
        <f ca="1">IF(ROWS($1:13)&gt;COUNT(Dong11),"",OFFSET(TH!D$1,SMALL(Dong11,ROWS($1:13)),))</f>
        <v>NL/N20</v>
      </c>
      <c r="C26" s="345">
        <f ca="1">IF(ROWS($1:13)&gt;COUNT(Dong11),"",OFFSET(TH!E$1,SMALL(Dong11,ROWS($1:13)),))</f>
        <v>41858</v>
      </c>
      <c r="D26" s="346" t="str">
        <f ca="1">IF(ROWS($1:13)&gt;COUNT(Dong11),"",OFFSET(TH!H$1,SMALL(Dong11,ROWS($1:13)),))</f>
        <v>Cty Giấy &amp; Bao Bì Đồng Tiến -CN Bình Dương</v>
      </c>
      <c r="E26" s="344" t="str">
        <f ca="1">IF(ROWS($1:13)&gt;COUNT(Dong11),"",IF(OFFSET(TH!L$1,SMALL(Dong11,ROWS($1:13)),)=$G$7,OFFSET(TH!M$1,SMALL(Dong11,ROWS($1:13)),),OFFSET(TH!L$1,SMALL(Dong11,ROWS($1:13)),)))</f>
        <v>331</v>
      </c>
      <c r="F26" s="347">
        <f ca="1">IF(ROWS($1:13)&gt;COUNT(Dong11),0,OFFSET(TH!J$1,SMALL(Dong11,ROWS($1:13)),))</f>
        <v>9200</v>
      </c>
      <c r="G26" s="347">
        <f ca="1">IF(ROWS($1:13)&gt;COUNT(Dong11),0,IF(MID(OFFSET(TH!D$1,SMALL(Dong11,ROWS($1:13)),),4,1)="N",OFFSET(TH!I$1,SMALL(Dong11,ROWS($1:13)),),0))</f>
        <v>4253</v>
      </c>
      <c r="H26" s="348">
        <f t="shared" ca="1" si="1"/>
        <v>39127600</v>
      </c>
      <c r="I26" s="347">
        <f ca="1">IF(ROWS($1:13)&gt;COUNT(Dong11),0,IF(MID(OFFSET(TH!D$1,SMALL(Dong11,ROWS($1:13)),),4,1)="X",OFFSET(TH!I$1,SMALL(Dong11,ROWS($1:13)),),0))</f>
        <v>0</v>
      </c>
      <c r="J26" s="348">
        <f t="shared" ca="1" si="2"/>
        <v>0</v>
      </c>
      <c r="K26" s="348">
        <f t="shared" ca="1" si="3"/>
        <v>90380</v>
      </c>
      <c r="L26" s="348">
        <f t="shared" ca="1" si="4"/>
        <v>741941200</v>
      </c>
      <c r="M26" s="348"/>
      <c r="N26" s="338"/>
    </row>
    <row r="27" spans="1:16" hidden="1">
      <c r="A27" s="309">
        <f t="shared" ca="1" si="0"/>
        <v>14</v>
      </c>
      <c r="B27" s="344" t="str">
        <f ca="1">IF(ROWS($1:14)&gt;COUNT(Dong11),"",OFFSET(TH!D$1,SMALL(Dong11,ROWS($1:14)),))</f>
        <v>NL/N22</v>
      </c>
      <c r="C27" s="345">
        <f ca="1">IF(ROWS($1:14)&gt;COUNT(Dong11),"",OFFSET(TH!E$1,SMALL(Dong11,ROWS($1:14)),))</f>
        <v>41864</v>
      </c>
      <c r="D27" s="346" t="str">
        <f ca="1">IF(ROWS($1:14)&gt;COUNT(Dong11),"",OFFSET(TH!H$1,SMALL(Dong11,ROWS($1:14)),))</f>
        <v>Cty Giấy &amp; Bao Bì Đồng Tiến -CN Bình Dương</v>
      </c>
      <c r="E27" s="344" t="str">
        <f ca="1">IF(ROWS($1:14)&gt;COUNT(Dong11),"",IF(OFFSET(TH!L$1,SMALL(Dong11,ROWS($1:14)),)=$G$7,OFFSET(TH!M$1,SMALL(Dong11,ROWS($1:14)),),OFFSET(TH!L$1,SMALL(Dong11,ROWS($1:14)),)))</f>
        <v>331</v>
      </c>
      <c r="F27" s="347">
        <f ca="1">IF(ROWS($1:14)&gt;COUNT(Dong11),0,OFFSET(TH!J$1,SMALL(Dong11,ROWS($1:14)),))</f>
        <v>9200</v>
      </c>
      <c r="G27" s="347">
        <f ca="1">IF(ROWS($1:14)&gt;COUNT(Dong11),0,IF(MID(OFFSET(TH!D$1,SMALL(Dong11,ROWS($1:14)),),4,1)="N",OFFSET(TH!I$1,SMALL(Dong11,ROWS($1:14)),),0))</f>
        <v>3430</v>
      </c>
      <c r="H27" s="348">
        <f t="shared" ca="1" si="1"/>
        <v>31556000</v>
      </c>
      <c r="I27" s="347">
        <f ca="1">IF(ROWS($1:14)&gt;COUNT(Dong11),0,IF(MID(OFFSET(TH!D$1,SMALL(Dong11,ROWS($1:14)),),4,1)="X",OFFSET(TH!I$1,SMALL(Dong11,ROWS($1:14)),),0))</f>
        <v>0</v>
      </c>
      <c r="J27" s="348">
        <f t="shared" ca="1" si="2"/>
        <v>0</v>
      </c>
      <c r="K27" s="348">
        <f t="shared" ca="1" si="3"/>
        <v>93810</v>
      </c>
      <c r="L27" s="348">
        <f t="shared" ca="1" si="4"/>
        <v>773497200</v>
      </c>
      <c r="M27" s="348"/>
      <c r="N27" s="338"/>
    </row>
    <row r="28" spans="1:16" hidden="1">
      <c r="A28" s="309">
        <f t="shared" ca="1" si="0"/>
        <v>15</v>
      </c>
      <c r="B28" s="344" t="str">
        <f ca="1">IF(ROWS($1:15)&gt;COUNT(Dong11),"",OFFSET(TH!D$1,SMALL(Dong11,ROWS($1:15)),))</f>
        <v>NL/N23</v>
      </c>
      <c r="C28" s="345">
        <f ca="1">IF(ROWS($1:15)&gt;COUNT(Dong11),"",OFFSET(TH!E$1,SMALL(Dong11,ROWS($1:15)),))</f>
        <v>41900</v>
      </c>
      <c r="D28" s="346" t="str">
        <f ca="1">IF(ROWS($1:15)&gt;COUNT(Dong11),"",OFFSET(TH!H$1,SMALL(Dong11,ROWS($1:15)),))</f>
        <v>Cty TNHH Giấy Minh Đạt</v>
      </c>
      <c r="E28" s="344" t="str">
        <f ca="1">IF(ROWS($1:15)&gt;COUNT(Dong11),"",IF(OFFSET(TH!L$1,SMALL(Dong11,ROWS($1:15)),)=$G$7,OFFSET(TH!M$1,SMALL(Dong11,ROWS($1:15)),),OFFSET(TH!L$1,SMALL(Dong11,ROWS($1:15)),)))</f>
        <v>331</v>
      </c>
      <c r="F28" s="347">
        <f ca="1">IF(ROWS($1:15)&gt;COUNT(Dong11),0,OFFSET(TH!J$1,SMALL(Dong11,ROWS($1:15)),))</f>
        <v>7600</v>
      </c>
      <c r="G28" s="347">
        <f ca="1">IF(ROWS($1:15)&gt;COUNT(Dong11),0,IF(MID(OFFSET(TH!D$1,SMALL(Dong11,ROWS($1:15)),),4,1)="N",OFFSET(TH!I$1,SMALL(Dong11,ROWS($1:15)),),0))</f>
        <v>5276</v>
      </c>
      <c r="H28" s="348">
        <f t="shared" ca="1" si="1"/>
        <v>40097600</v>
      </c>
      <c r="I28" s="347">
        <f ca="1">IF(ROWS($1:15)&gt;COUNT(Dong11),0,IF(MID(OFFSET(TH!D$1,SMALL(Dong11,ROWS($1:15)),),4,1)="X",OFFSET(TH!I$1,SMALL(Dong11,ROWS($1:15)),),0))</f>
        <v>0</v>
      </c>
      <c r="J28" s="348">
        <f t="shared" ca="1" si="2"/>
        <v>0</v>
      </c>
      <c r="K28" s="348">
        <f t="shared" ca="1" si="3"/>
        <v>99086</v>
      </c>
      <c r="L28" s="348">
        <f t="shared" ca="1" si="4"/>
        <v>813594800</v>
      </c>
      <c r="M28" s="348"/>
      <c r="N28" s="338"/>
    </row>
    <row r="29" spans="1:16" hidden="1">
      <c r="A29" s="309">
        <f t="shared" ca="1" si="0"/>
        <v>16</v>
      </c>
      <c r="B29" s="344" t="str">
        <f ca="1">IF(ROWS($1:16)&gt;COUNT(Dong11),"",OFFSET(TH!D$1,SMALL(Dong11,ROWS($1:16)),))</f>
        <v>NL/N01</v>
      </c>
      <c r="C29" s="345">
        <f ca="1">IF(ROWS($1:16)&gt;COUNT(Dong11),"",OFFSET(TH!E$1,SMALL(Dong11,ROWS($1:16)),))</f>
        <v>41928</v>
      </c>
      <c r="D29" s="346" t="str">
        <f ca="1">IF(ROWS($1:16)&gt;COUNT(Dong11),"",OFFSET(TH!H$1,SMALL(Dong11,ROWS($1:16)),))</f>
        <v>Cty MTV SX TM Giấy Đăng Hòa</v>
      </c>
      <c r="E29" s="344" t="str">
        <f ca="1">IF(ROWS($1:16)&gt;COUNT(Dong11),"",IF(OFFSET(TH!L$1,SMALL(Dong11,ROWS($1:16)),)=$G$7,OFFSET(TH!M$1,SMALL(Dong11,ROWS($1:16)),),OFFSET(TH!L$1,SMALL(Dong11,ROWS($1:16)),)))</f>
        <v>331</v>
      </c>
      <c r="F29" s="347">
        <f ca="1">IF(ROWS($1:16)&gt;COUNT(Dong11),0,OFFSET(TH!J$1,SMALL(Dong11,ROWS($1:16)),))</f>
        <v>7200</v>
      </c>
      <c r="G29" s="347">
        <f ca="1">IF(ROWS($1:16)&gt;COUNT(Dong11),0,IF(MID(OFFSET(TH!D$1,SMALL(Dong11,ROWS($1:16)),),4,1)="N",OFFSET(TH!I$1,SMALL(Dong11,ROWS($1:16)),),0))</f>
        <v>2160</v>
      </c>
      <c r="H29" s="348">
        <f t="shared" ca="1" si="1"/>
        <v>15552000</v>
      </c>
      <c r="I29" s="347">
        <f ca="1">IF(ROWS($1:16)&gt;COUNT(Dong11),0,IF(MID(OFFSET(TH!D$1,SMALL(Dong11,ROWS($1:16)),),4,1)="X",OFFSET(TH!I$1,SMALL(Dong11,ROWS($1:16)),),0))</f>
        <v>0</v>
      </c>
      <c r="J29" s="348">
        <f t="shared" ca="1" si="2"/>
        <v>0</v>
      </c>
      <c r="K29" s="348">
        <f t="shared" ca="1" si="3"/>
        <v>101246</v>
      </c>
      <c r="L29" s="348">
        <f t="shared" ca="1" si="4"/>
        <v>829146800</v>
      </c>
      <c r="M29" s="348"/>
      <c r="N29" s="338"/>
    </row>
    <row r="30" spans="1:16" hidden="1">
      <c r="A30" s="309">
        <f t="shared" ca="1" si="0"/>
        <v>17</v>
      </c>
      <c r="B30" s="344" t="str">
        <f ca="1">IF(ROWS($1:17)&gt;COUNT(Dong11),"",OFFSET(TH!D$1,SMALL(Dong11,ROWS($1:17)),))</f>
        <v>NL/N02</v>
      </c>
      <c r="C30" s="345">
        <f ca="1">IF(ROWS($1:17)&gt;COUNT(Dong11),"",OFFSET(TH!E$1,SMALL(Dong11,ROWS($1:17)),))</f>
        <v>41941</v>
      </c>
      <c r="D30" s="346" t="str">
        <f ca="1">IF(ROWS($1:17)&gt;COUNT(Dong11),"",OFFSET(TH!H$1,SMALL(Dong11,ROWS($1:17)),))</f>
        <v>Cty MTV SX TM Giấy Đăng Hòa</v>
      </c>
      <c r="E30" s="344" t="str">
        <f ca="1">IF(ROWS($1:17)&gt;COUNT(Dong11),"",IF(OFFSET(TH!L$1,SMALL(Dong11,ROWS($1:17)),)=$G$7,OFFSET(TH!M$1,SMALL(Dong11,ROWS($1:17)),),OFFSET(TH!L$1,SMALL(Dong11,ROWS($1:17)),)))</f>
        <v>331</v>
      </c>
      <c r="F30" s="347">
        <f ca="1">IF(ROWS($1:17)&gt;COUNT(Dong11),0,OFFSET(TH!J$1,SMALL(Dong11,ROWS($1:17)),))</f>
        <v>7200</v>
      </c>
      <c r="G30" s="347">
        <f ca="1">IF(ROWS($1:17)&gt;COUNT(Dong11),0,IF(MID(OFFSET(TH!D$1,SMALL(Dong11,ROWS($1:17)),),4,1)="N",OFFSET(TH!I$1,SMALL(Dong11,ROWS($1:17)),),0))</f>
        <v>2342</v>
      </c>
      <c r="H30" s="348">
        <f t="shared" ca="1" si="1"/>
        <v>16862400</v>
      </c>
      <c r="I30" s="347">
        <f ca="1">IF(ROWS($1:17)&gt;COUNT(Dong11),0,IF(MID(OFFSET(TH!D$1,SMALL(Dong11,ROWS($1:17)),),4,1)="X",OFFSET(TH!I$1,SMALL(Dong11,ROWS($1:17)),),0))</f>
        <v>0</v>
      </c>
      <c r="J30" s="348">
        <f t="shared" ca="1" si="2"/>
        <v>0</v>
      </c>
      <c r="K30" s="348">
        <f t="shared" ca="1" si="3"/>
        <v>103588</v>
      </c>
      <c r="L30" s="348">
        <f t="shared" ca="1" si="4"/>
        <v>846009200</v>
      </c>
      <c r="M30" s="348"/>
      <c r="N30" s="338"/>
    </row>
    <row r="31" spans="1:16" hidden="1">
      <c r="A31" s="309">
        <f t="shared" ca="1" si="0"/>
        <v>18</v>
      </c>
      <c r="B31" s="344" t="str">
        <f ca="1">IF(ROWS($1:18)&gt;COUNT(Dong11),"",OFFSET(TH!D$1,SMALL(Dong11,ROWS($1:18)),))</f>
        <v>NL/N03</v>
      </c>
      <c r="C31" s="345">
        <f ca="1">IF(ROWS($1:18)&gt;COUNT(Dong11),"",OFFSET(TH!E$1,SMALL(Dong11,ROWS($1:18)),))</f>
        <v>41946</v>
      </c>
      <c r="D31" s="346" t="str">
        <f ca="1">IF(ROWS($1:18)&gt;COUNT(Dong11),"",OFFSET(TH!H$1,SMALL(Dong11,ROWS($1:18)),))</f>
        <v>Cty TNHH Giấy Minh Đạt</v>
      </c>
      <c r="E31" s="344" t="str">
        <f ca="1">IF(ROWS($1:18)&gt;COUNT(Dong11),"",IF(OFFSET(TH!L$1,SMALL(Dong11,ROWS($1:18)),)=$G$7,OFFSET(TH!M$1,SMALL(Dong11,ROWS($1:18)),),OFFSET(TH!L$1,SMALL(Dong11,ROWS($1:18)),)))</f>
        <v>331</v>
      </c>
      <c r="F31" s="347">
        <f ca="1">IF(ROWS($1:18)&gt;COUNT(Dong11),0,OFFSET(TH!J$1,SMALL(Dong11,ROWS($1:18)),))</f>
        <v>7800</v>
      </c>
      <c r="G31" s="347">
        <f ca="1">IF(ROWS($1:18)&gt;COUNT(Dong11),0,IF(MID(OFFSET(TH!D$1,SMALL(Dong11,ROWS($1:18)),),4,1)="N",OFFSET(TH!I$1,SMALL(Dong11,ROWS($1:18)),),0))</f>
        <v>2300</v>
      </c>
      <c r="H31" s="348">
        <f t="shared" ca="1" si="1"/>
        <v>17940000</v>
      </c>
      <c r="I31" s="347">
        <f ca="1">IF(ROWS($1:18)&gt;COUNT(Dong11),0,IF(MID(OFFSET(TH!D$1,SMALL(Dong11,ROWS($1:18)),),4,1)="X",OFFSET(TH!I$1,SMALL(Dong11,ROWS($1:18)),),0))</f>
        <v>0</v>
      </c>
      <c r="J31" s="348">
        <f t="shared" ca="1" si="2"/>
        <v>0</v>
      </c>
      <c r="K31" s="348">
        <f t="shared" ca="1" si="3"/>
        <v>105888</v>
      </c>
      <c r="L31" s="348">
        <f t="shared" ca="1" si="4"/>
        <v>863949200</v>
      </c>
      <c r="M31" s="348"/>
      <c r="N31" s="338"/>
    </row>
    <row r="32" spans="1:16" hidden="1">
      <c r="A32" s="309">
        <f t="shared" ca="1" si="0"/>
        <v>19</v>
      </c>
      <c r="B32" s="344" t="str">
        <f ca="1">IF(ROWS($1:19)&gt;COUNT(Dong11),"",OFFSET(TH!D$1,SMALL(Dong11,ROWS($1:19)),))</f>
        <v>NL/N04</v>
      </c>
      <c r="C32" s="345">
        <f ca="1">IF(ROWS($1:19)&gt;COUNT(Dong11),"",OFFSET(TH!E$1,SMALL(Dong11,ROWS($1:19)),))</f>
        <v>41949</v>
      </c>
      <c r="D32" s="346" t="str">
        <f ca="1">IF(ROWS($1:19)&gt;COUNT(Dong11),"",OFFSET(TH!H$1,SMALL(Dong11,ROWS($1:19)),))</f>
        <v>Cty TNHH Giấy Minh Đạt</v>
      </c>
      <c r="E32" s="344" t="str">
        <f ca="1">IF(ROWS($1:19)&gt;COUNT(Dong11),"",IF(OFFSET(TH!L$1,SMALL(Dong11,ROWS($1:19)),)=$G$7,OFFSET(TH!M$1,SMALL(Dong11,ROWS($1:19)),),OFFSET(TH!L$1,SMALL(Dong11,ROWS($1:19)),)))</f>
        <v>331</v>
      </c>
      <c r="F32" s="347">
        <f ca="1">IF(ROWS($1:19)&gt;COUNT(Dong11),0,OFFSET(TH!J$1,SMALL(Dong11,ROWS($1:19)),))</f>
        <v>7800</v>
      </c>
      <c r="G32" s="347">
        <f ca="1">IF(ROWS($1:19)&gt;COUNT(Dong11),0,IF(MID(OFFSET(TH!D$1,SMALL(Dong11,ROWS($1:19)),),4,1)="N",OFFSET(TH!I$1,SMALL(Dong11,ROWS($1:19)),),0))</f>
        <v>2220</v>
      </c>
      <c r="H32" s="348">
        <f t="shared" ca="1" si="1"/>
        <v>17316000</v>
      </c>
      <c r="I32" s="347">
        <f ca="1">IF(ROWS($1:19)&gt;COUNT(Dong11),0,IF(MID(OFFSET(TH!D$1,SMALL(Dong11,ROWS($1:19)),),4,1)="X",OFFSET(TH!I$1,SMALL(Dong11,ROWS($1:19)),),0))</f>
        <v>0</v>
      </c>
      <c r="J32" s="348">
        <f t="shared" ca="1" si="2"/>
        <v>0</v>
      </c>
      <c r="K32" s="348">
        <f t="shared" ca="1" si="3"/>
        <v>108108</v>
      </c>
      <c r="L32" s="348">
        <f t="shared" ca="1" si="4"/>
        <v>881265200</v>
      </c>
      <c r="M32" s="348"/>
      <c r="N32" s="338"/>
    </row>
    <row r="33" spans="1:14" hidden="1">
      <c r="A33" s="309">
        <f t="shared" ca="1" si="0"/>
        <v>20</v>
      </c>
      <c r="B33" s="344" t="str">
        <f ca="1">IF(ROWS($1:20)&gt;COUNT(Dong11),"",OFFSET(TH!D$1,SMALL(Dong11,ROWS($1:20)),))</f>
        <v>NL/N05</v>
      </c>
      <c r="C33" s="345">
        <f ca="1">IF(ROWS($1:20)&gt;COUNT(Dong11),"",OFFSET(TH!E$1,SMALL(Dong11,ROWS($1:20)),))</f>
        <v>41951</v>
      </c>
      <c r="D33" s="346" t="str">
        <f ca="1">IF(ROWS($1:20)&gt;COUNT(Dong11),"",OFFSET(TH!H$1,SMALL(Dong11,ROWS($1:20)),))</f>
        <v>Cty TNHH Giấy Minh Đạt</v>
      </c>
      <c r="E33" s="344" t="str">
        <f ca="1">IF(ROWS($1:20)&gt;COUNT(Dong11),"",IF(OFFSET(TH!L$1,SMALL(Dong11,ROWS($1:20)),)=$G$7,OFFSET(TH!M$1,SMALL(Dong11,ROWS($1:20)),),OFFSET(TH!L$1,SMALL(Dong11,ROWS($1:20)),)))</f>
        <v>331</v>
      </c>
      <c r="F33" s="347">
        <f ca="1">IF(ROWS($1:20)&gt;COUNT(Dong11),0,OFFSET(TH!J$1,SMALL(Dong11,ROWS($1:20)),))</f>
        <v>7800</v>
      </c>
      <c r="G33" s="347">
        <f ca="1">IF(ROWS($1:20)&gt;COUNT(Dong11),0,IF(MID(OFFSET(TH!D$1,SMALL(Dong11,ROWS($1:20)),),4,1)="N",OFFSET(TH!I$1,SMALL(Dong11,ROWS($1:20)),),0))</f>
        <v>1850</v>
      </c>
      <c r="H33" s="348">
        <f t="shared" ca="1" si="1"/>
        <v>14430000</v>
      </c>
      <c r="I33" s="347">
        <f ca="1">IF(ROWS($1:20)&gt;COUNT(Dong11),0,IF(MID(OFFSET(TH!D$1,SMALL(Dong11,ROWS($1:20)),),4,1)="X",OFFSET(TH!I$1,SMALL(Dong11,ROWS($1:20)),),0))</f>
        <v>0</v>
      </c>
      <c r="J33" s="348">
        <f t="shared" ca="1" si="2"/>
        <v>0</v>
      </c>
      <c r="K33" s="348">
        <f t="shared" ca="1" si="3"/>
        <v>109958</v>
      </c>
      <c r="L33" s="348">
        <f t="shared" ca="1" si="4"/>
        <v>895695200</v>
      </c>
      <c r="M33" s="348"/>
      <c r="N33" s="338"/>
    </row>
    <row r="34" spans="1:14" hidden="1">
      <c r="A34" s="309">
        <f t="shared" ca="1" si="0"/>
        <v>21</v>
      </c>
      <c r="B34" s="344" t="str">
        <f ca="1">IF(ROWS($1:21)&gt;COUNT(Dong11),"",OFFSET(TH!D$1,SMALL(Dong11,ROWS($1:21)),))</f>
        <v>NL/N06</v>
      </c>
      <c r="C34" s="345">
        <f ca="1">IF(ROWS($1:21)&gt;COUNT(Dong11),"",OFFSET(TH!E$1,SMALL(Dong11,ROWS($1:21)),))</f>
        <v>41963</v>
      </c>
      <c r="D34" s="346" t="str">
        <f ca="1">IF(ROWS($1:21)&gt;COUNT(Dong11),"",OFFSET(TH!H$1,SMALL(Dong11,ROWS($1:21)),))</f>
        <v>Cty TNHH Giấy Minh Đạt</v>
      </c>
      <c r="E34" s="344" t="str">
        <f ca="1">IF(ROWS($1:21)&gt;COUNT(Dong11),"",IF(OFFSET(TH!L$1,SMALL(Dong11,ROWS($1:21)),)=$G$7,OFFSET(TH!M$1,SMALL(Dong11,ROWS($1:21)),),OFFSET(TH!L$1,SMALL(Dong11,ROWS($1:21)),)))</f>
        <v>331</v>
      </c>
      <c r="F34" s="347">
        <f ca="1">IF(ROWS($1:21)&gt;COUNT(Dong11),0,OFFSET(TH!J$1,SMALL(Dong11,ROWS($1:21)),))</f>
        <v>7800</v>
      </c>
      <c r="G34" s="347">
        <f ca="1">IF(ROWS($1:21)&gt;COUNT(Dong11),0,IF(MID(OFFSET(TH!D$1,SMALL(Dong11,ROWS($1:21)),),4,1)="N",OFFSET(TH!I$1,SMALL(Dong11,ROWS($1:21)),),0))</f>
        <v>17859</v>
      </c>
      <c r="H34" s="348">
        <f t="shared" ca="1" si="1"/>
        <v>139300200</v>
      </c>
      <c r="I34" s="347">
        <f ca="1">IF(ROWS($1:21)&gt;COUNT(Dong11),0,IF(MID(OFFSET(TH!D$1,SMALL(Dong11,ROWS($1:21)),),4,1)="X",OFFSET(TH!I$1,SMALL(Dong11,ROWS($1:21)),),0))</f>
        <v>0</v>
      </c>
      <c r="J34" s="348">
        <f t="shared" ca="1" si="2"/>
        <v>0</v>
      </c>
      <c r="K34" s="348">
        <f t="shared" ca="1" si="3"/>
        <v>127817</v>
      </c>
      <c r="L34" s="348">
        <f t="shared" ca="1" si="4"/>
        <v>1034995400</v>
      </c>
      <c r="M34" s="348"/>
      <c r="N34" s="338"/>
    </row>
    <row r="35" spans="1:14" hidden="1">
      <c r="A35" s="309">
        <f t="shared" ca="1" si="0"/>
        <v>22</v>
      </c>
      <c r="B35" s="344" t="str">
        <f ca="1">IF(ROWS($1:22)&gt;COUNT(Dong11),"",OFFSET(TH!D$1,SMALL(Dong11,ROWS($1:22)),))</f>
        <v>NL/N07</v>
      </c>
      <c r="C35" s="345">
        <f ca="1">IF(ROWS($1:22)&gt;COUNT(Dong11),"",OFFSET(TH!E$1,SMALL(Dong11,ROWS($1:22)),))</f>
        <v>41977</v>
      </c>
      <c r="D35" s="346" t="str">
        <f ca="1">IF(ROWS($1:22)&gt;COUNT(Dong11),"",OFFSET(TH!H$1,SMALL(Dong11,ROWS($1:22)),))</f>
        <v>Cty MTV SX TM Giấy Đăng Hòa</v>
      </c>
      <c r="E35" s="344" t="str">
        <f ca="1">IF(ROWS($1:22)&gt;COUNT(Dong11),"",IF(OFFSET(TH!L$1,SMALL(Dong11,ROWS($1:22)),)=$G$7,OFFSET(TH!M$1,SMALL(Dong11,ROWS($1:22)),),OFFSET(TH!L$1,SMALL(Dong11,ROWS($1:22)),)))</f>
        <v>331</v>
      </c>
      <c r="F35" s="347">
        <f ca="1">IF(ROWS($1:22)&gt;COUNT(Dong11),0,OFFSET(TH!J$1,SMALL(Dong11,ROWS($1:22)),))</f>
        <v>7300</v>
      </c>
      <c r="G35" s="347">
        <f ca="1">IF(ROWS($1:22)&gt;COUNT(Dong11),0,IF(MID(OFFSET(TH!D$1,SMALL(Dong11,ROWS($1:22)),),4,1)="N",OFFSET(TH!I$1,SMALL(Dong11,ROWS($1:22)),),0))</f>
        <v>2322</v>
      </c>
      <c r="H35" s="348">
        <f t="shared" ca="1" si="1"/>
        <v>16950600</v>
      </c>
      <c r="I35" s="347">
        <f ca="1">IF(ROWS($1:22)&gt;COUNT(Dong11),0,IF(MID(OFFSET(TH!D$1,SMALL(Dong11,ROWS($1:22)),),4,1)="X",OFFSET(TH!I$1,SMALL(Dong11,ROWS($1:22)),),0))</f>
        <v>0</v>
      </c>
      <c r="J35" s="348">
        <f t="shared" ca="1" si="2"/>
        <v>0</v>
      </c>
      <c r="K35" s="348">
        <f t="shared" ca="1" si="3"/>
        <v>130139</v>
      </c>
      <c r="L35" s="348">
        <f t="shared" ca="1" si="4"/>
        <v>1051946000</v>
      </c>
      <c r="M35" s="348"/>
      <c r="N35" s="338"/>
    </row>
    <row r="36" spans="1:14" hidden="1">
      <c r="A36" s="309">
        <f t="shared" ca="1" si="0"/>
        <v>23</v>
      </c>
      <c r="B36" s="344" t="str">
        <f ca="1">IF(ROWS($1:23)&gt;COUNT(Dong11),"",OFFSET(TH!D$1,SMALL(Dong11,ROWS($1:23)),))</f>
        <v>NL/N08</v>
      </c>
      <c r="C36" s="345">
        <f ca="1">IF(ROWS($1:23)&gt;COUNT(Dong11),"",OFFSET(TH!E$1,SMALL(Dong11,ROWS($1:23)),))</f>
        <v>41982</v>
      </c>
      <c r="D36" s="346" t="str">
        <f ca="1">IF(ROWS($1:23)&gt;COUNT(Dong11),"",OFFSET(TH!H$1,SMALL(Dong11,ROWS($1:23)),))</f>
        <v>Cty MTV SX TM Giấy Đăng Hòa</v>
      </c>
      <c r="E36" s="344" t="str">
        <f ca="1">IF(ROWS($1:23)&gt;COUNT(Dong11),"",IF(OFFSET(TH!L$1,SMALL(Dong11,ROWS($1:23)),)=$G$7,OFFSET(TH!M$1,SMALL(Dong11,ROWS($1:23)),),OFFSET(TH!L$1,SMALL(Dong11,ROWS($1:23)),)))</f>
        <v>331</v>
      </c>
      <c r="F36" s="347">
        <f ca="1">IF(ROWS($1:23)&gt;COUNT(Dong11),0,OFFSET(TH!J$1,SMALL(Dong11,ROWS($1:23)),))</f>
        <v>7300</v>
      </c>
      <c r="G36" s="347">
        <f ca="1">IF(ROWS($1:23)&gt;COUNT(Dong11),0,IF(MID(OFFSET(TH!D$1,SMALL(Dong11,ROWS($1:23)),),4,1)="N",OFFSET(TH!I$1,SMALL(Dong11,ROWS($1:23)),),0))</f>
        <v>2399</v>
      </c>
      <c r="H36" s="348">
        <f t="shared" ca="1" si="1"/>
        <v>17512700</v>
      </c>
      <c r="I36" s="347">
        <f ca="1">IF(ROWS($1:23)&gt;COUNT(Dong11),0,IF(MID(OFFSET(TH!D$1,SMALL(Dong11,ROWS($1:23)),),4,1)="X",OFFSET(TH!I$1,SMALL(Dong11,ROWS($1:23)),),0))</f>
        <v>0</v>
      </c>
      <c r="J36" s="348">
        <f t="shared" ca="1" si="2"/>
        <v>0</v>
      </c>
      <c r="K36" s="348">
        <f t="shared" ca="1" si="3"/>
        <v>132538</v>
      </c>
      <c r="L36" s="348">
        <f t="shared" ca="1" si="4"/>
        <v>1069458700</v>
      </c>
      <c r="M36" s="348"/>
      <c r="N36" s="338"/>
    </row>
    <row r="37" spans="1:14" hidden="1">
      <c r="A37" s="309">
        <f t="shared" ca="1" si="0"/>
        <v>24</v>
      </c>
      <c r="B37" s="344" t="str">
        <f ca="1">IF(ROWS($1:24)&gt;COUNT(Dong11),"",OFFSET(TH!D$1,SMALL(Dong11,ROWS($1:24)),))</f>
        <v>NL/N09</v>
      </c>
      <c r="C37" s="345">
        <f ca="1">IF(ROWS($1:24)&gt;COUNT(Dong11),"",OFFSET(TH!E$1,SMALL(Dong11,ROWS($1:24)),))</f>
        <v>41986</v>
      </c>
      <c r="D37" s="346" t="str">
        <f ca="1">IF(ROWS($1:24)&gt;COUNT(Dong11),"",OFFSET(TH!H$1,SMALL(Dong11,ROWS($1:24)),))</f>
        <v>Cty MTV SX TM Giấy Đăng Hòa</v>
      </c>
      <c r="E37" s="344" t="str">
        <f ca="1">IF(ROWS($1:24)&gt;COUNT(Dong11),"",IF(OFFSET(TH!L$1,SMALL(Dong11,ROWS($1:24)),)=$G$7,OFFSET(TH!M$1,SMALL(Dong11,ROWS($1:24)),),OFFSET(TH!L$1,SMALL(Dong11,ROWS($1:24)),)))</f>
        <v>331</v>
      </c>
      <c r="F37" s="347">
        <f ca="1">IF(ROWS($1:24)&gt;COUNT(Dong11),0,OFFSET(TH!J$1,SMALL(Dong11,ROWS($1:24)),))</f>
        <v>7300</v>
      </c>
      <c r="G37" s="347">
        <f ca="1">IF(ROWS($1:24)&gt;COUNT(Dong11),0,IF(MID(OFFSET(TH!D$1,SMALL(Dong11,ROWS($1:24)),),4,1)="N",OFFSET(TH!I$1,SMALL(Dong11,ROWS($1:24)),),0))</f>
        <v>2159</v>
      </c>
      <c r="H37" s="348">
        <f t="shared" ca="1" si="1"/>
        <v>15760700</v>
      </c>
      <c r="I37" s="347">
        <f ca="1">IF(ROWS($1:24)&gt;COUNT(Dong11),0,IF(MID(OFFSET(TH!D$1,SMALL(Dong11,ROWS($1:24)),),4,1)="X",OFFSET(TH!I$1,SMALL(Dong11,ROWS($1:24)),),0))</f>
        <v>0</v>
      </c>
      <c r="J37" s="348">
        <f t="shared" ca="1" si="2"/>
        <v>0</v>
      </c>
      <c r="K37" s="348">
        <f t="shared" ca="1" si="3"/>
        <v>134697</v>
      </c>
      <c r="L37" s="348">
        <f t="shared" ca="1" si="4"/>
        <v>1085219400</v>
      </c>
      <c r="M37" s="348"/>
      <c r="N37" s="338"/>
    </row>
    <row r="38" spans="1:14" hidden="1">
      <c r="A38" s="309">
        <f t="shared" ca="1" si="0"/>
        <v>25</v>
      </c>
      <c r="B38" s="344" t="str">
        <f ca="1">IF(ROWS($1:25)&gt;COUNT(Dong11),"",OFFSET(TH!D$1,SMALL(Dong11,ROWS($1:25)),))</f>
        <v>NL/N10</v>
      </c>
      <c r="C38" s="345">
        <f ca="1">IF(ROWS($1:25)&gt;COUNT(Dong11),"",OFFSET(TH!E$1,SMALL(Dong11,ROWS($1:25)),))</f>
        <v>41988</v>
      </c>
      <c r="D38" s="346" t="str">
        <f ca="1">IF(ROWS($1:25)&gt;COUNT(Dong11),"",OFFSET(TH!H$1,SMALL(Dong11,ROWS($1:25)),))</f>
        <v>Cty TNHH Giấy Minh Đạt</v>
      </c>
      <c r="E38" s="344" t="str">
        <f ca="1">IF(ROWS($1:25)&gt;COUNT(Dong11),"",IF(OFFSET(TH!L$1,SMALL(Dong11,ROWS($1:25)),)=$G$7,OFFSET(TH!M$1,SMALL(Dong11,ROWS($1:25)),),OFFSET(TH!L$1,SMALL(Dong11,ROWS($1:25)),)))</f>
        <v>331</v>
      </c>
      <c r="F38" s="347">
        <f ca="1">IF(ROWS($1:25)&gt;COUNT(Dong11),0,OFFSET(TH!J$1,SMALL(Dong11,ROWS($1:25)),))</f>
        <v>7800</v>
      </c>
      <c r="G38" s="347">
        <f ca="1">IF(ROWS($1:25)&gt;COUNT(Dong11),0,IF(MID(OFFSET(TH!D$1,SMALL(Dong11,ROWS($1:25)),),4,1)="N",OFFSET(TH!I$1,SMALL(Dong11,ROWS($1:25)),),0))</f>
        <v>16434</v>
      </c>
      <c r="H38" s="348">
        <f t="shared" ca="1" si="1"/>
        <v>128185200</v>
      </c>
      <c r="I38" s="347">
        <f ca="1">IF(ROWS($1:25)&gt;COUNT(Dong11),0,IF(MID(OFFSET(TH!D$1,SMALL(Dong11,ROWS($1:25)),),4,1)="X",OFFSET(TH!I$1,SMALL(Dong11,ROWS($1:25)),),0))</f>
        <v>0</v>
      </c>
      <c r="J38" s="348">
        <f t="shared" ca="1" si="2"/>
        <v>0</v>
      </c>
      <c r="K38" s="348">
        <f t="shared" ca="1" si="3"/>
        <v>151131</v>
      </c>
      <c r="L38" s="348">
        <f t="shared" ca="1" si="4"/>
        <v>1213404600</v>
      </c>
      <c r="M38" s="348"/>
      <c r="N38" s="338"/>
    </row>
    <row r="39" spans="1:14" hidden="1">
      <c r="A39" s="309">
        <f t="shared" ca="1" si="0"/>
        <v>26</v>
      </c>
      <c r="B39" s="344" t="str">
        <f ca="1">IF(ROWS($1:26)&gt;COUNT(Dong11),"",OFFSET(TH!D$1,SMALL(Dong11,ROWS($1:26)),))</f>
        <v>NL/N11</v>
      </c>
      <c r="C39" s="345">
        <f ca="1">IF(ROWS($1:26)&gt;COUNT(Dong11),"",OFFSET(TH!E$1,SMALL(Dong11,ROWS($1:26)),))</f>
        <v>41992</v>
      </c>
      <c r="D39" s="346" t="str">
        <f ca="1">IF(ROWS($1:26)&gt;COUNT(Dong11),"",OFFSET(TH!H$1,SMALL(Dong11,ROWS($1:26)),))</f>
        <v>Cty MTV SX TM Giấy Đăng Hòa</v>
      </c>
      <c r="E39" s="344" t="str">
        <f ca="1">IF(ROWS($1:26)&gt;COUNT(Dong11),"",IF(OFFSET(TH!L$1,SMALL(Dong11,ROWS($1:26)),)=$G$7,OFFSET(TH!M$1,SMALL(Dong11,ROWS($1:26)),),OFFSET(TH!L$1,SMALL(Dong11,ROWS($1:26)),)))</f>
        <v>331</v>
      </c>
      <c r="F39" s="347">
        <f ca="1">IF(ROWS($1:26)&gt;COUNT(Dong11),0,OFFSET(TH!J$1,SMALL(Dong11,ROWS($1:26)),))</f>
        <v>7300</v>
      </c>
      <c r="G39" s="347">
        <f ca="1">IF(ROWS($1:26)&gt;COUNT(Dong11),0,IF(MID(OFFSET(TH!D$1,SMALL(Dong11,ROWS($1:26)),),4,1)="N",OFFSET(TH!I$1,SMALL(Dong11,ROWS($1:26)),),0))</f>
        <v>1985</v>
      </c>
      <c r="H39" s="348">
        <f t="shared" ca="1" si="1"/>
        <v>14490500</v>
      </c>
      <c r="I39" s="347">
        <f ca="1">IF(ROWS($1:26)&gt;COUNT(Dong11),0,IF(MID(OFFSET(TH!D$1,SMALL(Dong11,ROWS($1:26)),),4,1)="X",OFFSET(TH!I$1,SMALL(Dong11,ROWS($1:26)),),0))</f>
        <v>0</v>
      </c>
      <c r="J39" s="348">
        <f t="shared" ca="1" si="2"/>
        <v>0</v>
      </c>
      <c r="K39" s="348">
        <f t="shared" ca="1" si="3"/>
        <v>153116</v>
      </c>
      <c r="L39" s="348">
        <f t="shared" ca="1" si="4"/>
        <v>1227895100</v>
      </c>
      <c r="M39" s="348"/>
      <c r="N39" s="338"/>
    </row>
    <row r="40" spans="1:14" hidden="1">
      <c r="A40" s="309">
        <f t="shared" ca="1" si="0"/>
        <v>27</v>
      </c>
      <c r="B40" s="344" t="str">
        <f ca="1">IF(ROWS($1:27)&gt;COUNT(Dong11),"",OFFSET(TH!D$1,SMALL(Dong11,ROWS($1:27)),))</f>
        <v>NL/N12</v>
      </c>
      <c r="C40" s="345">
        <f ca="1">IF(ROWS($1:27)&gt;COUNT(Dong11),"",OFFSET(TH!E$1,SMALL(Dong11,ROWS($1:27)),))</f>
        <v>41996</v>
      </c>
      <c r="D40" s="346" t="str">
        <f ca="1">IF(ROWS($1:27)&gt;COUNT(Dong11),"",OFFSET(TH!H$1,SMALL(Dong11,ROWS($1:27)),))</f>
        <v>Cty MTV SX TM Giấy Đăng Hòa</v>
      </c>
      <c r="E40" s="344" t="str">
        <f ca="1">IF(ROWS($1:27)&gt;COUNT(Dong11),"",IF(OFFSET(TH!L$1,SMALL(Dong11,ROWS($1:27)),)=$G$7,OFFSET(TH!M$1,SMALL(Dong11,ROWS($1:27)),),OFFSET(TH!L$1,SMALL(Dong11,ROWS($1:27)),)))</f>
        <v>331</v>
      </c>
      <c r="F40" s="347">
        <f ca="1">IF(ROWS($1:27)&gt;COUNT(Dong11),0,OFFSET(TH!J$1,SMALL(Dong11,ROWS($1:27)),))</f>
        <v>7300</v>
      </c>
      <c r="G40" s="347">
        <f ca="1">IF(ROWS($1:27)&gt;COUNT(Dong11),0,IF(MID(OFFSET(TH!D$1,SMALL(Dong11,ROWS($1:27)),),4,1)="N",OFFSET(TH!I$1,SMALL(Dong11,ROWS($1:27)),),0))</f>
        <v>2356</v>
      </c>
      <c r="H40" s="348">
        <f t="shared" ca="1" si="1"/>
        <v>17198800</v>
      </c>
      <c r="I40" s="347">
        <f ca="1">IF(ROWS($1:27)&gt;COUNT(Dong11),0,IF(MID(OFFSET(TH!D$1,SMALL(Dong11,ROWS($1:27)),),4,1)="X",OFFSET(TH!I$1,SMALL(Dong11,ROWS($1:27)),),0))</f>
        <v>0</v>
      </c>
      <c r="J40" s="348">
        <f t="shared" ca="1" si="2"/>
        <v>0</v>
      </c>
      <c r="K40" s="348">
        <f t="shared" ca="1" si="3"/>
        <v>155472</v>
      </c>
      <c r="L40" s="348">
        <f t="shared" ca="1" si="4"/>
        <v>1245093900</v>
      </c>
      <c r="M40" s="348"/>
      <c r="N40" s="338"/>
    </row>
    <row r="41" spans="1:14" hidden="1">
      <c r="A41" s="309">
        <f t="shared" ca="1" si="0"/>
        <v>28</v>
      </c>
      <c r="B41" s="344" t="str">
        <f ca="1">IF(ROWS($1:28)&gt;COUNT(Dong11),"",OFFSET(TH!D$1,SMALL(Dong11,ROWS($1:28)),))</f>
        <v>NL/N13</v>
      </c>
      <c r="C41" s="345">
        <f ca="1">IF(ROWS($1:28)&gt;COUNT(Dong11),"",OFFSET(TH!E$1,SMALL(Dong11,ROWS($1:28)),))</f>
        <v>41998</v>
      </c>
      <c r="D41" s="346" t="str">
        <f ca="1">IF(ROWS($1:28)&gt;COUNT(Dong11),"",OFFSET(TH!H$1,SMALL(Dong11,ROWS($1:28)),))</f>
        <v>Cty MTV SX TM Giấy Đăng Hòa</v>
      </c>
      <c r="E41" s="344" t="str">
        <f ca="1">IF(ROWS($1:28)&gt;COUNT(Dong11),"",IF(OFFSET(TH!L$1,SMALL(Dong11,ROWS($1:28)),)=$G$7,OFFSET(TH!M$1,SMALL(Dong11,ROWS($1:28)),),OFFSET(TH!L$1,SMALL(Dong11,ROWS($1:28)),)))</f>
        <v>331</v>
      </c>
      <c r="F41" s="347">
        <f ca="1">IF(ROWS($1:28)&gt;COUNT(Dong11),0,OFFSET(TH!J$1,SMALL(Dong11,ROWS($1:28)),))</f>
        <v>7300</v>
      </c>
      <c r="G41" s="347">
        <f ca="1">IF(ROWS($1:28)&gt;COUNT(Dong11),0,IF(MID(OFFSET(TH!D$1,SMALL(Dong11,ROWS($1:28)),),4,1)="N",OFFSET(TH!I$1,SMALL(Dong11,ROWS($1:28)),),0))</f>
        <v>2352</v>
      </c>
      <c r="H41" s="348">
        <f t="shared" ca="1" si="1"/>
        <v>17169600</v>
      </c>
      <c r="I41" s="347">
        <f ca="1">IF(ROWS($1:28)&gt;COUNT(Dong11),0,IF(MID(OFFSET(TH!D$1,SMALL(Dong11,ROWS($1:28)),),4,1)="X",OFFSET(TH!I$1,SMALL(Dong11,ROWS($1:28)),),0))</f>
        <v>0</v>
      </c>
      <c r="J41" s="348">
        <f t="shared" ca="1" si="2"/>
        <v>0</v>
      </c>
      <c r="K41" s="348">
        <f t="shared" ca="1" si="3"/>
        <v>157824</v>
      </c>
      <c r="L41" s="348">
        <f t="shared" ca="1" si="4"/>
        <v>1262263500</v>
      </c>
      <c r="M41" s="348"/>
      <c r="N41" s="338"/>
    </row>
    <row r="42" spans="1:14" hidden="1">
      <c r="A42" s="309">
        <f t="shared" ca="1" si="0"/>
        <v>29</v>
      </c>
      <c r="B42" s="344" t="str">
        <f ca="1">IF(ROWS($1:29)&gt;COUNT(Dong11),"",OFFSET(TH!D$1,SMALL(Dong11,ROWS($1:29)),))</f>
        <v>NL/N14</v>
      </c>
      <c r="C42" s="345">
        <f ca="1">IF(ROWS($1:29)&gt;COUNT(Dong11),"",OFFSET(TH!E$1,SMALL(Dong11,ROWS($1:29)),))</f>
        <v>42002</v>
      </c>
      <c r="D42" s="346" t="str">
        <f ca="1">IF(ROWS($1:29)&gt;COUNT(Dong11),"",OFFSET(TH!H$1,SMALL(Dong11,ROWS($1:29)),))</f>
        <v>Cty MTV SX TM Giấy Đăng Hòa</v>
      </c>
      <c r="E42" s="344" t="str">
        <f ca="1">IF(ROWS($1:29)&gt;COUNT(Dong11),"",IF(OFFSET(TH!L$1,SMALL(Dong11,ROWS($1:29)),)=$G$7,OFFSET(TH!M$1,SMALL(Dong11,ROWS($1:29)),),OFFSET(TH!L$1,SMALL(Dong11,ROWS($1:29)),)))</f>
        <v>331</v>
      </c>
      <c r="F42" s="347">
        <f ca="1">IF(ROWS($1:29)&gt;COUNT(Dong11),0,OFFSET(TH!J$1,SMALL(Dong11,ROWS($1:29)),))</f>
        <v>7300</v>
      </c>
      <c r="G42" s="347">
        <f ca="1">IF(ROWS($1:29)&gt;COUNT(Dong11),0,IF(MID(OFFSET(TH!D$1,SMALL(Dong11,ROWS($1:29)),),4,1)="N",OFFSET(TH!I$1,SMALL(Dong11,ROWS($1:29)),),0))</f>
        <v>1272</v>
      </c>
      <c r="H42" s="348">
        <f t="shared" ca="1" si="1"/>
        <v>9285600</v>
      </c>
      <c r="I42" s="347">
        <f ca="1">IF(ROWS($1:29)&gt;COUNT(Dong11),0,IF(MID(OFFSET(TH!D$1,SMALL(Dong11,ROWS($1:29)),),4,1)="X",OFFSET(TH!I$1,SMALL(Dong11,ROWS($1:29)),),0))</f>
        <v>0</v>
      </c>
      <c r="J42" s="348">
        <f t="shared" ca="1" si="2"/>
        <v>0</v>
      </c>
      <c r="K42" s="348">
        <f t="shared" ca="1" si="3"/>
        <v>159096</v>
      </c>
      <c r="L42" s="348">
        <f t="shared" ca="1" si="4"/>
        <v>1271549100</v>
      </c>
      <c r="M42" s="348"/>
      <c r="N42" s="338"/>
    </row>
    <row r="43" spans="1:14" hidden="1">
      <c r="A43" s="309">
        <f t="shared" ca="1" si="0"/>
        <v>30</v>
      </c>
      <c r="B43" s="344" t="str">
        <f ca="1">IF(ROWS($1:30)&gt;COUNT(Dong11),"",OFFSET(TH!D$1,SMALL(Dong11,ROWS($1:30)),))</f>
        <v>NL/N15</v>
      </c>
      <c r="C43" s="345">
        <f ca="1">IF(ROWS($1:30)&gt;COUNT(Dong11),"",OFFSET(TH!E$1,SMALL(Dong11,ROWS($1:30)),))</f>
        <v>42003</v>
      </c>
      <c r="D43" s="346" t="str">
        <f ca="1">IF(ROWS($1:30)&gt;COUNT(Dong11),"",OFFSET(TH!H$1,SMALL(Dong11,ROWS($1:30)),))</f>
        <v>Cty MTV SX TM Giấy Đăng Hòa</v>
      </c>
      <c r="E43" s="344" t="str">
        <f ca="1">IF(ROWS($1:30)&gt;COUNT(Dong11),"",IF(OFFSET(TH!L$1,SMALL(Dong11,ROWS($1:30)),)=$G$7,OFFSET(TH!M$1,SMALL(Dong11,ROWS($1:30)),),OFFSET(TH!L$1,SMALL(Dong11,ROWS($1:30)),)))</f>
        <v>331</v>
      </c>
      <c r="F43" s="347">
        <f ca="1">IF(ROWS($1:30)&gt;COUNT(Dong11),0,OFFSET(TH!J$1,SMALL(Dong11,ROWS($1:30)),))</f>
        <v>7300</v>
      </c>
      <c r="G43" s="347">
        <f ca="1">IF(ROWS($1:30)&gt;COUNT(Dong11),0,IF(MID(OFFSET(TH!D$1,SMALL(Dong11,ROWS($1:30)),),4,1)="N",OFFSET(TH!I$1,SMALL(Dong11,ROWS($1:30)),),0))</f>
        <v>2259</v>
      </c>
      <c r="H43" s="348">
        <f t="shared" ca="1" si="1"/>
        <v>16490700</v>
      </c>
      <c r="I43" s="347">
        <f ca="1">IF(ROWS($1:30)&gt;COUNT(Dong11),0,IF(MID(OFFSET(TH!D$1,SMALL(Dong11,ROWS($1:30)),),4,1)="X",OFFSET(TH!I$1,SMALL(Dong11,ROWS($1:30)),),0))</f>
        <v>0</v>
      </c>
      <c r="J43" s="348">
        <f t="shared" ca="1" si="2"/>
        <v>0</v>
      </c>
      <c r="K43" s="348">
        <f t="shared" ca="1" si="3"/>
        <v>161355</v>
      </c>
      <c r="L43" s="348">
        <f t="shared" ca="1" si="4"/>
        <v>1288039800</v>
      </c>
      <c r="M43" s="348"/>
      <c r="N43" s="338"/>
    </row>
    <row r="44" spans="1:14">
      <c r="A44" s="309">
        <f t="shared" ca="1" si="0"/>
        <v>31</v>
      </c>
      <c r="B44" s="344" t="str">
        <f ca="1">IF(ROWS($1:31)&gt;COUNT(Dong11),"",OFFSET(TH!D$1,SMALL(Dong11,ROWS($1:31)),))</f>
        <v>NL/X</v>
      </c>
      <c r="C44" s="345">
        <f ca="1">IF(ROWS($1:31)&gt;COUNT(Dong11),"",OFFSET(TH!E$1,SMALL(Dong11,ROWS($1:31)),))</f>
        <v>41835</v>
      </c>
      <c r="D44" s="346" t="str">
        <f ca="1">IF(ROWS($1:31)&gt;COUNT(Dong11),"",OFFSET(TH!H$1,SMALL(Dong11,ROWS($1:31)),))</f>
        <v>Xuất sản xuất</v>
      </c>
      <c r="E44" s="344" t="str">
        <f ca="1">IF(ROWS($1:31)&gt;COUNT(Dong11),"",IF(OFFSET(TH!L$1,SMALL(Dong11,ROWS($1:31)),)=$G$7,OFFSET(TH!M$1,SMALL(Dong11,ROWS($1:31)),),OFFSET(TH!L$1,SMALL(Dong11,ROWS($1:31)),)))</f>
        <v>154</v>
      </c>
      <c r="F44" s="347">
        <f ca="1">IF(ROWS($1:31)&gt;COUNT(Dong11),0,OFFSET(TH!J$1,SMALL(Dong11,ROWS($1:31)),))</f>
        <v>8500</v>
      </c>
      <c r="G44" s="347">
        <f ca="1">IF(ROWS($1:31)&gt;COUNT(Dong11),0,IF(MID(OFFSET(TH!D$1,SMALL(Dong11,ROWS($1:31)),),4,1)="N",OFFSET(TH!I$1,SMALL(Dong11,ROWS($1:31)),),0))</f>
        <v>0</v>
      </c>
      <c r="H44" s="348">
        <f t="shared" ca="1" si="1"/>
        <v>0</v>
      </c>
      <c r="I44" s="347">
        <f ca="1">IF(ROWS($1:31)&gt;COUNT(Dong11),0,IF(MID(OFFSET(TH!D$1,SMALL(Dong11,ROWS($1:31)),),4,1)="X",OFFSET(TH!I$1,SMALL(Dong11,ROWS($1:31)),),0))</f>
        <v>10230</v>
      </c>
      <c r="J44" s="348">
        <f t="shared" ca="1" si="2"/>
        <v>86955000</v>
      </c>
      <c r="K44" s="348">
        <f t="shared" ca="1" si="3"/>
        <v>151125</v>
      </c>
      <c r="L44" s="348">
        <f t="shared" ca="1" si="4"/>
        <v>1201084800</v>
      </c>
      <c r="M44" s="348"/>
      <c r="N44" s="338"/>
    </row>
    <row r="45" spans="1:14" hidden="1">
      <c r="A45" s="309">
        <f t="shared" ca="1" si="0"/>
        <v>32</v>
      </c>
      <c r="B45" s="344" t="str">
        <f ca="1">IF(ROWS($1:32)&gt;COUNT(Dong11),"",OFFSET(TH!D$1,SMALL(Dong11,ROWS($1:32)),))</f>
        <v>NL/X</v>
      </c>
      <c r="C45" s="345">
        <f ca="1">IF(ROWS($1:32)&gt;COUNT(Dong11),"",OFFSET(TH!E$1,SMALL(Dong11,ROWS($1:32)),))</f>
        <v>41848</v>
      </c>
      <c r="D45" s="346" t="str">
        <f ca="1">IF(ROWS($1:32)&gt;COUNT(Dong11),"",OFFSET(TH!H$1,SMALL(Dong11,ROWS($1:32)),))</f>
        <v>Xuất sản xuất</v>
      </c>
      <c r="E45" s="344" t="str">
        <f ca="1">IF(ROWS($1:32)&gt;COUNT(Dong11),"",IF(OFFSET(TH!L$1,SMALL(Dong11,ROWS($1:32)),)=$G$7,OFFSET(TH!M$1,SMALL(Dong11,ROWS($1:32)),),OFFSET(TH!L$1,SMALL(Dong11,ROWS($1:32)),)))</f>
        <v>154</v>
      </c>
      <c r="F45" s="347">
        <f ca="1">IF(ROWS($1:32)&gt;COUNT(Dong11),0,OFFSET(TH!J$1,SMALL(Dong11,ROWS($1:32)),))</f>
        <v>7500</v>
      </c>
      <c r="G45" s="347">
        <f ca="1">IF(ROWS($1:32)&gt;COUNT(Dong11),0,IF(MID(OFFSET(TH!D$1,SMALL(Dong11,ROWS($1:32)),),4,1)="N",OFFSET(TH!I$1,SMALL(Dong11,ROWS($1:32)),),0))</f>
        <v>0</v>
      </c>
      <c r="H45" s="348">
        <f t="shared" ca="1" si="1"/>
        <v>0</v>
      </c>
      <c r="I45" s="347">
        <f ca="1">IF(ROWS($1:32)&gt;COUNT(Dong11),0,IF(MID(OFFSET(TH!D$1,SMALL(Dong11,ROWS($1:32)),),4,1)="X",OFFSET(TH!I$1,SMALL(Dong11,ROWS($1:32)),),0))</f>
        <v>7379</v>
      </c>
      <c r="J45" s="348">
        <f t="shared" ca="1" si="2"/>
        <v>55342500</v>
      </c>
      <c r="K45" s="348">
        <f t="shared" ca="1" si="3"/>
        <v>143746</v>
      </c>
      <c r="L45" s="348">
        <f t="shared" ca="1" si="4"/>
        <v>1145742300</v>
      </c>
      <c r="M45" s="348"/>
      <c r="N45" s="338"/>
    </row>
    <row r="46" spans="1:14" hidden="1">
      <c r="A46" s="309">
        <f t="shared" ca="1" si="0"/>
        <v>33</v>
      </c>
      <c r="B46" s="344" t="str">
        <f ca="1">IF(ROWS($1:33)&gt;COUNT(Dong11),"",OFFSET(TH!D$1,SMALL(Dong11,ROWS($1:33)),))</f>
        <v>NL/X</v>
      </c>
      <c r="C46" s="345">
        <f ca="1">IF(ROWS($1:33)&gt;COUNT(Dong11),"",OFFSET(TH!E$1,SMALL(Dong11,ROWS($1:33)),))</f>
        <v>41852</v>
      </c>
      <c r="D46" s="346" t="str">
        <f ca="1">IF(ROWS($1:33)&gt;COUNT(Dong11),"",OFFSET(TH!H$1,SMALL(Dong11,ROWS($1:33)),))</f>
        <v>Xuất sản xuất</v>
      </c>
      <c r="E46" s="344" t="str">
        <f ca="1">IF(ROWS($1:33)&gt;COUNT(Dong11),"",IF(OFFSET(TH!L$1,SMALL(Dong11,ROWS($1:33)),)=$G$7,OFFSET(TH!M$1,SMALL(Dong11,ROWS($1:33)),),OFFSET(TH!L$1,SMALL(Dong11,ROWS($1:33)),)))</f>
        <v>154</v>
      </c>
      <c r="F46" s="347">
        <f ca="1">IF(ROWS($1:33)&gt;COUNT(Dong11),0,OFFSET(TH!J$1,SMALL(Dong11,ROWS($1:33)),))</f>
        <v>7200</v>
      </c>
      <c r="G46" s="347">
        <f ca="1">IF(ROWS($1:33)&gt;COUNT(Dong11),0,IF(MID(OFFSET(TH!D$1,SMALL(Dong11,ROWS($1:33)),),4,1)="N",OFFSET(TH!I$1,SMALL(Dong11,ROWS($1:33)),),0))</f>
        <v>0</v>
      </c>
      <c r="H46" s="348">
        <f t="shared" ca="1" si="1"/>
        <v>0</v>
      </c>
      <c r="I46" s="347">
        <f ca="1">IF(ROWS($1:33)&gt;COUNT(Dong11),0,IF(MID(OFFSET(TH!D$1,SMALL(Dong11,ROWS($1:33)),),4,1)="X",OFFSET(TH!I$1,SMALL(Dong11,ROWS($1:33)),),0))</f>
        <v>5973</v>
      </c>
      <c r="J46" s="348">
        <f t="shared" ca="1" si="2"/>
        <v>43005600</v>
      </c>
      <c r="K46" s="348">
        <f t="shared" ca="1" si="3"/>
        <v>137773</v>
      </c>
      <c r="L46" s="348">
        <f t="shared" ca="1" si="4"/>
        <v>1102736700</v>
      </c>
      <c r="M46" s="348"/>
      <c r="N46" s="338"/>
    </row>
    <row r="47" spans="1:14">
      <c r="A47" s="309">
        <f t="shared" ca="1" si="0"/>
        <v>34</v>
      </c>
      <c r="B47" s="344" t="str">
        <f ca="1">IF(ROWS($1:34)&gt;COUNT(Dong11),"",OFFSET(TH!D$1,SMALL(Dong11,ROWS($1:34)),))</f>
        <v>NL/X</v>
      </c>
      <c r="C47" s="345">
        <f ca="1">IF(ROWS($1:34)&gt;COUNT(Dong11),"",OFFSET(TH!E$1,SMALL(Dong11,ROWS($1:34)),))</f>
        <v>41866</v>
      </c>
      <c r="D47" s="346" t="str">
        <f ca="1">IF(ROWS($1:34)&gt;COUNT(Dong11),"",OFFSET(TH!H$1,SMALL(Dong11,ROWS($1:34)),))</f>
        <v>Xuất sản xuất</v>
      </c>
      <c r="E47" s="344" t="str">
        <f ca="1">IF(ROWS($1:34)&gt;COUNT(Dong11),"",IF(OFFSET(TH!L$1,SMALL(Dong11,ROWS($1:34)),)=$G$7,OFFSET(TH!M$1,SMALL(Dong11,ROWS($1:34)),),OFFSET(TH!L$1,SMALL(Dong11,ROWS($1:34)),)))</f>
        <v>154</v>
      </c>
      <c r="F47" s="347">
        <f ca="1">IF(ROWS($1:34)&gt;COUNT(Dong11),0,OFFSET(TH!J$1,SMALL(Dong11,ROWS($1:34)),))</f>
        <v>8500</v>
      </c>
      <c r="G47" s="347">
        <f ca="1">IF(ROWS($1:34)&gt;COUNT(Dong11),0,IF(MID(OFFSET(TH!D$1,SMALL(Dong11,ROWS($1:34)),),4,1)="N",OFFSET(TH!I$1,SMALL(Dong11,ROWS($1:34)),),0))</f>
        <v>0</v>
      </c>
      <c r="H47" s="348">
        <f t="shared" ca="1" si="1"/>
        <v>0</v>
      </c>
      <c r="I47" s="347">
        <f ca="1">IF(ROWS($1:34)&gt;COUNT(Dong11),0,IF(MID(OFFSET(TH!D$1,SMALL(Dong11,ROWS($1:34)),),4,1)="X",OFFSET(TH!I$1,SMALL(Dong11,ROWS($1:34)),),0))</f>
        <v>9665</v>
      </c>
      <c r="J47" s="348">
        <f t="shared" ca="1" si="2"/>
        <v>82152500</v>
      </c>
      <c r="K47" s="348">
        <f t="shared" ca="1" si="3"/>
        <v>128108</v>
      </c>
      <c r="L47" s="348">
        <f t="shared" ca="1" si="4"/>
        <v>1020584200</v>
      </c>
      <c r="M47" s="348"/>
      <c r="N47" s="338"/>
    </row>
    <row r="48" spans="1:14">
      <c r="A48" s="309">
        <f t="shared" ca="1" si="0"/>
        <v>35</v>
      </c>
      <c r="B48" s="344" t="str">
        <f ca="1">IF(ROWS($1:35)&gt;COUNT(Dong11),"",OFFSET(TH!D$1,SMALL(Dong11,ROWS($1:35)),))</f>
        <v>NL/X</v>
      </c>
      <c r="C48" s="345">
        <f ca="1">IF(ROWS($1:35)&gt;COUNT(Dong11),"",OFFSET(TH!E$1,SMALL(Dong11,ROWS($1:35)),))</f>
        <v>41892</v>
      </c>
      <c r="D48" s="346" t="str">
        <f ca="1">IF(ROWS($1:35)&gt;COUNT(Dong11),"",OFFSET(TH!H$1,SMALL(Dong11,ROWS($1:35)),))</f>
        <v>Xuất sản xuất</v>
      </c>
      <c r="E48" s="344" t="str">
        <f ca="1">IF(ROWS($1:35)&gt;COUNT(Dong11),"",IF(OFFSET(TH!L$1,SMALL(Dong11,ROWS($1:35)),)=$G$7,OFFSET(TH!M$1,SMALL(Dong11,ROWS($1:35)),),OFFSET(TH!L$1,SMALL(Dong11,ROWS($1:35)),)))</f>
        <v>154</v>
      </c>
      <c r="F48" s="347">
        <f ca="1">IF(ROWS($1:35)&gt;COUNT(Dong11),0,OFFSET(TH!J$1,SMALL(Dong11,ROWS($1:35)),))</f>
        <v>8500</v>
      </c>
      <c r="G48" s="347">
        <f ca="1">IF(ROWS($1:35)&gt;COUNT(Dong11),0,IF(MID(OFFSET(TH!D$1,SMALL(Dong11,ROWS($1:35)),),4,1)="N",OFFSET(TH!I$1,SMALL(Dong11,ROWS($1:35)),),0))</f>
        <v>0</v>
      </c>
      <c r="H48" s="348">
        <f t="shared" ca="1" si="1"/>
        <v>0</v>
      </c>
      <c r="I48" s="347">
        <f ca="1">IF(ROWS($1:35)&gt;COUNT(Dong11),0,IF(MID(OFFSET(TH!D$1,SMALL(Dong11,ROWS($1:35)),),4,1)="X",OFFSET(TH!I$1,SMALL(Dong11,ROWS($1:35)),),0))</f>
        <v>7247</v>
      </c>
      <c r="J48" s="348">
        <f t="shared" ca="1" si="2"/>
        <v>61599500</v>
      </c>
      <c r="K48" s="348">
        <f t="shared" ca="1" si="3"/>
        <v>120861</v>
      </c>
      <c r="L48" s="348">
        <f t="shared" ca="1" si="4"/>
        <v>958984700</v>
      </c>
      <c r="M48" s="348"/>
      <c r="N48" s="338"/>
    </row>
    <row r="49" spans="1:14" hidden="1">
      <c r="A49" s="309">
        <f t="shared" ca="1" si="0"/>
        <v>36</v>
      </c>
      <c r="B49" s="344" t="str">
        <f ca="1">IF(ROWS($1:36)&gt;COUNT(Dong11),"",OFFSET(TH!D$1,SMALL(Dong11,ROWS($1:36)),))</f>
        <v>NL/X</v>
      </c>
      <c r="C49" s="345">
        <f ca="1">IF(ROWS($1:36)&gt;COUNT(Dong11),"",OFFSET(TH!E$1,SMALL(Dong11,ROWS($1:36)),))</f>
        <v>41917</v>
      </c>
      <c r="D49" s="346" t="str">
        <f ca="1">IF(ROWS($1:36)&gt;COUNT(Dong11),"",OFFSET(TH!H$1,SMALL(Dong11,ROWS($1:36)),))</f>
        <v>Xuất sản xuất</v>
      </c>
      <c r="E49" s="344" t="str">
        <f ca="1">IF(ROWS($1:36)&gt;COUNT(Dong11),"",IF(OFFSET(TH!L$1,SMALL(Dong11,ROWS($1:36)),)=$G$7,OFFSET(TH!M$1,SMALL(Dong11,ROWS($1:36)),),OFFSET(TH!L$1,SMALL(Dong11,ROWS($1:36)),)))</f>
        <v>154</v>
      </c>
      <c r="F49" s="347">
        <f ca="1">IF(ROWS($1:36)&gt;COUNT(Dong11),0,OFFSET(TH!J$1,SMALL(Dong11,ROWS($1:36)),))</f>
        <v>7200</v>
      </c>
      <c r="G49" s="347">
        <f ca="1">IF(ROWS($1:36)&gt;COUNT(Dong11),0,IF(MID(OFFSET(TH!D$1,SMALL(Dong11,ROWS($1:36)),),4,1)="N",OFFSET(TH!I$1,SMALL(Dong11,ROWS($1:36)),),0))</f>
        <v>0</v>
      </c>
      <c r="H49" s="348">
        <f t="shared" ca="1" si="1"/>
        <v>0</v>
      </c>
      <c r="I49" s="347">
        <f ca="1">IF(ROWS($1:36)&gt;COUNT(Dong11),0,IF(MID(OFFSET(TH!D$1,SMALL(Dong11,ROWS($1:36)),),4,1)="X",OFFSET(TH!I$1,SMALL(Dong11,ROWS($1:36)),),0))</f>
        <v>1663</v>
      </c>
      <c r="J49" s="348">
        <f t="shared" ca="1" si="2"/>
        <v>11973600</v>
      </c>
      <c r="K49" s="348">
        <f t="shared" ca="1" si="3"/>
        <v>119198</v>
      </c>
      <c r="L49" s="348">
        <f t="shared" ca="1" si="4"/>
        <v>947011100</v>
      </c>
      <c r="M49" s="348"/>
      <c r="N49" s="338"/>
    </row>
    <row r="50" spans="1:14" hidden="1">
      <c r="A50" s="309">
        <f t="shared" ca="1" si="0"/>
        <v>37</v>
      </c>
      <c r="B50" s="344" t="str">
        <f ca="1">IF(ROWS($1:37)&gt;COUNT(Dong11),"",OFFSET(TH!D$1,SMALL(Dong11,ROWS($1:37)),))</f>
        <v>NL/X</v>
      </c>
      <c r="C50" s="345">
        <f ca="1">IF(ROWS($1:37)&gt;COUNT(Dong11),"",OFFSET(TH!E$1,SMALL(Dong11,ROWS($1:37)),))</f>
        <v>41927</v>
      </c>
      <c r="D50" s="346" t="str">
        <f ca="1">IF(ROWS($1:37)&gt;COUNT(Dong11),"",OFFSET(TH!H$1,SMALL(Dong11,ROWS($1:37)),))</f>
        <v>Xuất sản xuất</v>
      </c>
      <c r="E50" s="344" t="str">
        <f ca="1">IF(ROWS($1:37)&gt;COUNT(Dong11),"",IF(OFFSET(TH!L$1,SMALL(Dong11,ROWS($1:37)),)=$G$7,OFFSET(TH!M$1,SMALL(Dong11,ROWS($1:37)),),OFFSET(TH!L$1,SMALL(Dong11,ROWS($1:37)),)))</f>
        <v>154</v>
      </c>
      <c r="F50" s="347">
        <f ca="1">IF(ROWS($1:37)&gt;COUNT(Dong11),0,OFFSET(TH!J$1,SMALL(Dong11,ROWS($1:37)),))</f>
        <v>7500</v>
      </c>
      <c r="G50" s="347">
        <f ca="1">IF(ROWS($1:37)&gt;COUNT(Dong11),0,IF(MID(OFFSET(TH!D$1,SMALL(Dong11,ROWS($1:37)),),4,1)="N",OFFSET(TH!I$1,SMALL(Dong11,ROWS($1:37)),),0))</f>
        <v>0</v>
      </c>
      <c r="H50" s="348">
        <f t="shared" ca="1" si="1"/>
        <v>0</v>
      </c>
      <c r="I50" s="347">
        <f ca="1">IF(ROWS($1:37)&gt;COUNT(Dong11),0,IF(MID(OFFSET(TH!D$1,SMALL(Dong11,ROWS($1:37)),),4,1)="X",OFFSET(TH!I$1,SMALL(Dong11,ROWS($1:37)),),0))</f>
        <v>1821</v>
      </c>
      <c r="J50" s="348">
        <f t="shared" ca="1" si="2"/>
        <v>13657500</v>
      </c>
      <c r="K50" s="348">
        <f t="shared" ca="1" si="3"/>
        <v>117377</v>
      </c>
      <c r="L50" s="348">
        <f t="shared" ca="1" si="4"/>
        <v>933353600</v>
      </c>
      <c r="M50" s="348"/>
      <c r="N50" s="338"/>
    </row>
    <row r="51" spans="1:14">
      <c r="A51" s="309">
        <f t="shared" ca="1" si="0"/>
        <v>38</v>
      </c>
      <c r="B51" s="344" t="str">
        <f ca="1">IF(ROWS($1:38)&gt;COUNT(Dong11),"",OFFSET(TH!D$1,SMALL(Dong11,ROWS($1:38)),))</f>
        <v>NL/X</v>
      </c>
      <c r="C51" s="345">
        <f ca="1">IF(ROWS($1:38)&gt;COUNT(Dong11),"",OFFSET(TH!E$1,SMALL(Dong11,ROWS($1:38)),))</f>
        <v>41933</v>
      </c>
      <c r="D51" s="346" t="str">
        <f ca="1">IF(ROWS($1:38)&gt;COUNT(Dong11),"",OFFSET(TH!H$1,SMALL(Dong11,ROWS($1:38)),))</f>
        <v>Xuất sản xuất</v>
      </c>
      <c r="E51" s="344" t="str">
        <f ca="1">IF(ROWS($1:38)&gt;COUNT(Dong11),"",IF(OFFSET(TH!L$1,SMALL(Dong11,ROWS($1:38)),)=$G$7,OFFSET(TH!M$1,SMALL(Dong11,ROWS($1:38)),),OFFSET(TH!L$1,SMALL(Dong11,ROWS($1:38)),)))</f>
        <v>154</v>
      </c>
      <c r="F51" s="347">
        <f ca="1">IF(ROWS($1:38)&gt;COUNT(Dong11),0,OFFSET(TH!J$1,SMALL(Dong11,ROWS($1:38)),))</f>
        <v>8500</v>
      </c>
      <c r="G51" s="347">
        <f ca="1">IF(ROWS($1:38)&gt;COUNT(Dong11),0,IF(MID(OFFSET(TH!D$1,SMALL(Dong11,ROWS($1:38)),),4,1)="N",OFFSET(TH!I$1,SMALL(Dong11,ROWS($1:38)),),0))</f>
        <v>0</v>
      </c>
      <c r="H51" s="348">
        <f t="shared" ca="1" si="1"/>
        <v>0</v>
      </c>
      <c r="I51" s="347">
        <f ca="1">IF(ROWS($1:38)&gt;COUNT(Dong11),0,IF(MID(OFFSET(TH!D$1,SMALL(Dong11,ROWS($1:38)),),4,1)="X",OFFSET(TH!I$1,SMALL(Dong11,ROWS($1:38)),),0))</f>
        <v>14240</v>
      </c>
      <c r="J51" s="348">
        <f t="shared" ca="1" si="2"/>
        <v>121040000</v>
      </c>
      <c r="K51" s="348">
        <f t="shared" ca="1" si="3"/>
        <v>103137</v>
      </c>
      <c r="L51" s="348">
        <f t="shared" ca="1" si="4"/>
        <v>812313600</v>
      </c>
      <c r="M51" s="348"/>
      <c r="N51" s="338"/>
    </row>
    <row r="52" spans="1:14">
      <c r="A52" s="309">
        <f t="shared" ca="1" si="0"/>
        <v>39</v>
      </c>
      <c r="B52" s="344" t="str">
        <f ca="1">IF(ROWS($1:39)&gt;COUNT(Dong11),"",OFFSET(TH!D$1,SMALL(Dong11,ROWS($1:39)),))</f>
        <v>NL/X</v>
      </c>
      <c r="C52" s="345">
        <f ca="1">IF(ROWS($1:39)&gt;COUNT(Dong11),"",OFFSET(TH!E$1,SMALL(Dong11,ROWS($1:39)),))</f>
        <v>41961</v>
      </c>
      <c r="D52" s="346" t="str">
        <f ca="1">IF(ROWS($1:39)&gt;COUNT(Dong11),"",OFFSET(TH!H$1,SMALL(Dong11,ROWS($1:39)),))</f>
        <v>Xuất sản xuất</v>
      </c>
      <c r="E52" s="344" t="str">
        <f ca="1">IF(ROWS($1:39)&gt;COUNT(Dong11),"",IF(OFFSET(TH!L$1,SMALL(Dong11,ROWS($1:39)),)=$G$7,OFFSET(TH!M$1,SMALL(Dong11,ROWS($1:39)),),OFFSET(TH!L$1,SMALL(Dong11,ROWS($1:39)),)))</f>
        <v>154</v>
      </c>
      <c r="F52" s="347">
        <f ca="1">IF(ROWS($1:39)&gt;COUNT(Dong11),0,OFFSET(TH!J$1,SMALL(Dong11,ROWS($1:39)),))</f>
        <v>8500</v>
      </c>
      <c r="G52" s="347">
        <f ca="1">IF(ROWS($1:39)&gt;COUNT(Dong11),0,IF(MID(OFFSET(TH!D$1,SMALL(Dong11,ROWS($1:39)),),4,1)="N",OFFSET(TH!I$1,SMALL(Dong11,ROWS($1:39)),),0))</f>
        <v>0</v>
      </c>
      <c r="H52" s="348">
        <f t="shared" ca="1" si="1"/>
        <v>0</v>
      </c>
      <c r="I52" s="347">
        <f ca="1">IF(ROWS($1:39)&gt;COUNT(Dong11),0,IF(MID(OFFSET(TH!D$1,SMALL(Dong11,ROWS($1:39)),),4,1)="X",OFFSET(TH!I$1,SMALL(Dong11,ROWS($1:39)),),0))</f>
        <v>10090</v>
      </c>
      <c r="J52" s="348">
        <f t="shared" ca="1" si="2"/>
        <v>85765000</v>
      </c>
      <c r="K52" s="348">
        <f t="shared" ca="1" si="3"/>
        <v>93047</v>
      </c>
      <c r="L52" s="348">
        <f t="shared" ca="1" si="4"/>
        <v>726548600</v>
      </c>
      <c r="M52" s="348"/>
      <c r="N52" s="338"/>
    </row>
    <row r="53" spans="1:14" hidden="1">
      <c r="A53" s="309" t="str">
        <f t="shared" ca="1" si="0"/>
        <v/>
      </c>
      <c r="B53" s="344" t="str">
        <f ca="1">IF(ROWS($1:40)&gt;COUNT(Dong11),"",OFFSET(TH!D$1,SMALL(Dong11,ROWS($1:40)),))</f>
        <v/>
      </c>
      <c r="C53" s="345" t="str">
        <f ca="1">IF(ROWS($1:40)&gt;COUNT(Dong11),"",OFFSET(TH!E$1,SMALL(Dong11,ROWS($1:40)),))</f>
        <v/>
      </c>
      <c r="D53" s="346" t="str">
        <f ca="1">IF(ROWS($1:40)&gt;COUNT(Dong11),"",OFFSET(TH!H$1,SMALL(Dong11,ROWS($1:40)),))</f>
        <v/>
      </c>
      <c r="E53" s="344" t="str">
        <f ca="1">IF(ROWS($1:40)&gt;COUNT(Dong11),"",IF(OFFSET(TH!L$1,SMALL(Dong11,ROWS($1:40)),)=$G$7,OFFSET(TH!M$1,SMALL(Dong11,ROWS($1:40)),),OFFSET(TH!L$1,SMALL(Dong11,ROWS($1:40)),)))</f>
        <v/>
      </c>
      <c r="F53" s="347">
        <f ca="1">IF(ROWS($1:40)&gt;COUNT(Dong11),0,OFFSET(TH!J$1,SMALL(Dong11,ROWS($1:40)),))</f>
        <v>0</v>
      </c>
      <c r="G53" s="347">
        <f ca="1">IF(ROWS($1:40)&gt;COUNT(Dong11),0,IF(MID(OFFSET(TH!D$1,SMALL(Dong11,ROWS($1:40)),),4,1)="N",OFFSET(TH!I$1,SMALL(Dong11,ROWS($1:40)),),0))</f>
        <v>0</v>
      </c>
      <c r="H53" s="348">
        <f t="shared" ca="1" si="1"/>
        <v>0</v>
      </c>
      <c r="I53" s="347">
        <f ca="1">IF(ROWS($1:40)&gt;COUNT(Dong11),0,IF(MID(OFFSET(TH!D$1,SMALL(Dong11,ROWS($1:40)),),4,1)="X",OFFSET(TH!I$1,SMALL(Dong11,ROWS($1:40)),),0))</f>
        <v>0</v>
      </c>
      <c r="J53" s="348">
        <f t="shared" ca="1" si="2"/>
        <v>0</v>
      </c>
      <c r="K53" s="348">
        <f t="shared" ca="1" si="3"/>
        <v>0</v>
      </c>
      <c r="L53" s="348">
        <f t="shared" ca="1" si="4"/>
        <v>0</v>
      </c>
      <c r="M53" s="348"/>
      <c r="N53" s="338"/>
    </row>
    <row r="54" spans="1:14" hidden="1">
      <c r="A54" s="309" t="str">
        <f t="shared" ca="1" si="0"/>
        <v/>
      </c>
      <c r="B54" s="344" t="str">
        <f ca="1">IF(ROWS($1:41)&gt;COUNT(Dong11),"",OFFSET(TH!D$1,SMALL(Dong11,ROWS($1:41)),))</f>
        <v/>
      </c>
      <c r="C54" s="345" t="str">
        <f ca="1">IF(ROWS($1:41)&gt;COUNT(Dong11),"",OFFSET(TH!E$1,SMALL(Dong11,ROWS($1:41)),))</f>
        <v/>
      </c>
      <c r="D54" s="346" t="str">
        <f ca="1">IF(ROWS($1:41)&gt;COUNT(Dong11),"",OFFSET(TH!H$1,SMALL(Dong11,ROWS($1:41)),))</f>
        <v/>
      </c>
      <c r="E54" s="344" t="str">
        <f ca="1">IF(ROWS($1:41)&gt;COUNT(Dong11),"",IF(OFFSET(TH!L$1,SMALL(Dong11,ROWS($1:41)),)=$G$7,OFFSET(TH!M$1,SMALL(Dong11,ROWS($1:41)),),OFFSET(TH!L$1,SMALL(Dong11,ROWS($1:41)),)))</f>
        <v/>
      </c>
      <c r="F54" s="347">
        <f ca="1">IF(ROWS($1:41)&gt;COUNT(Dong11),0,OFFSET(TH!J$1,SMALL(Dong11,ROWS($1:41)),))</f>
        <v>0</v>
      </c>
      <c r="G54" s="347">
        <f ca="1">IF(ROWS($1:41)&gt;COUNT(Dong11),0,IF(MID(OFFSET(TH!D$1,SMALL(Dong11,ROWS($1:41)),),4,1)="N",OFFSET(TH!I$1,SMALL(Dong11,ROWS($1:41)),),0))</f>
        <v>0</v>
      </c>
      <c r="H54" s="348">
        <f t="shared" ca="1" si="1"/>
        <v>0</v>
      </c>
      <c r="I54" s="347">
        <f ca="1">IF(ROWS($1:41)&gt;COUNT(Dong11),0,IF(MID(OFFSET(TH!D$1,SMALL(Dong11,ROWS($1:41)),),4,1)="X",OFFSET(TH!I$1,SMALL(Dong11,ROWS($1:41)),),0))</f>
        <v>0</v>
      </c>
      <c r="J54" s="348">
        <f t="shared" ca="1" si="2"/>
        <v>0</v>
      </c>
      <c r="K54" s="348">
        <f t="shared" ca="1" si="3"/>
        <v>0</v>
      </c>
      <c r="L54" s="348">
        <f t="shared" ca="1" si="4"/>
        <v>0</v>
      </c>
      <c r="M54" s="348"/>
      <c r="N54" s="338"/>
    </row>
    <row r="55" spans="1:14" hidden="1">
      <c r="A55" s="309" t="str">
        <f t="shared" ca="1" si="0"/>
        <v/>
      </c>
      <c r="B55" s="344" t="str">
        <f ca="1">IF(ROWS($1:42)&gt;COUNT(Dong11),"",OFFSET(TH!D$1,SMALL(Dong11,ROWS($1:42)),))</f>
        <v/>
      </c>
      <c r="C55" s="345" t="str">
        <f ca="1">IF(ROWS($1:42)&gt;COUNT(Dong11),"",OFFSET(TH!E$1,SMALL(Dong11,ROWS($1:42)),))</f>
        <v/>
      </c>
      <c r="D55" s="346" t="str">
        <f ca="1">IF(ROWS($1:42)&gt;COUNT(Dong11),"",OFFSET(TH!H$1,SMALL(Dong11,ROWS($1:42)),))</f>
        <v/>
      </c>
      <c r="E55" s="344" t="str">
        <f ca="1">IF(ROWS($1:42)&gt;COUNT(Dong11),"",IF(OFFSET(TH!L$1,SMALL(Dong11,ROWS($1:42)),)=$G$7,OFFSET(TH!M$1,SMALL(Dong11,ROWS($1:42)),),OFFSET(TH!L$1,SMALL(Dong11,ROWS($1:42)),)))</f>
        <v/>
      </c>
      <c r="F55" s="347">
        <f ca="1">IF(ROWS($1:42)&gt;COUNT(Dong11),0,OFFSET(TH!J$1,SMALL(Dong11,ROWS($1:42)),))</f>
        <v>0</v>
      </c>
      <c r="G55" s="347">
        <f ca="1">IF(ROWS($1:42)&gt;COUNT(Dong11),0,IF(MID(OFFSET(TH!D$1,SMALL(Dong11,ROWS($1:42)),),4,1)="N",OFFSET(TH!I$1,SMALL(Dong11,ROWS($1:42)),),0))</f>
        <v>0</v>
      </c>
      <c r="H55" s="348">
        <f t="shared" ca="1" si="1"/>
        <v>0</v>
      </c>
      <c r="I55" s="347">
        <f ca="1">IF(ROWS($1:42)&gt;COUNT(Dong11),0,IF(MID(OFFSET(TH!D$1,SMALL(Dong11,ROWS($1:42)),),4,1)="X",OFFSET(TH!I$1,SMALL(Dong11,ROWS($1:42)),),0))</f>
        <v>0</v>
      </c>
      <c r="J55" s="348">
        <f t="shared" ca="1" si="2"/>
        <v>0</v>
      </c>
      <c r="K55" s="348">
        <f t="shared" ca="1" si="3"/>
        <v>0</v>
      </c>
      <c r="L55" s="348">
        <f t="shared" ca="1" si="4"/>
        <v>0</v>
      </c>
      <c r="M55" s="348"/>
      <c r="N55" s="338"/>
    </row>
    <row r="56" spans="1:14" hidden="1">
      <c r="A56" s="309" t="str">
        <f t="shared" ca="1" si="0"/>
        <v/>
      </c>
      <c r="B56" s="344" t="str">
        <f ca="1">IF(ROWS($1:43)&gt;COUNT(Dong11),"",OFFSET(TH!D$1,SMALL(Dong11,ROWS($1:43)),))</f>
        <v/>
      </c>
      <c r="C56" s="345" t="str">
        <f ca="1">IF(ROWS($1:43)&gt;COUNT(Dong11),"",OFFSET(TH!E$1,SMALL(Dong11,ROWS($1:43)),))</f>
        <v/>
      </c>
      <c r="D56" s="346" t="str">
        <f ca="1">IF(ROWS($1:43)&gt;COUNT(Dong11),"",OFFSET(TH!H$1,SMALL(Dong11,ROWS($1:43)),))</f>
        <v/>
      </c>
      <c r="E56" s="344" t="str">
        <f ca="1">IF(ROWS($1:43)&gt;COUNT(Dong11),"",IF(OFFSET(TH!L$1,SMALL(Dong11,ROWS($1:43)),)=$G$7,OFFSET(TH!M$1,SMALL(Dong11,ROWS($1:43)),),OFFSET(TH!L$1,SMALL(Dong11,ROWS($1:43)),)))</f>
        <v/>
      </c>
      <c r="F56" s="347">
        <f ca="1">IF(ROWS($1:43)&gt;COUNT(Dong11),0,OFFSET(TH!J$1,SMALL(Dong11,ROWS($1:43)),))</f>
        <v>0</v>
      </c>
      <c r="G56" s="347">
        <f ca="1">IF(ROWS($1:43)&gt;COUNT(Dong11),0,IF(MID(OFFSET(TH!D$1,SMALL(Dong11,ROWS($1:43)),),4,1)="N",OFFSET(TH!I$1,SMALL(Dong11,ROWS($1:43)),),0))</f>
        <v>0</v>
      </c>
      <c r="H56" s="348">
        <f t="shared" ca="1" si="1"/>
        <v>0</v>
      </c>
      <c r="I56" s="347">
        <f ca="1">IF(ROWS($1:43)&gt;COUNT(Dong11),0,IF(MID(OFFSET(TH!D$1,SMALL(Dong11,ROWS($1:43)),),4,1)="X",OFFSET(TH!I$1,SMALL(Dong11,ROWS($1:43)),),0))</f>
        <v>0</v>
      </c>
      <c r="J56" s="348">
        <f t="shared" ca="1" si="2"/>
        <v>0</v>
      </c>
      <c r="K56" s="348">
        <f t="shared" ca="1" si="3"/>
        <v>0</v>
      </c>
      <c r="L56" s="348">
        <f t="shared" ca="1" si="4"/>
        <v>0</v>
      </c>
      <c r="M56" s="348"/>
      <c r="N56" s="338"/>
    </row>
    <row r="57" spans="1:14" hidden="1">
      <c r="A57" s="309" t="str">
        <f t="shared" ca="1" si="0"/>
        <v/>
      </c>
      <c r="B57" s="344" t="str">
        <f ca="1">IF(ROWS($1:44)&gt;COUNT(Dong11),"",OFFSET(TH!D$1,SMALL(Dong11,ROWS($1:44)),))</f>
        <v/>
      </c>
      <c r="C57" s="345" t="str">
        <f ca="1">IF(ROWS($1:44)&gt;COUNT(Dong11),"",OFFSET(TH!E$1,SMALL(Dong11,ROWS($1:44)),))</f>
        <v/>
      </c>
      <c r="D57" s="346" t="str">
        <f ca="1">IF(ROWS($1:44)&gt;COUNT(Dong11),"",OFFSET(TH!H$1,SMALL(Dong11,ROWS($1:44)),))</f>
        <v/>
      </c>
      <c r="E57" s="344" t="str">
        <f ca="1">IF(ROWS($1:44)&gt;COUNT(Dong11),"",IF(OFFSET(TH!L$1,SMALL(Dong11,ROWS($1:44)),)=$G$7,OFFSET(TH!M$1,SMALL(Dong11,ROWS($1:44)),),OFFSET(TH!L$1,SMALL(Dong11,ROWS($1:44)),)))</f>
        <v/>
      </c>
      <c r="F57" s="347">
        <f ca="1">IF(ROWS($1:44)&gt;COUNT(Dong11),0,OFFSET(TH!J$1,SMALL(Dong11,ROWS($1:44)),))</f>
        <v>0</v>
      </c>
      <c r="G57" s="347">
        <f ca="1">IF(ROWS($1:44)&gt;COUNT(Dong11),0,IF(MID(OFFSET(TH!D$1,SMALL(Dong11,ROWS($1:44)),),4,1)="N",OFFSET(TH!I$1,SMALL(Dong11,ROWS($1:44)),),0))</f>
        <v>0</v>
      </c>
      <c r="H57" s="348">
        <f t="shared" ca="1" si="1"/>
        <v>0</v>
      </c>
      <c r="I57" s="347">
        <f ca="1">IF(ROWS($1:44)&gt;COUNT(Dong11),0,IF(MID(OFFSET(TH!D$1,SMALL(Dong11,ROWS($1:44)),),4,1)="X",OFFSET(TH!I$1,SMALL(Dong11,ROWS($1:44)),),0))</f>
        <v>0</v>
      </c>
      <c r="J57" s="348">
        <f t="shared" ca="1" si="2"/>
        <v>0</v>
      </c>
      <c r="K57" s="348">
        <f t="shared" ca="1" si="3"/>
        <v>0</v>
      </c>
      <c r="L57" s="348">
        <f t="shared" ca="1" si="4"/>
        <v>0</v>
      </c>
      <c r="M57" s="348"/>
      <c r="N57" s="338"/>
    </row>
    <row r="58" spans="1:14" hidden="1">
      <c r="A58" s="309" t="str">
        <f t="shared" ca="1" si="0"/>
        <v/>
      </c>
      <c r="B58" s="344" t="str">
        <f ca="1">IF(ROWS($1:45)&gt;COUNT(Dong11),"",OFFSET(TH!D$1,SMALL(Dong11,ROWS($1:45)),))</f>
        <v/>
      </c>
      <c r="C58" s="345" t="str">
        <f ca="1">IF(ROWS($1:45)&gt;COUNT(Dong11),"",OFFSET(TH!E$1,SMALL(Dong11,ROWS($1:45)),))</f>
        <v/>
      </c>
      <c r="D58" s="346" t="str">
        <f ca="1">IF(ROWS($1:45)&gt;COUNT(Dong11),"",OFFSET(TH!H$1,SMALL(Dong11,ROWS($1:45)),))</f>
        <v/>
      </c>
      <c r="E58" s="344" t="str">
        <f ca="1">IF(ROWS($1:45)&gt;COUNT(Dong11),"",IF(OFFSET(TH!L$1,SMALL(Dong11,ROWS($1:45)),)=$G$7,OFFSET(TH!M$1,SMALL(Dong11,ROWS($1:45)),),OFFSET(TH!L$1,SMALL(Dong11,ROWS($1:45)),)))</f>
        <v/>
      </c>
      <c r="F58" s="347">
        <f ca="1">IF(ROWS($1:45)&gt;COUNT(Dong11),0,OFFSET(TH!J$1,SMALL(Dong11,ROWS($1:45)),))</f>
        <v>0</v>
      </c>
      <c r="G58" s="347">
        <f ca="1">IF(ROWS($1:45)&gt;COUNT(Dong11),0,IF(MID(OFFSET(TH!D$1,SMALL(Dong11,ROWS($1:45)),),4,1)="N",OFFSET(TH!I$1,SMALL(Dong11,ROWS($1:45)),),0))</f>
        <v>0</v>
      </c>
      <c r="H58" s="348">
        <f t="shared" ca="1" si="1"/>
        <v>0</v>
      </c>
      <c r="I58" s="347">
        <f ca="1">IF(ROWS($1:45)&gt;COUNT(Dong11),0,IF(MID(OFFSET(TH!D$1,SMALL(Dong11,ROWS($1:45)),),4,1)="X",OFFSET(TH!I$1,SMALL(Dong11,ROWS($1:45)),),0))</f>
        <v>0</v>
      </c>
      <c r="J58" s="348">
        <f t="shared" ca="1" si="2"/>
        <v>0</v>
      </c>
      <c r="K58" s="348">
        <f t="shared" ca="1" si="3"/>
        <v>0</v>
      </c>
      <c r="L58" s="348">
        <f t="shared" ca="1" si="4"/>
        <v>0</v>
      </c>
      <c r="M58" s="348"/>
      <c r="N58" s="338"/>
    </row>
    <row r="59" spans="1:14" hidden="1">
      <c r="A59" s="309" t="str">
        <f t="shared" ca="1" si="0"/>
        <v/>
      </c>
      <c r="B59" s="344" t="str">
        <f ca="1">IF(ROWS($1:46)&gt;COUNT(Dong11),"",OFFSET(TH!D$1,SMALL(Dong11,ROWS($1:46)),))</f>
        <v/>
      </c>
      <c r="C59" s="345" t="str">
        <f ca="1">IF(ROWS($1:46)&gt;COUNT(Dong11),"",OFFSET(TH!E$1,SMALL(Dong11,ROWS($1:46)),))</f>
        <v/>
      </c>
      <c r="D59" s="346" t="str">
        <f ca="1">IF(ROWS($1:46)&gt;COUNT(Dong11),"",OFFSET(TH!H$1,SMALL(Dong11,ROWS($1:46)),))</f>
        <v/>
      </c>
      <c r="E59" s="344" t="str">
        <f ca="1">IF(ROWS($1:46)&gt;COUNT(Dong11),"",IF(OFFSET(TH!L$1,SMALL(Dong11,ROWS($1:46)),)=$G$7,OFFSET(TH!M$1,SMALL(Dong11,ROWS($1:46)),),OFFSET(TH!L$1,SMALL(Dong11,ROWS($1:46)),)))</f>
        <v/>
      </c>
      <c r="F59" s="347">
        <f ca="1">IF(ROWS($1:46)&gt;COUNT(Dong11),0,OFFSET(TH!J$1,SMALL(Dong11,ROWS($1:46)),))</f>
        <v>0</v>
      </c>
      <c r="G59" s="347">
        <f ca="1">IF(ROWS($1:46)&gt;COUNT(Dong11),0,IF(MID(OFFSET(TH!D$1,SMALL(Dong11,ROWS($1:46)),),4,1)="N",OFFSET(TH!I$1,SMALL(Dong11,ROWS($1:46)),),0))</f>
        <v>0</v>
      </c>
      <c r="H59" s="348">
        <f t="shared" ca="1" si="1"/>
        <v>0</v>
      </c>
      <c r="I59" s="347">
        <f ca="1">IF(ROWS($1:46)&gt;COUNT(Dong11),0,IF(MID(OFFSET(TH!D$1,SMALL(Dong11,ROWS($1:46)),),4,1)="X",OFFSET(TH!I$1,SMALL(Dong11,ROWS($1:46)),),0))</f>
        <v>0</v>
      </c>
      <c r="J59" s="348">
        <f t="shared" ca="1" si="2"/>
        <v>0</v>
      </c>
      <c r="K59" s="348">
        <f t="shared" ca="1" si="3"/>
        <v>0</v>
      </c>
      <c r="L59" s="348">
        <f t="shared" ca="1" si="4"/>
        <v>0</v>
      </c>
      <c r="M59" s="348"/>
      <c r="N59" s="338"/>
    </row>
    <row r="60" spans="1:14" hidden="1">
      <c r="A60" s="309" t="str">
        <f t="shared" ca="1" si="0"/>
        <v/>
      </c>
      <c r="B60" s="344" t="str">
        <f ca="1">IF(ROWS($1:47)&gt;COUNT(Dong11),"",OFFSET(TH!D$1,SMALL(Dong11,ROWS($1:47)),))</f>
        <v/>
      </c>
      <c r="C60" s="345" t="str">
        <f ca="1">IF(ROWS($1:47)&gt;COUNT(Dong11),"",OFFSET(TH!E$1,SMALL(Dong11,ROWS($1:47)),))</f>
        <v/>
      </c>
      <c r="D60" s="346" t="str">
        <f ca="1">IF(ROWS($1:47)&gt;COUNT(Dong11),"",OFFSET(TH!H$1,SMALL(Dong11,ROWS($1:47)),))</f>
        <v/>
      </c>
      <c r="E60" s="344" t="str">
        <f ca="1">IF(ROWS($1:47)&gt;COUNT(Dong11),"",IF(OFFSET(TH!L$1,SMALL(Dong11,ROWS($1:47)),)=$G$7,OFFSET(TH!M$1,SMALL(Dong11,ROWS($1:47)),),OFFSET(TH!L$1,SMALL(Dong11,ROWS($1:47)),)))</f>
        <v/>
      </c>
      <c r="F60" s="347">
        <f ca="1">IF(ROWS($1:47)&gt;COUNT(Dong11),0,OFFSET(TH!J$1,SMALL(Dong11,ROWS($1:47)),))</f>
        <v>0</v>
      </c>
      <c r="G60" s="347">
        <f ca="1">IF(ROWS($1:47)&gt;COUNT(Dong11),0,IF(MID(OFFSET(TH!D$1,SMALL(Dong11,ROWS($1:47)),),4,1)="N",OFFSET(TH!I$1,SMALL(Dong11,ROWS($1:47)),),0))</f>
        <v>0</v>
      </c>
      <c r="H60" s="348">
        <f t="shared" ca="1" si="1"/>
        <v>0</v>
      </c>
      <c r="I60" s="347">
        <f ca="1">IF(ROWS($1:47)&gt;COUNT(Dong11),0,IF(MID(OFFSET(TH!D$1,SMALL(Dong11,ROWS($1:47)),),4,1)="X",OFFSET(TH!I$1,SMALL(Dong11,ROWS($1:47)),),0))</f>
        <v>0</v>
      </c>
      <c r="J60" s="348">
        <f t="shared" ca="1" si="2"/>
        <v>0</v>
      </c>
      <c r="K60" s="348">
        <f t="shared" ca="1" si="3"/>
        <v>0</v>
      </c>
      <c r="L60" s="348">
        <f t="shared" ca="1" si="4"/>
        <v>0</v>
      </c>
      <c r="M60" s="348"/>
      <c r="N60" s="338"/>
    </row>
    <row r="61" spans="1:14" hidden="1">
      <c r="A61" s="309" t="str">
        <f t="shared" ca="1" si="0"/>
        <v/>
      </c>
      <c r="B61" s="344" t="str">
        <f ca="1">IF(ROWS($1:48)&gt;COUNT(Dong11),"",OFFSET(TH!D$1,SMALL(Dong11,ROWS($1:48)),))</f>
        <v/>
      </c>
      <c r="C61" s="345" t="str">
        <f ca="1">IF(ROWS($1:48)&gt;COUNT(Dong11),"",OFFSET(TH!E$1,SMALL(Dong11,ROWS($1:48)),))</f>
        <v/>
      </c>
      <c r="D61" s="346" t="str">
        <f ca="1">IF(ROWS($1:48)&gt;COUNT(Dong11),"",OFFSET(TH!H$1,SMALL(Dong11,ROWS($1:48)),))</f>
        <v/>
      </c>
      <c r="E61" s="344" t="str">
        <f ca="1">IF(ROWS($1:48)&gt;COUNT(Dong11),"",IF(OFFSET(TH!L$1,SMALL(Dong11,ROWS($1:48)),)=$G$7,OFFSET(TH!M$1,SMALL(Dong11,ROWS($1:48)),),OFFSET(TH!L$1,SMALL(Dong11,ROWS($1:48)),)))</f>
        <v/>
      </c>
      <c r="F61" s="347">
        <f ca="1">IF(ROWS($1:48)&gt;COUNT(Dong11),0,OFFSET(TH!J$1,SMALL(Dong11,ROWS($1:48)),))</f>
        <v>0</v>
      </c>
      <c r="G61" s="347">
        <f ca="1">IF(ROWS($1:48)&gt;COUNT(Dong11),0,IF(MID(OFFSET(TH!D$1,SMALL(Dong11,ROWS($1:48)),),4,1)="N",OFFSET(TH!I$1,SMALL(Dong11,ROWS($1:48)),),0))</f>
        <v>0</v>
      </c>
      <c r="H61" s="348">
        <f t="shared" ca="1" si="1"/>
        <v>0</v>
      </c>
      <c r="I61" s="347">
        <f ca="1">IF(ROWS($1:48)&gt;COUNT(Dong11),0,IF(MID(OFFSET(TH!D$1,SMALL(Dong11,ROWS($1:48)),),4,1)="X",OFFSET(TH!I$1,SMALL(Dong11,ROWS($1:48)),),0))</f>
        <v>0</v>
      </c>
      <c r="J61" s="348">
        <f t="shared" ca="1" si="2"/>
        <v>0</v>
      </c>
      <c r="K61" s="348">
        <f t="shared" ca="1" si="3"/>
        <v>0</v>
      </c>
      <c r="L61" s="348">
        <f t="shared" ca="1" si="4"/>
        <v>0</v>
      </c>
      <c r="M61" s="348"/>
      <c r="N61" s="338"/>
    </row>
    <row r="62" spans="1:14" hidden="1">
      <c r="A62" s="309" t="str">
        <f t="shared" ca="1" si="0"/>
        <v/>
      </c>
      <c r="B62" s="344" t="str">
        <f ca="1">IF(ROWS($1:49)&gt;COUNT(Dong11),"",OFFSET(TH!D$1,SMALL(Dong11,ROWS($1:49)),))</f>
        <v/>
      </c>
      <c r="C62" s="345" t="str">
        <f ca="1">IF(ROWS($1:49)&gt;COUNT(Dong11),"",OFFSET(TH!E$1,SMALL(Dong11,ROWS($1:49)),))</f>
        <v/>
      </c>
      <c r="D62" s="346" t="str">
        <f ca="1">IF(ROWS($1:49)&gt;COUNT(Dong11),"",OFFSET(TH!H$1,SMALL(Dong11,ROWS($1:49)),))</f>
        <v/>
      </c>
      <c r="E62" s="344" t="str">
        <f ca="1">IF(ROWS($1:49)&gt;COUNT(Dong11),"",IF(OFFSET(TH!L$1,SMALL(Dong11,ROWS($1:49)),)=$G$7,OFFSET(TH!M$1,SMALL(Dong11,ROWS($1:49)),),OFFSET(TH!L$1,SMALL(Dong11,ROWS($1:49)),)))</f>
        <v/>
      </c>
      <c r="F62" s="347">
        <f ca="1">IF(ROWS($1:49)&gt;COUNT(Dong11),0,OFFSET(TH!J$1,SMALL(Dong11,ROWS($1:49)),))</f>
        <v>0</v>
      </c>
      <c r="G62" s="347">
        <f ca="1">IF(ROWS($1:49)&gt;COUNT(Dong11),0,IF(MID(OFFSET(TH!D$1,SMALL(Dong11,ROWS($1:49)),),4,1)="N",OFFSET(TH!I$1,SMALL(Dong11,ROWS($1:49)),),0))</f>
        <v>0</v>
      </c>
      <c r="H62" s="348">
        <f t="shared" ca="1" si="1"/>
        <v>0</v>
      </c>
      <c r="I62" s="347">
        <f ca="1">IF(ROWS($1:49)&gt;COUNT(Dong11),0,IF(MID(OFFSET(TH!D$1,SMALL(Dong11,ROWS($1:49)),),4,1)="X",OFFSET(TH!I$1,SMALL(Dong11,ROWS($1:49)),),0))</f>
        <v>0</v>
      </c>
      <c r="J62" s="348">
        <f t="shared" ca="1" si="2"/>
        <v>0</v>
      </c>
      <c r="K62" s="348">
        <f t="shared" ca="1" si="3"/>
        <v>0</v>
      </c>
      <c r="L62" s="348">
        <f t="shared" ca="1" si="4"/>
        <v>0</v>
      </c>
      <c r="M62" s="348"/>
      <c r="N62" s="338"/>
    </row>
    <row r="63" spans="1:14" hidden="1">
      <c r="A63" s="309" t="str">
        <f t="shared" ca="1" si="0"/>
        <v/>
      </c>
      <c r="B63" s="344" t="str">
        <f ca="1">IF(ROWS($1:50)&gt;COUNT(Dong11),"",OFFSET(TH!D$1,SMALL(Dong11,ROWS($1:50)),))</f>
        <v/>
      </c>
      <c r="C63" s="345" t="str">
        <f ca="1">IF(ROWS($1:50)&gt;COUNT(Dong11),"",OFFSET(TH!E$1,SMALL(Dong11,ROWS($1:50)),))</f>
        <v/>
      </c>
      <c r="D63" s="346" t="str">
        <f ca="1">IF(ROWS($1:50)&gt;COUNT(Dong11),"",OFFSET(TH!H$1,SMALL(Dong11,ROWS($1:50)),))</f>
        <v/>
      </c>
      <c r="E63" s="344" t="str">
        <f ca="1">IF(ROWS($1:50)&gt;COUNT(Dong11),"",IF(OFFSET(TH!L$1,SMALL(Dong11,ROWS($1:50)),)=$G$7,OFFSET(TH!M$1,SMALL(Dong11,ROWS($1:50)),),OFFSET(TH!L$1,SMALL(Dong11,ROWS($1:50)),)))</f>
        <v/>
      </c>
      <c r="F63" s="347">
        <f ca="1">IF(ROWS($1:50)&gt;COUNT(Dong11),0,OFFSET(TH!J$1,SMALL(Dong11,ROWS($1:50)),))</f>
        <v>0</v>
      </c>
      <c r="G63" s="347">
        <f ca="1">IF(ROWS($1:50)&gt;COUNT(Dong11),0,IF(MID(OFFSET(TH!D$1,SMALL(Dong11,ROWS($1:50)),),4,1)="N",OFFSET(TH!I$1,SMALL(Dong11,ROWS($1:50)),),0))</f>
        <v>0</v>
      </c>
      <c r="H63" s="348">
        <f t="shared" ca="1" si="1"/>
        <v>0</v>
      </c>
      <c r="I63" s="347">
        <f ca="1">IF(ROWS($1:50)&gt;COUNT(Dong11),0,IF(MID(OFFSET(TH!D$1,SMALL(Dong11,ROWS($1:50)),),4,1)="X",OFFSET(TH!I$1,SMALL(Dong11,ROWS($1:50)),),0))</f>
        <v>0</v>
      </c>
      <c r="J63" s="348">
        <f t="shared" ca="1" si="2"/>
        <v>0</v>
      </c>
      <c r="K63" s="348">
        <f t="shared" ca="1" si="3"/>
        <v>0</v>
      </c>
      <c r="L63" s="348">
        <f t="shared" ca="1" si="4"/>
        <v>0</v>
      </c>
      <c r="M63" s="348"/>
      <c r="N63" s="338"/>
    </row>
    <row r="64" spans="1:14" hidden="1">
      <c r="A64" s="309" t="str">
        <f t="shared" ca="1" si="0"/>
        <v/>
      </c>
      <c r="B64" s="344" t="str">
        <f ca="1">IF(ROWS($1:51)&gt;COUNT(Dong11),"",OFFSET(TH!D$1,SMALL(Dong11,ROWS($1:51)),))</f>
        <v/>
      </c>
      <c r="C64" s="345" t="str">
        <f ca="1">IF(ROWS($1:51)&gt;COUNT(Dong11),"",OFFSET(TH!E$1,SMALL(Dong11,ROWS($1:51)),))</f>
        <v/>
      </c>
      <c r="D64" s="346" t="str">
        <f ca="1">IF(ROWS($1:51)&gt;COUNT(Dong11),"",OFFSET(TH!H$1,SMALL(Dong11,ROWS($1:51)),))</f>
        <v/>
      </c>
      <c r="E64" s="344" t="str">
        <f ca="1">IF(ROWS($1:51)&gt;COUNT(Dong11),"",IF(OFFSET(TH!L$1,SMALL(Dong11,ROWS($1:51)),)=$G$7,OFFSET(TH!M$1,SMALL(Dong11,ROWS($1:51)),),OFFSET(TH!L$1,SMALL(Dong11,ROWS($1:51)),)))</f>
        <v/>
      </c>
      <c r="F64" s="347">
        <f ca="1">IF(ROWS($1:51)&gt;COUNT(Dong11),0,OFFSET(TH!J$1,SMALL(Dong11,ROWS($1:51)),))</f>
        <v>0</v>
      </c>
      <c r="G64" s="347">
        <f ca="1">IF(ROWS($1:51)&gt;COUNT(Dong11),0,IF(MID(OFFSET(TH!D$1,SMALL(Dong11,ROWS($1:51)),),4,1)="N",OFFSET(TH!I$1,SMALL(Dong11,ROWS($1:51)),),0))</f>
        <v>0</v>
      </c>
      <c r="H64" s="348">
        <f t="shared" ca="1" si="1"/>
        <v>0</v>
      </c>
      <c r="I64" s="347">
        <f ca="1">IF(ROWS($1:51)&gt;COUNT(Dong11),0,IF(MID(OFFSET(TH!D$1,SMALL(Dong11,ROWS($1:51)),),4,1)="X",OFFSET(TH!I$1,SMALL(Dong11,ROWS($1:51)),),0))</f>
        <v>0</v>
      </c>
      <c r="J64" s="348">
        <f t="shared" ca="1" si="2"/>
        <v>0</v>
      </c>
      <c r="K64" s="348">
        <f t="shared" ca="1" si="3"/>
        <v>0</v>
      </c>
      <c r="L64" s="348">
        <f t="shared" ca="1" si="4"/>
        <v>0</v>
      </c>
      <c r="M64" s="348"/>
      <c r="N64" s="338"/>
    </row>
    <row r="65" spans="1:14" hidden="1">
      <c r="A65" s="309" t="str">
        <f t="shared" ca="1" si="0"/>
        <v/>
      </c>
      <c r="B65" s="344" t="str">
        <f ca="1">IF(ROWS($1:52)&gt;COUNT(Dong11),"",OFFSET(TH!D$1,SMALL(Dong11,ROWS($1:52)),))</f>
        <v/>
      </c>
      <c r="C65" s="345" t="str">
        <f ca="1">IF(ROWS($1:52)&gt;COUNT(Dong11),"",OFFSET(TH!E$1,SMALL(Dong11,ROWS($1:52)),))</f>
        <v/>
      </c>
      <c r="D65" s="346" t="str">
        <f ca="1">IF(ROWS($1:52)&gt;COUNT(Dong11),"",OFFSET(TH!H$1,SMALL(Dong11,ROWS($1:52)),))</f>
        <v/>
      </c>
      <c r="E65" s="344" t="str">
        <f ca="1">IF(ROWS($1:52)&gt;COUNT(Dong11),"",IF(OFFSET(TH!L$1,SMALL(Dong11,ROWS($1:52)),)=$G$7,OFFSET(TH!M$1,SMALL(Dong11,ROWS($1:52)),),OFFSET(TH!L$1,SMALL(Dong11,ROWS($1:52)),)))</f>
        <v/>
      </c>
      <c r="F65" s="347">
        <f ca="1">IF(ROWS($1:52)&gt;COUNT(Dong11),0,OFFSET(TH!J$1,SMALL(Dong11,ROWS($1:52)),))</f>
        <v>0</v>
      </c>
      <c r="G65" s="347">
        <f ca="1">IF(ROWS($1:52)&gt;COUNT(Dong11),0,IF(MID(OFFSET(TH!D$1,SMALL(Dong11,ROWS($1:52)),),4,1)="N",OFFSET(TH!I$1,SMALL(Dong11,ROWS($1:52)),),0))</f>
        <v>0</v>
      </c>
      <c r="H65" s="348">
        <f t="shared" ca="1" si="1"/>
        <v>0</v>
      </c>
      <c r="I65" s="347">
        <f ca="1">IF(ROWS($1:52)&gt;COUNT(Dong11),0,IF(MID(OFFSET(TH!D$1,SMALL(Dong11,ROWS($1:52)),),4,1)="X",OFFSET(TH!I$1,SMALL(Dong11,ROWS($1:52)),),0))</f>
        <v>0</v>
      </c>
      <c r="J65" s="348">
        <f t="shared" ca="1" si="2"/>
        <v>0</v>
      </c>
      <c r="K65" s="348">
        <f t="shared" ca="1" si="3"/>
        <v>0</v>
      </c>
      <c r="L65" s="348">
        <f t="shared" ca="1" si="4"/>
        <v>0</v>
      </c>
      <c r="M65" s="348"/>
      <c r="N65" s="338"/>
    </row>
    <row r="66" spans="1:14" hidden="1">
      <c r="A66" s="309" t="str">
        <f t="shared" ca="1" si="0"/>
        <v/>
      </c>
      <c r="B66" s="344" t="str">
        <f ca="1">IF(ROWS($1:53)&gt;COUNT(Dong11),"",OFFSET(TH!D$1,SMALL(Dong11,ROWS($1:53)),))</f>
        <v/>
      </c>
      <c r="C66" s="345" t="str">
        <f ca="1">IF(ROWS($1:53)&gt;COUNT(Dong11),"",OFFSET(TH!E$1,SMALL(Dong11,ROWS($1:53)),))</f>
        <v/>
      </c>
      <c r="D66" s="346" t="str">
        <f ca="1">IF(ROWS($1:53)&gt;COUNT(Dong11),"",OFFSET(TH!H$1,SMALL(Dong11,ROWS($1:53)),))</f>
        <v/>
      </c>
      <c r="E66" s="344" t="str">
        <f ca="1">IF(ROWS($1:53)&gt;COUNT(Dong11),"",IF(OFFSET(TH!L$1,SMALL(Dong11,ROWS($1:53)),)=$G$7,OFFSET(TH!M$1,SMALL(Dong11,ROWS($1:53)),),OFFSET(TH!L$1,SMALL(Dong11,ROWS($1:53)),)))</f>
        <v/>
      </c>
      <c r="F66" s="347">
        <f ca="1">IF(ROWS($1:53)&gt;COUNT(Dong11),0,OFFSET(TH!J$1,SMALL(Dong11,ROWS($1:53)),))</f>
        <v>0</v>
      </c>
      <c r="G66" s="347">
        <f ca="1">IF(ROWS($1:53)&gt;COUNT(Dong11),0,IF(MID(OFFSET(TH!D$1,SMALL(Dong11,ROWS($1:53)),),4,1)="N",OFFSET(TH!I$1,SMALL(Dong11,ROWS($1:53)),),0))</f>
        <v>0</v>
      </c>
      <c r="H66" s="348">
        <f t="shared" ca="1" si="1"/>
        <v>0</v>
      </c>
      <c r="I66" s="347">
        <f ca="1">IF(ROWS($1:53)&gt;COUNT(Dong11),0,IF(MID(OFFSET(TH!D$1,SMALL(Dong11,ROWS($1:53)),),4,1)="X",OFFSET(TH!I$1,SMALL(Dong11,ROWS($1:53)),),0))</f>
        <v>0</v>
      </c>
      <c r="J66" s="348">
        <f t="shared" ca="1" si="2"/>
        <v>0</v>
      </c>
      <c r="K66" s="348">
        <f t="shared" ca="1" si="3"/>
        <v>0</v>
      </c>
      <c r="L66" s="348">
        <f t="shared" ca="1" si="4"/>
        <v>0</v>
      </c>
      <c r="M66" s="348"/>
      <c r="N66" s="338"/>
    </row>
    <row r="67" spans="1:14" hidden="1">
      <c r="A67" s="309" t="str">
        <f t="shared" ca="1" si="0"/>
        <v/>
      </c>
      <c r="B67" s="344" t="str">
        <f ca="1">IF(ROWS($1:54)&gt;COUNT(Dong11),"",OFFSET(TH!D$1,SMALL(Dong11,ROWS($1:54)),))</f>
        <v/>
      </c>
      <c r="C67" s="345" t="str">
        <f ca="1">IF(ROWS($1:54)&gt;COUNT(Dong11),"",OFFSET(TH!E$1,SMALL(Dong11,ROWS($1:54)),))</f>
        <v/>
      </c>
      <c r="D67" s="346" t="str">
        <f ca="1">IF(ROWS($1:54)&gt;COUNT(Dong11),"",OFFSET(TH!H$1,SMALL(Dong11,ROWS($1:54)),))</f>
        <v/>
      </c>
      <c r="E67" s="344" t="str">
        <f ca="1">IF(ROWS($1:54)&gt;COUNT(Dong11),"",IF(OFFSET(TH!L$1,SMALL(Dong11,ROWS($1:54)),)=$G$7,OFFSET(TH!M$1,SMALL(Dong11,ROWS($1:54)),),OFFSET(TH!L$1,SMALL(Dong11,ROWS($1:54)),)))</f>
        <v/>
      </c>
      <c r="F67" s="347">
        <f ca="1">IF(ROWS($1:54)&gt;COUNT(Dong11),0,OFFSET(TH!J$1,SMALL(Dong11,ROWS($1:54)),))</f>
        <v>0</v>
      </c>
      <c r="G67" s="347">
        <f ca="1">IF(ROWS($1:54)&gt;COUNT(Dong11),0,IF(MID(OFFSET(TH!D$1,SMALL(Dong11,ROWS($1:54)),),4,1)="N",OFFSET(TH!I$1,SMALL(Dong11,ROWS($1:54)),),0))</f>
        <v>0</v>
      </c>
      <c r="H67" s="348">
        <f t="shared" ca="1" si="1"/>
        <v>0</v>
      </c>
      <c r="I67" s="347">
        <f ca="1">IF(ROWS($1:54)&gt;COUNT(Dong11),0,IF(MID(OFFSET(TH!D$1,SMALL(Dong11,ROWS($1:54)),),4,1)="X",OFFSET(TH!I$1,SMALL(Dong11,ROWS($1:54)),),0))</f>
        <v>0</v>
      </c>
      <c r="J67" s="348">
        <f t="shared" ca="1" si="2"/>
        <v>0</v>
      </c>
      <c r="K67" s="348">
        <f t="shared" ca="1" si="3"/>
        <v>0</v>
      </c>
      <c r="L67" s="348">
        <f t="shared" ca="1" si="4"/>
        <v>0</v>
      </c>
      <c r="M67" s="348"/>
      <c r="N67" s="338"/>
    </row>
    <row r="68" spans="1:14" hidden="1">
      <c r="A68" s="309" t="str">
        <f t="shared" ca="1" si="0"/>
        <v/>
      </c>
      <c r="B68" s="344" t="str">
        <f ca="1">IF(ROWS($1:55)&gt;COUNT(Dong11),"",OFFSET(TH!D$1,SMALL(Dong11,ROWS($1:55)),))</f>
        <v/>
      </c>
      <c r="C68" s="345" t="str">
        <f ca="1">IF(ROWS($1:55)&gt;COUNT(Dong11),"",OFFSET(TH!E$1,SMALL(Dong11,ROWS($1:55)),))</f>
        <v/>
      </c>
      <c r="D68" s="346" t="str">
        <f ca="1">IF(ROWS($1:55)&gt;COUNT(Dong11),"",OFFSET(TH!H$1,SMALL(Dong11,ROWS($1:55)),))</f>
        <v/>
      </c>
      <c r="E68" s="344" t="str">
        <f ca="1">IF(ROWS($1:55)&gt;COUNT(Dong11),"",IF(OFFSET(TH!L$1,SMALL(Dong11,ROWS($1:55)),)=$G$7,OFFSET(TH!M$1,SMALL(Dong11,ROWS($1:55)),),OFFSET(TH!L$1,SMALL(Dong11,ROWS($1:55)),)))</f>
        <v/>
      </c>
      <c r="F68" s="347">
        <f ca="1">IF(ROWS($1:55)&gt;COUNT(Dong11),0,OFFSET(TH!J$1,SMALL(Dong11,ROWS($1:55)),))</f>
        <v>0</v>
      </c>
      <c r="G68" s="347">
        <f ca="1">IF(ROWS($1:55)&gt;COUNT(Dong11),0,IF(MID(OFFSET(TH!D$1,SMALL(Dong11,ROWS($1:55)),),4,1)="N",OFFSET(TH!I$1,SMALL(Dong11,ROWS($1:55)),),0))</f>
        <v>0</v>
      </c>
      <c r="H68" s="348">
        <f t="shared" ca="1" si="1"/>
        <v>0</v>
      </c>
      <c r="I68" s="347">
        <f ca="1">IF(ROWS($1:55)&gt;COUNT(Dong11),0,IF(MID(OFFSET(TH!D$1,SMALL(Dong11,ROWS($1:55)),),4,1)="X",OFFSET(TH!I$1,SMALL(Dong11,ROWS($1:55)),),0))</f>
        <v>0</v>
      </c>
      <c r="J68" s="348">
        <f t="shared" ca="1" si="2"/>
        <v>0</v>
      </c>
      <c r="K68" s="348">
        <f t="shared" ca="1" si="3"/>
        <v>0</v>
      </c>
      <c r="L68" s="348">
        <f t="shared" ca="1" si="4"/>
        <v>0</v>
      </c>
      <c r="M68" s="348"/>
      <c r="N68" s="338"/>
    </row>
    <row r="69" spans="1:14" hidden="1">
      <c r="A69" s="309" t="str">
        <f t="shared" ca="1" si="0"/>
        <v/>
      </c>
      <c r="B69" s="344" t="str">
        <f ca="1">IF(ROWS($1:56)&gt;COUNT(Dong11),"",OFFSET(TH!D$1,SMALL(Dong11,ROWS($1:56)),))</f>
        <v/>
      </c>
      <c r="C69" s="345" t="str">
        <f ca="1">IF(ROWS($1:56)&gt;COUNT(Dong11),"",OFFSET(TH!E$1,SMALL(Dong11,ROWS($1:56)),))</f>
        <v/>
      </c>
      <c r="D69" s="346" t="str">
        <f ca="1">IF(ROWS($1:56)&gt;COUNT(Dong11),"",OFFSET(TH!H$1,SMALL(Dong11,ROWS($1:56)),))</f>
        <v/>
      </c>
      <c r="E69" s="344" t="str">
        <f ca="1">IF(ROWS($1:56)&gt;COUNT(Dong11),"",IF(OFFSET(TH!L$1,SMALL(Dong11,ROWS($1:56)),)=$G$7,OFFSET(TH!M$1,SMALL(Dong11,ROWS($1:56)),),OFFSET(TH!L$1,SMALL(Dong11,ROWS($1:56)),)))</f>
        <v/>
      </c>
      <c r="F69" s="347">
        <f ca="1">IF(ROWS($1:56)&gt;COUNT(Dong11),0,OFFSET(TH!J$1,SMALL(Dong11,ROWS($1:56)),))</f>
        <v>0</v>
      </c>
      <c r="G69" s="347">
        <f ca="1">IF(ROWS($1:56)&gt;COUNT(Dong11),0,IF(MID(OFFSET(TH!D$1,SMALL(Dong11,ROWS($1:56)),),4,1)="N",OFFSET(TH!I$1,SMALL(Dong11,ROWS($1:56)),),0))</f>
        <v>0</v>
      </c>
      <c r="H69" s="348">
        <f t="shared" ca="1" si="1"/>
        <v>0</v>
      </c>
      <c r="I69" s="347">
        <f ca="1">IF(ROWS($1:56)&gt;COUNT(Dong11),0,IF(MID(OFFSET(TH!D$1,SMALL(Dong11,ROWS($1:56)),),4,1)="X",OFFSET(TH!I$1,SMALL(Dong11,ROWS($1:56)),),0))</f>
        <v>0</v>
      </c>
      <c r="J69" s="348">
        <f t="shared" ca="1" si="2"/>
        <v>0</v>
      </c>
      <c r="K69" s="348">
        <f t="shared" ca="1" si="3"/>
        <v>0</v>
      </c>
      <c r="L69" s="348">
        <f t="shared" ca="1" si="4"/>
        <v>0</v>
      </c>
      <c r="M69" s="348"/>
      <c r="N69" s="338"/>
    </row>
    <row r="70" spans="1:14" hidden="1">
      <c r="A70" s="309" t="str">
        <f t="shared" ca="1" si="0"/>
        <v/>
      </c>
      <c r="B70" s="344" t="str">
        <f ca="1">IF(ROWS($1:57)&gt;COUNT(Dong11),"",OFFSET(TH!D$1,SMALL(Dong11,ROWS($1:57)),))</f>
        <v/>
      </c>
      <c r="C70" s="345" t="str">
        <f ca="1">IF(ROWS($1:57)&gt;COUNT(Dong11),"",OFFSET(TH!E$1,SMALL(Dong11,ROWS($1:57)),))</f>
        <v/>
      </c>
      <c r="D70" s="346" t="str">
        <f ca="1">IF(ROWS($1:57)&gt;COUNT(Dong11),"",OFFSET(TH!H$1,SMALL(Dong11,ROWS($1:57)),))</f>
        <v/>
      </c>
      <c r="E70" s="344" t="str">
        <f ca="1">IF(ROWS($1:57)&gt;COUNT(Dong11),"",IF(OFFSET(TH!L$1,SMALL(Dong11,ROWS($1:57)),)=$G$7,OFFSET(TH!M$1,SMALL(Dong11,ROWS($1:57)),),OFFSET(TH!L$1,SMALL(Dong11,ROWS($1:57)),)))</f>
        <v/>
      </c>
      <c r="F70" s="347">
        <f ca="1">IF(ROWS($1:57)&gt;COUNT(Dong11),0,OFFSET(TH!J$1,SMALL(Dong11,ROWS($1:57)),))</f>
        <v>0</v>
      </c>
      <c r="G70" s="347">
        <f ca="1">IF(ROWS($1:57)&gt;COUNT(Dong11),0,IF(MID(OFFSET(TH!D$1,SMALL(Dong11,ROWS($1:57)),),4,1)="N",OFFSET(TH!I$1,SMALL(Dong11,ROWS($1:57)),),0))</f>
        <v>0</v>
      </c>
      <c r="H70" s="348">
        <f t="shared" ca="1" si="1"/>
        <v>0</v>
      </c>
      <c r="I70" s="347">
        <f ca="1">IF(ROWS($1:57)&gt;COUNT(Dong11),0,IF(MID(OFFSET(TH!D$1,SMALL(Dong11,ROWS($1:57)),),4,1)="X",OFFSET(TH!I$1,SMALL(Dong11,ROWS($1:57)),),0))</f>
        <v>0</v>
      </c>
      <c r="J70" s="348">
        <f t="shared" ca="1" si="2"/>
        <v>0</v>
      </c>
      <c r="K70" s="348">
        <f t="shared" ca="1" si="3"/>
        <v>0</v>
      </c>
      <c r="L70" s="348">
        <f t="shared" ca="1" si="4"/>
        <v>0</v>
      </c>
      <c r="M70" s="348"/>
      <c r="N70" s="338"/>
    </row>
    <row r="71" spans="1:14" hidden="1">
      <c r="A71" s="309" t="str">
        <f t="shared" ca="1" si="0"/>
        <v/>
      </c>
      <c r="B71" s="344" t="str">
        <f ca="1">IF(ROWS($1:58)&gt;COUNT(Dong11),"",OFFSET(TH!D$1,SMALL(Dong11,ROWS($1:58)),))</f>
        <v/>
      </c>
      <c r="C71" s="345" t="str">
        <f ca="1">IF(ROWS($1:58)&gt;COUNT(Dong11),"",OFFSET(TH!E$1,SMALL(Dong11,ROWS($1:58)),))</f>
        <v/>
      </c>
      <c r="D71" s="346" t="str">
        <f ca="1">IF(ROWS($1:58)&gt;COUNT(Dong11),"",OFFSET(TH!H$1,SMALL(Dong11,ROWS($1:58)),))</f>
        <v/>
      </c>
      <c r="E71" s="344" t="str">
        <f ca="1">IF(ROWS($1:58)&gt;COUNT(Dong11),"",IF(OFFSET(TH!L$1,SMALL(Dong11,ROWS($1:58)),)=$G$7,OFFSET(TH!M$1,SMALL(Dong11,ROWS($1:58)),),OFFSET(TH!L$1,SMALL(Dong11,ROWS($1:58)),)))</f>
        <v/>
      </c>
      <c r="F71" s="347">
        <f ca="1">IF(ROWS($1:58)&gt;COUNT(Dong11),0,OFFSET(TH!J$1,SMALL(Dong11,ROWS($1:58)),))</f>
        <v>0</v>
      </c>
      <c r="G71" s="347">
        <f ca="1">IF(ROWS($1:58)&gt;COUNT(Dong11),0,IF(MID(OFFSET(TH!D$1,SMALL(Dong11,ROWS($1:58)),),4,1)="N",OFFSET(TH!I$1,SMALL(Dong11,ROWS($1:58)),),0))</f>
        <v>0</v>
      </c>
      <c r="H71" s="348">
        <f t="shared" ca="1" si="1"/>
        <v>0</v>
      </c>
      <c r="I71" s="347">
        <f ca="1">IF(ROWS($1:58)&gt;COUNT(Dong11),0,IF(MID(OFFSET(TH!D$1,SMALL(Dong11,ROWS($1:58)),),4,1)="X",OFFSET(TH!I$1,SMALL(Dong11,ROWS($1:58)),),0))</f>
        <v>0</v>
      </c>
      <c r="J71" s="348">
        <f t="shared" ca="1" si="2"/>
        <v>0</v>
      </c>
      <c r="K71" s="348">
        <f t="shared" ca="1" si="3"/>
        <v>0</v>
      </c>
      <c r="L71" s="348">
        <f t="shared" ca="1" si="4"/>
        <v>0</v>
      </c>
      <c r="M71" s="348"/>
      <c r="N71" s="338"/>
    </row>
    <row r="72" spans="1:14" hidden="1">
      <c r="A72" s="309" t="str">
        <f t="shared" ca="1" si="0"/>
        <v/>
      </c>
      <c r="B72" s="344" t="str">
        <f ca="1">IF(ROWS($1:59)&gt;COUNT(Dong11),"",OFFSET(TH!D$1,SMALL(Dong11,ROWS($1:59)),))</f>
        <v/>
      </c>
      <c r="C72" s="345" t="str">
        <f ca="1">IF(ROWS($1:59)&gt;COUNT(Dong11),"",OFFSET(TH!E$1,SMALL(Dong11,ROWS($1:59)),))</f>
        <v/>
      </c>
      <c r="D72" s="346" t="str">
        <f ca="1">IF(ROWS($1:59)&gt;COUNT(Dong11),"",OFFSET(TH!H$1,SMALL(Dong11,ROWS($1:59)),))</f>
        <v/>
      </c>
      <c r="E72" s="344" t="str">
        <f ca="1">IF(ROWS($1:59)&gt;COUNT(Dong11),"",IF(OFFSET(TH!L$1,SMALL(Dong11,ROWS($1:59)),)=$G$7,OFFSET(TH!M$1,SMALL(Dong11,ROWS($1:59)),),OFFSET(TH!L$1,SMALL(Dong11,ROWS($1:59)),)))</f>
        <v/>
      </c>
      <c r="F72" s="347">
        <f ca="1">IF(ROWS($1:59)&gt;COUNT(Dong11),0,OFFSET(TH!J$1,SMALL(Dong11,ROWS($1:59)),))</f>
        <v>0</v>
      </c>
      <c r="G72" s="347">
        <f ca="1">IF(ROWS($1:59)&gt;COUNT(Dong11),0,IF(MID(OFFSET(TH!D$1,SMALL(Dong11,ROWS($1:59)),),4,1)="N",OFFSET(TH!I$1,SMALL(Dong11,ROWS($1:59)),),0))</f>
        <v>0</v>
      </c>
      <c r="H72" s="348">
        <f t="shared" ca="1" si="1"/>
        <v>0</v>
      </c>
      <c r="I72" s="347">
        <f ca="1">IF(ROWS($1:59)&gt;COUNT(Dong11),0,IF(MID(OFFSET(TH!D$1,SMALL(Dong11,ROWS($1:59)),),4,1)="X",OFFSET(TH!I$1,SMALL(Dong11,ROWS($1:59)),),0))</f>
        <v>0</v>
      </c>
      <c r="J72" s="348">
        <f t="shared" ca="1" si="2"/>
        <v>0</v>
      </c>
      <c r="K72" s="348">
        <f t="shared" ca="1" si="3"/>
        <v>0</v>
      </c>
      <c r="L72" s="348">
        <f t="shared" ca="1" si="4"/>
        <v>0</v>
      </c>
      <c r="M72" s="348"/>
      <c r="N72" s="338"/>
    </row>
    <row r="73" spans="1:14" hidden="1">
      <c r="A73" s="309" t="str">
        <f>IF(B73="","",#REF!+1)</f>
        <v/>
      </c>
      <c r="B73" s="351"/>
      <c r="C73" s="352"/>
      <c r="D73" s="346"/>
      <c r="E73" s="353"/>
      <c r="F73" s="354"/>
      <c r="G73" s="340"/>
      <c r="H73" s="340"/>
      <c r="I73" s="340"/>
      <c r="J73" s="340"/>
      <c r="K73" s="340"/>
      <c r="L73" s="340"/>
      <c r="M73" s="355"/>
      <c r="N73" s="338"/>
    </row>
    <row r="74" spans="1:14" hidden="1">
      <c r="A74" s="356"/>
      <c r="B74" s="356"/>
      <c r="C74" s="356"/>
      <c r="D74" s="356" t="s">
        <v>227</v>
      </c>
      <c r="E74" s="336" t="s">
        <v>19</v>
      </c>
      <c r="F74" s="336" t="s">
        <v>19</v>
      </c>
      <c r="G74" s="357">
        <f ca="1">SUM(G14:G73)</f>
        <v>161355</v>
      </c>
      <c r="H74" s="357">
        <f ca="1">SUM(H14:H73)</f>
        <v>1288039800</v>
      </c>
      <c r="I74" s="357">
        <f ca="1">SUM(I14:I73)</f>
        <v>68308</v>
      </c>
      <c r="J74" s="357">
        <f ca="1">SUM(J14:J73)</f>
        <v>561491200</v>
      </c>
      <c r="K74" s="357">
        <f ca="1">K13+G74-I74</f>
        <v>93047</v>
      </c>
      <c r="L74" s="357">
        <f ca="1">L13+H74-J74</f>
        <v>726548600</v>
      </c>
      <c r="M74" s="356"/>
      <c r="N74" s="338"/>
    </row>
    <row r="75" spans="1:14" hidden="1">
      <c r="B75" s="358" t="s">
        <v>228</v>
      </c>
      <c r="G75" s="350"/>
      <c r="N75" s="338"/>
    </row>
    <row r="76" spans="1:14" hidden="1">
      <c r="B76" s="35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50"/>
      <c r="I76" s="350"/>
      <c r="N76" s="338"/>
    </row>
    <row r="77" spans="1:14" hidden="1">
      <c r="B77" s="325"/>
      <c r="C77" s="325"/>
      <c r="D77" s="325"/>
      <c r="F77" s="325"/>
      <c r="G77" s="360"/>
      <c r="H77" s="326"/>
      <c r="I77" s="361"/>
      <c r="J77" s="1082" t="str">
        <f ca="1">"Ngày 31 tháng  12  năm  "&amp;YEAR($A$14)</f>
        <v>Ngày 31 tháng  12  năm  1900</v>
      </c>
      <c r="K77" s="1082"/>
      <c r="L77" s="1082"/>
      <c r="M77" s="1082"/>
      <c r="N77" s="338"/>
    </row>
    <row r="78" spans="1:14" hidden="1">
      <c r="C78" s="325"/>
      <c r="D78" s="536" t="s">
        <v>11</v>
      </c>
      <c r="E78" s="1082" t="s">
        <v>12</v>
      </c>
      <c r="F78" s="1082"/>
      <c r="G78" s="1082"/>
      <c r="H78" s="1082"/>
      <c r="I78" s="1082"/>
      <c r="J78" s="1082" t="s">
        <v>109</v>
      </c>
      <c r="K78" s="1082"/>
      <c r="L78" s="1082"/>
      <c r="M78" s="1082"/>
      <c r="N78" s="338"/>
    </row>
    <row r="79" spans="1:14" hidden="1">
      <c r="C79" s="325"/>
      <c r="D79" s="536" t="s">
        <v>13</v>
      </c>
      <c r="E79" s="1082" t="s">
        <v>13</v>
      </c>
      <c r="F79" s="1082"/>
      <c r="G79" s="1082"/>
      <c r="H79" s="1082" t="s">
        <v>136</v>
      </c>
      <c r="I79" s="1082"/>
      <c r="J79" s="1082" t="s">
        <v>136</v>
      </c>
      <c r="K79" s="1082"/>
      <c r="L79" s="1082"/>
      <c r="M79" s="1082"/>
      <c r="N79" s="338"/>
    </row>
    <row r="80" spans="1:14">
      <c r="N80" s="362"/>
    </row>
    <row r="81" spans="4:14">
      <c r="E81" s="313"/>
    </row>
    <row r="83" spans="4:14" customFormat="1" ht="12.75">
      <c r="E83" s="363"/>
    </row>
    <row r="88" spans="4:14">
      <c r="D88" s="548" t="s">
        <v>151</v>
      </c>
      <c r="E88" s="548"/>
      <c r="J88" s="1078" t="s">
        <v>103</v>
      </c>
      <c r="K88" s="1078"/>
      <c r="L88" s="1078"/>
      <c r="M88" s="1078"/>
      <c r="N88" s="549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7" customWidth="1"/>
    <col min="2" max="2" width="9.140625" style="367"/>
    <col min="3" max="3" width="9.140625" style="426" customWidth="1"/>
    <col min="4" max="4" width="10.85546875" style="426" customWidth="1"/>
    <col min="5" max="5" width="39.42578125" style="427" customWidth="1"/>
    <col min="6" max="6" width="10.85546875" style="428" customWidth="1"/>
    <col min="7" max="7" width="9" style="429" customWidth="1"/>
    <col min="8" max="8" width="9.5703125" style="429" customWidth="1"/>
    <col min="9" max="9" width="10" style="429" customWidth="1"/>
    <col min="10" max="10" width="8" style="367" customWidth="1"/>
    <col min="11" max="11" width="2.42578125" style="367" customWidth="1"/>
    <col min="12" max="12" width="6.5703125" style="367" customWidth="1"/>
    <col min="13" max="16384" width="9.140625" style="367"/>
  </cols>
  <sheetData>
    <row r="1" spans="1:12" ht="15" customHeight="1">
      <c r="A1" s="364" t="str">
        <f>TH!A1</f>
        <v>Đơn vị: CÔNG TY TNHH SX TM KIM DUNG PHÁT</v>
      </c>
      <c r="B1" s="365"/>
      <c r="C1" s="365"/>
      <c r="D1" s="365"/>
      <c r="E1" s="366"/>
      <c r="F1" s="1091" t="s">
        <v>229</v>
      </c>
      <c r="G1" s="1091"/>
      <c r="H1" s="1091"/>
      <c r="I1" s="1091"/>
      <c r="J1" s="1091"/>
      <c r="K1" s="368"/>
      <c r="L1" s="369"/>
    </row>
    <row r="2" spans="1:12" ht="15" customHeight="1">
      <c r="A2" s="581" t="str">
        <f>TH!A2</f>
        <v>Địa chỉ: 1A227/1 Ấp 1, Phạm Văn Hai, Bình Chánh, TPHCM</v>
      </c>
      <c r="B2" s="370"/>
      <c r="C2" s="370"/>
      <c r="D2" s="370"/>
      <c r="E2" s="371"/>
      <c r="F2" s="109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90"/>
      <c r="H2" s="1090"/>
      <c r="I2" s="1090"/>
      <c r="J2" s="1090"/>
      <c r="K2" s="368"/>
    </row>
    <row r="3" spans="1:12" ht="15">
      <c r="A3" s="370"/>
      <c r="B3" s="370"/>
      <c r="C3" s="370"/>
      <c r="D3" s="370"/>
      <c r="E3" s="371"/>
      <c r="F3" s="1090"/>
      <c r="G3" s="1090"/>
      <c r="H3" s="1090"/>
      <c r="I3" s="1090"/>
      <c r="J3" s="1090"/>
      <c r="K3" s="368"/>
    </row>
    <row r="4" spans="1:12" ht="18.75" customHeight="1">
      <c r="A4" s="373"/>
      <c r="B4" s="373"/>
      <c r="C4" s="373"/>
      <c r="D4" s="373"/>
      <c r="E4" s="374" t="s">
        <v>230</v>
      </c>
      <c r="F4" s="373"/>
      <c r="G4" s="373"/>
      <c r="H4" s="373"/>
      <c r="I4" s="373"/>
      <c r="J4" s="368"/>
      <c r="K4" s="368"/>
    </row>
    <row r="5" spans="1:12" ht="15">
      <c r="A5" s="375"/>
      <c r="B5" s="375"/>
      <c r="C5" s="375"/>
      <c r="D5" s="375"/>
      <c r="E5" s="37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5"/>
      <c r="G5" s="375"/>
      <c r="H5" s="375"/>
      <c r="I5" s="375"/>
      <c r="J5" s="368"/>
      <c r="K5" s="368"/>
    </row>
    <row r="6" spans="1:12" ht="15">
      <c r="A6" s="375"/>
      <c r="B6" s="375"/>
      <c r="C6" s="375"/>
      <c r="D6" s="375"/>
      <c r="E6" s="376" t="s">
        <v>231</v>
      </c>
      <c r="F6" s="375"/>
      <c r="G6" s="375"/>
      <c r="H6" s="375"/>
      <c r="I6" s="375"/>
      <c r="J6" s="368"/>
      <c r="K6" s="368"/>
    </row>
    <row r="7" spans="1:12" ht="15">
      <c r="A7" s="359" t="s">
        <v>232</v>
      </c>
      <c r="B7" s="359"/>
      <c r="C7" s="377"/>
      <c r="D7" s="377"/>
      <c r="E7" s="378" t="s">
        <v>350</v>
      </c>
      <c r="F7" s="372"/>
      <c r="G7" s="379"/>
      <c r="H7" s="379"/>
      <c r="I7" s="379"/>
      <c r="J7" s="368"/>
      <c r="K7" s="368"/>
    </row>
    <row r="8" spans="1:12" ht="15">
      <c r="A8" s="359" t="s">
        <v>233</v>
      </c>
      <c r="B8" s="359"/>
      <c r="C8" s="368" t="str">
        <f>VLOOKUP($E$7,NXT!$C$12:$L$345,2,0)</f>
        <v>kg</v>
      </c>
      <c r="D8" s="359"/>
      <c r="E8" s="378"/>
      <c r="F8" s="372"/>
      <c r="G8" s="379"/>
      <c r="H8" s="379"/>
      <c r="I8" s="379"/>
      <c r="J8" s="368"/>
      <c r="K8" s="368"/>
    </row>
    <row r="9" spans="1:12" ht="15">
      <c r="A9" s="1092" t="s">
        <v>234</v>
      </c>
      <c r="B9" s="1093"/>
      <c r="C9" s="1093"/>
      <c r="D9" s="1093"/>
      <c r="E9" s="378"/>
      <c r="F9" s="372"/>
      <c r="G9" s="379"/>
      <c r="H9" s="379"/>
      <c r="I9" s="379"/>
      <c r="J9" s="380"/>
      <c r="K9" s="380"/>
    </row>
    <row r="10" spans="1:12" ht="19.5" customHeight="1">
      <c r="A10" s="1094" t="s">
        <v>235</v>
      </c>
      <c r="B10" s="1095" t="s">
        <v>236</v>
      </c>
      <c r="C10" s="1097" t="s">
        <v>15</v>
      </c>
      <c r="D10" s="1098"/>
      <c r="E10" s="1099" t="s">
        <v>0</v>
      </c>
      <c r="F10" s="1108" t="s">
        <v>237</v>
      </c>
      <c r="G10" s="1102" t="s">
        <v>206</v>
      </c>
      <c r="H10" s="1102"/>
      <c r="I10" s="1098"/>
      <c r="J10" s="1103" t="s">
        <v>238</v>
      </c>
      <c r="K10" s="381"/>
      <c r="L10" s="382" t="s">
        <v>223</v>
      </c>
    </row>
    <row r="11" spans="1:12" ht="19.5" customHeight="1">
      <c r="A11" s="1094"/>
      <c r="B11" s="1096"/>
      <c r="C11" s="383" t="s">
        <v>220</v>
      </c>
      <c r="D11" s="383" t="s">
        <v>221</v>
      </c>
      <c r="E11" s="1100"/>
      <c r="F11" s="1109"/>
      <c r="G11" s="384" t="s">
        <v>220</v>
      </c>
      <c r="H11" s="384" t="s">
        <v>221</v>
      </c>
      <c r="I11" s="384" t="s">
        <v>222</v>
      </c>
      <c r="J11" s="1104"/>
      <c r="K11" s="381"/>
    </row>
    <row r="12" spans="1:12" ht="15">
      <c r="A12" s="385" t="s">
        <v>2</v>
      </c>
      <c r="B12" s="386" t="s">
        <v>3</v>
      </c>
      <c r="C12" s="387" t="s">
        <v>4</v>
      </c>
      <c r="D12" s="387" t="s">
        <v>5</v>
      </c>
      <c r="E12" s="388" t="s">
        <v>6</v>
      </c>
      <c r="F12" s="386" t="s">
        <v>130</v>
      </c>
      <c r="G12" s="389">
        <v>1</v>
      </c>
      <c r="H12" s="389">
        <v>2</v>
      </c>
      <c r="I12" s="389">
        <v>3</v>
      </c>
      <c r="J12" s="387" t="s">
        <v>131</v>
      </c>
      <c r="K12" s="390"/>
    </row>
    <row r="13" spans="1:12" ht="16.5" customHeight="1">
      <c r="A13" s="391"/>
      <c r="B13" s="392"/>
      <c r="C13" s="393"/>
      <c r="D13" s="393"/>
      <c r="E13" s="394" t="s">
        <v>197</v>
      </c>
      <c r="F13" s="392"/>
      <c r="G13" s="395"/>
      <c r="H13" s="395"/>
      <c r="I13" s="396">
        <f>VLOOKUP($E$7,NXT!$C$12:$L$345,3,0)</f>
        <v>0</v>
      </c>
      <c r="J13" s="391"/>
      <c r="K13" s="397"/>
    </row>
    <row r="14" spans="1:12" ht="16.5" customHeight="1">
      <c r="A14" s="398">
        <f ca="1">IF(B14&lt;&gt;"",ROW()-(ROW()-1),"")</f>
        <v>1</v>
      </c>
      <c r="B14" s="399">
        <f ca="1">IF(ROWS($1:1)&gt;COUNT(Dong12),"",OFFSET(TH!E$1,SMALL(Dong12,ROWS($1:1)),))</f>
        <v>41922</v>
      </c>
      <c r="C14" s="440" t="str">
        <f ca="1">IF(ROWS($1:1)&gt;COUNT(Dong12),"",IF(MID(OFFSET(TH!D$1,SMALL(Dong12,ROWS($1:1)),),4,1)="N",OFFSET(TH!D$1,SMALL(Dong12,ROWS($1:1)),),""))</f>
        <v>VL/N04</v>
      </c>
      <c r="D14" s="399" t="str">
        <f ca="1">IF(ROWS($1:1)&gt;COUNT(Dong12),"",IF(MID(OFFSET(TH!D$1,SMALL(Dong12,ROWS($1:1)),),4,1)="X",OFFSET(TH!D$1,SMALL(Dong12,ROWS($1:1)),),""))</f>
        <v/>
      </c>
      <c r="E14" s="625" t="str">
        <f ca="1">IF(ROWS($1:1)&gt;COUNT(Dong12),"",OFFSET(TH!H$1,SMALL(Dong12,ROWS($1:1)),))</f>
        <v>Cty Cơ Khí Bao Bì Huỳnh Hưng</v>
      </c>
      <c r="F14" s="399">
        <f ca="1">B14</f>
        <v>41922</v>
      </c>
      <c r="G14" s="400">
        <f ca="1">IF(ROWS($1:1)&gt;COUNT(Dong12),0,IF(MID(OFFSET(TH!D$1,SMALL(Dong12,ROWS($1:1)),),4,1)="N",OFFSET(TH!I$1,SMALL(Dong12,ROWS($1:1)),),0))</f>
        <v>150</v>
      </c>
      <c r="H14" s="400">
        <f ca="1">IF(ROWS($1:1)&gt;COUNT(Dong12),0,IF(MID(OFFSET(TH!D$1,SMALL(Dong12,ROWS($1:1)),),4,1)="X",OFFSET(TH!I$1,SMALL(Dong12,ROWS($1:1)),),0))</f>
        <v>0</v>
      </c>
      <c r="I14" s="401">
        <f ca="1">IF(E14&lt;&gt;"",I13+G14-H14,0)</f>
        <v>150</v>
      </c>
      <c r="J14" s="402"/>
      <c r="K14" s="403"/>
    </row>
    <row r="15" spans="1:12" ht="16.5" customHeight="1">
      <c r="A15" s="404">
        <f ca="1">IF(B15&lt;&gt;"",A14+1,"")</f>
        <v>2</v>
      </c>
      <c r="B15" s="399">
        <f ca="1">IF(ROWS($1:2)&gt;COUNT(Dong12),"",OFFSET(TH!E$1,SMALL(Dong12,ROWS($1:2)),))</f>
        <v>41957</v>
      </c>
      <c r="C15" s="440" t="str">
        <f ca="1">IF(ROWS($1:2)&gt;COUNT(Dong12),"",IF(MID(OFFSET(TH!D$1,SMALL(Dong12,ROWS($1:2)),),4,1)="N",OFFSET(TH!D$1,SMALL(Dong12,ROWS($1:2)),),""))</f>
        <v>VL/N08</v>
      </c>
      <c r="D15" s="399" t="str">
        <f ca="1">IF(ROWS($1:2)&gt;COUNT(Dong12),"",IF(MID(OFFSET(TH!D$1,SMALL(Dong12,ROWS($1:2)),),4,1)="X",OFFSET(TH!D$1,SMALL(Dong12,ROWS($1:2)),),""))</f>
        <v/>
      </c>
      <c r="E15" s="625" t="str">
        <f ca="1">IF(ROWS($1:2)&gt;COUNT(Dong12),"",OFFSET(TH!H$1,SMALL(Dong12,ROWS($1:2)),))</f>
        <v>Cửa Hàng Mã Lệ</v>
      </c>
      <c r="F15" s="399">
        <f t="shared" ref="F15:F30" ca="1" si="0">B15</f>
        <v>41957</v>
      </c>
      <c r="G15" s="400">
        <f ca="1">IF(ROWS($1:2)&gt;COUNT(Dong12),0,IF(MID(OFFSET(TH!D$1,SMALL(Dong12,ROWS($1:2)),),4,1)="N",OFFSET(TH!I$1,SMALL(Dong12,ROWS($1:2)),),0))</f>
        <v>100</v>
      </c>
      <c r="H15" s="400">
        <f ca="1">IF(ROWS($1:2)&gt;COUNT(Dong12),0,IF(MID(OFFSET(TH!D$1,SMALL(Dong12,ROWS($1:2)),),4,1)="X",OFFSET(TH!I$1,SMALL(Dong12,ROWS($1:2)),),0))</f>
        <v>0</v>
      </c>
      <c r="I15" s="401">
        <f t="shared" ref="I15:I30" ca="1" si="1">IF(E15&lt;&gt;"",I14+G15-H15,0)</f>
        <v>250</v>
      </c>
      <c r="J15" s="402"/>
      <c r="K15" s="403"/>
    </row>
    <row r="16" spans="1:12" ht="16.5" customHeight="1">
      <c r="A16" s="404">
        <f t="shared" ref="A16:A30" ca="1" si="2">IF(B16&lt;&gt;"",A15+1,"")</f>
        <v>3</v>
      </c>
      <c r="B16" s="399">
        <f ca="1">IF(ROWS($1:3)&gt;COUNT(Dong12),"",OFFSET(TH!E$1,SMALL(Dong12,ROWS($1:3)),))</f>
        <v>41922</v>
      </c>
      <c r="C16" s="440" t="str">
        <f ca="1">IF(ROWS($1:3)&gt;COUNT(Dong12),"",IF(MID(OFFSET(TH!D$1,SMALL(Dong12,ROWS($1:3)),),4,1)="N",OFFSET(TH!D$1,SMALL(Dong12,ROWS($1:3)),),""))</f>
        <v/>
      </c>
      <c r="D16" s="399" t="str">
        <f ca="1">IF(ROWS($1:3)&gt;COUNT(Dong12),"",IF(MID(OFFSET(TH!D$1,SMALL(Dong12,ROWS($1:3)),),4,1)="X",OFFSET(TH!D$1,SMALL(Dong12,ROWS($1:3)),),""))</f>
        <v>VL/X</v>
      </c>
      <c r="E16" s="625" t="str">
        <f ca="1">IF(ROWS($1:3)&gt;COUNT(Dong12),"",OFFSET(TH!H$1,SMALL(Dong12,ROWS($1:3)),))</f>
        <v>Xuất sản xuất</v>
      </c>
      <c r="F16" s="399">
        <f t="shared" ca="1" si="0"/>
        <v>41922</v>
      </c>
      <c r="G16" s="400">
        <f ca="1">IF(ROWS($1:3)&gt;COUNT(Dong12),0,IF(MID(OFFSET(TH!D$1,SMALL(Dong12,ROWS($1:3)),),4,1)="N",OFFSET(TH!I$1,SMALL(Dong12,ROWS($1:3)),),0))</f>
        <v>0</v>
      </c>
      <c r="H16" s="400">
        <f ca="1">IF(ROWS($1:3)&gt;COUNT(Dong12),0,IF(MID(OFFSET(TH!D$1,SMALL(Dong12,ROWS($1:3)),),4,1)="X",OFFSET(TH!I$1,SMALL(Dong12,ROWS($1:3)),),0))</f>
        <v>150</v>
      </c>
      <c r="I16" s="401">
        <f t="shared" ca="1" si="1"/>
        <v>100</v>
      </c>
      <c r="J16" s="402"/>
      <c r="K16" s="403"/>
    </row>
    <row r="17" spans="1:11" ht="16.5" customHeight="1">
      <c r="A17" s="404" t="str">
        <f t="shared" ca="1" si="2"/>
        <v/>
      </c>
      <c r="B17" s="399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99" t="str">
        <f ca="1">IF(ROWS($1:4)&gt;COUNT(Dong12),"",IF(MID(OFFSET(TH!D$1,SMALL(Dong12,ROWS($1:4)),),4,1)="X",OFFSET(TH!D$1,SMALL(Dong12,ROWS($1:4)),),""))</f>
        <v/>
      </c>
      <c r="E17" s="625" t="str">
        <f ca="1">IF(ROWS($1:4)&gt;COUNT(Dong12),"",OFFSET(TH!H$1,SMALL(Dong12,ROWS($1:4)),))</f>
        <v/>
      </c>
      <c r="F17" s="399" t="str">
        <f t="shared" ca="1" si="0"/>
        <v/>
      </c>
      <c r="G17" s="400">
        <f ca="1">IF(ROWS($1:4)&gt;COUNT(Dong12),0,IF(MID(OFFSET(TH!D$1,SMALL(Dong12,ROWS($1:4)),),4,1)="N",OFFSET(TH!I$1,SMALL(Dong12,ROWS($1:4)),),0))</f>
        <v>0</v>
      </c>
      <c r="H17" s="400">
        <f ca="1">IF(ROWS($1:4)&gt;COUNT(Dong12),0,IF(MID(OFFSET(TH!D$1,SMALL(Dong12,ROWS($1:4)),),4,1)="X",OFFSET(TH!I$1,SMALL(Dong12,ROWS($1:4)),),0))</f>
        <v>0</v>
      </c>
      <c r="I17" s="401">
        <f t="shared" ca="1" si="1"/>
        <v>0</v>
      </c>
      <c r="J17" s="402"/>
      <c r="K17" s="403"/>
    </row>
    <row r="18" spans="1:11" ht="16.5" customHeight="1">
      <c r="A18" s="404" t="str">
        <f t="shared" ca="1" si="2"/>
        <v/>
      </c>
      <c r="B18" s="399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99" t="str">
        <f ca="1">IF(ROWS($1:5)&gt;COUNT(Dong12),"",IF(MID(OFFSET(TH!D$1,SMALL(Dong12,ROWS($1:5)),),4,1)="X",OFFSET(TH!D$1,SMALL(Dong12,ROWS($1:5)),),""))</f>
        <v/>
      </c>
      <c r="E18" s="625" t="str">
        <f ca="1">IF(ROWS($1:5)&gt;COUNT(Dong12),"",OFFSET(TH!H$1,SMALL(Dong12,ROWS($1:5)),))</f>
        <v/>
      </c>
      <c r="F18" s="399" t="str">
        <f t="shared" ca="1" si="0"/>
        <v/>
      </c>
      <c r="G18" s="400">
        <f ca="1">IF(ROWS($1:5)&gt;COUNT(Dong12),0,IF(MID(OFFSET(TH!D$1,SMALL(Dong12,ROWS($1:5)),),4,1)="N",OFFSET(TH!I$1,SMALL(Dong12,ROWS($1:5)),),0))</f>
        <v>0</v>
      </c>
      <c r="H18" s="400">
        <f ca="1">IF(ROWS($1:5)&gt;COUNT(Dong12),0,IF(MID(OFFSET(TH!D$1,SMALL(Dong12,ROWS($1:5)),),4,1)="X",OFFSET(TH!I$1,SMALL(Dong12,ROWS($1:5)),),0))</f>
        <v>0</v>
      </c>
      <c r="I18" s="401">
        <f t="shared" ca="1" si="1"/>
        <v>0</v>
      </c>
      <c r="J18" s="402"/>
      <c r="K18" s="403"/>
    </row>
    <row r="19" spans="1:11" ht="16.5" customHeight="1">
      <c r="A19" s="404" t="str">
        <f t="shared" ca="1" si="2"/>
        <v/>
      </c>
      <c r="B19" s="399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99" t="str">
        <f ca="1">IF(ROWS($1:6)&gt;COUNT(Dong12),"",IF(MID(OFFSET(TH!D$1,SMALL(Dong12,ROWS($1:6)),),4,1)="X",OFFSET(TH!D$1,SMALL(Dong12,ROWS($1:6)),),""))</f>
        <v/>
      </c>
      <c r="E19" s="625" t="str">
        <f ca="1">IF(ROWS($1:6)&gt;COUNT(Dong12),"",OFFSET(TH!H$1,SMALL(Dong12,ROWS($1:6)),))</f>
        <v/>
      </c>
      <c r="F19" s="399" t="str">
        <f t="shared" ca="1" si="0"/>
        <v/>
      </c>
      <c r="G19" s="400">
        <f ca="1">IF(ROWS($1:6)&gt;COUNT(Dong12),0,IF(MID(OFFSET(TH!D$1,SMALL(Dong12,ROWS($1:6)),),4,1)="N",OFFSET(TH!I$1,SMALL(Dong12,ROWS($1:6)),),0))</f>
        <v>0</v>
      </c>
      <c r="H19" s="400">
        <f ca="1">IF(ROWS($1:6)&gt;COUNT(Dong12),0,IF(MID(OFFSET(TH!D$1,SMALL(Dong12,ROWS($1:6)),),4,1)="X",OFFSET(TH!I$1,SMALL(Dong12,ROWS($1:6)),),0))</f>
        <v>0</v>
      </c>
      <c r="I19" s="401">
        <f t="shared" ca="1" si="1"/>
        <v>0</v>
      </c>
      <c r="J19" s="402"/>
      <c r="K19" s="403"/>
    </row>
    <row r="20" spans="1:11" ht="16.5" customHeight="1">
      <c r="A20" s="404" t="str">
        <f t="shared" ca="1" si="2"/>
        <v/>
      </c>
      <c r="B20" s="399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99" t="str">
        <f ca="1">IF(ROWS($1:7)&gt;COUNT(Dong12),"",IF(MID(OFFSET(TH!D$1,SMALL(Dong12,ROWS($1:7)),),4,1)="X",OFFSET(TH!D$1,SMALL(Dong12,ROWS($1:7)),),""))</f>
        <v/>
      </c>
      <c r="E20" s="625" t="str">
        <f ca="1">IF(ROWS($1:7)&gt;COUNT(Dong12),"",OFFSET(TH!H$1,SMALL(Dong12,ROWS($1:7)),))</f>
        <v/>
      </c>
      <c r="F20" s="399" t="str">
        <f t="shared" ca="1" si="0"/>
        <v/>
      </c>
      <c r="G20" s="400">
        <f ca="1">IF(ROWS($1:7)&gt;COUNT(Dong12),0,IF(MID(OFFSET(TH!D$1,SMALL(Dong12,ROWS($1:7)),),4,1)="N",OFFSET(TH!I$1,SMALL(Dong12,ROWS($1:7)),),0))</f>
        <v>0</v>
      </c>
      <c r="H20" s="400">
        <f ca="1">IF(ROWS($1:7)&gt;COUNT(Dong12),0,IF(MID(OFFSET(TH!D$1,SMALL(Dong12,ROWS($1:7)),),4,1)="X",OFFSET(TH!I$1,SMALL(Dong12,ROWS($1:7)),),0))</f>
        <v>0</v>
      </c>
      <c r="I20" s="401">
        <f t="shared" ca="1" si="1"/>
        <v>0</v>
      </c>
      <c r="J20" s="402"/>
      <c r="K20" s="403"/>
    </row>
    <row r="21" spans="1:11" ht="16.5" customHeight="1">
      <c r="A21" s="404" t="str">
        <f t="shared" ca="1" si="2"/>
        <v/>
      </c>
      <c r="B21" s="399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99" t="str">
        <f ca="1">IF(ROWS($1:8)&gt;COUNT(Dong12),"",IF(MID(OFFSET(TH!D$1,SMALL(Dong12,ROWS($1:8)),),4,1)="X",OFFSET(TH!D$1,SMALL(Dong12,ROWS($1:8)),),""))</f>
        <v/>
      </c>
      <c r="E21" s="625" t="str">
        <f ca="1">IF(ROWS($1:8)&gt;COUNT(Dong12),"",OFFSET(TH!H$1,SMALL(Dong12,ROWS($1:8)),))</f>
        <v/>
      </c>
      <c r="F21" s="399" t="str">
        <f t="shared" ca="1" si="0"/>
        <v/>
      </c>
      <c r="G21" s="400">
        <f ca="1">IF(ROWS($1:8)&gt;COUNT(Dong12),0,IF(MID(OFFSET(TH!D$1,SMALL(Dong12,ROWS($1:8)),),4,1)="N",OFFSET(TH!I$1,SMALL(Dong12,ROWS($1:8)),),0))</f>
        <v>0</v>
      </c>
      <c r="H21" s="400">
        <f ca="1">IF(ROWS($1:8)&gt;COUNT(Dong12),0,IF(MID(OFFSET(TH!D$1,SMALL(Dong12,ROWS($1:8)),),4,1)="X",OFFSET(TH!I$1,SMALL(Dong12,ROWS($1:8)),),0))</f>
        <v>0</v>
      </c>
      <c r="I21" s="401">
        <f t="shared" ca="1" si="1"/>
        <v>0</v>
      </c>
      <c r="J21" s="402"/>
      <c r="K21" s="403"/>
    </row>
    <row r="22" spans="1:11" ht="16.5" customHeight="1">
      <c r="A22" s="404" t="str">
        <f t="shared" ca="1" si="2"/>
        <v/>
      </c>
      <c r="B22" s="399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99" t="str">
        <f ca="1">IF(ROWS($1:9)&gt;COUNT(Dong12),"",IF(MID(OFFSET(TH!D$1,SMALL(Dong12,ROWS($1:9)),),4,1)="X",OFFSET(TH!D$1,SMALL(Dong12,ROWS($1:9)),),""))</f>
        <v/>
      </c>
      <c r="E22" s="625" t="str">
        <f ca="1">IF(ROWS($1:9)&gt;COUNT(Dong12),"",OFFSET(TH!H$1,SMALL(Dong12,ROWS($1:9)),))</f>
        <v/>
      </c>
      <c r="F22" s="399" t="str">
        <f t="shared" ca="1" si="0"/>
        <v/>
      </c>
      <c r="G22" s="400">
        <f ca="1">IF(ROWS($1:9)&gt;COUNT(Dong12),0,IF(MID(OFFSET(TH!D$1,SMALL(Dong12,ROWS($1:9)),),4,1)="N",OFFSET(TH!I$1,SMALL(Dong12,ROWS($1:9)),),0))</f>
        <v>0</v>
      </c>
      <c r="H22" s="400">
        <f ca="1">IF(ROWS($1:9)&gt;COUNT(Dong12),0,IF(MID(OFFSET(TH!D$1,SMALL(Dong12,ROWS($1:9)),),4,1)="X",OFFSET(TH!I$1,SMALL(Dong12,ROWS($1:9)),),0))</f>
        <v>0</v>
      </c>
      <c r="I22" s="401">
        <f t="shared" ca="1" si="1"/>
        <v>0</v>
      </c>
      <c r="J22" s="402"/>
      <c r="K22" s="403"/>
    </row>
    <row r="23" spans="1:11" ht="16.5" customHeight="1">
      <c r="A23" s="404" t="str">
        <f t="shared" ca="1" si="2"/>
        <v/>
      </c>
      <c r="B23" s="399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99" t="str">
        <f ca="1">IF(ROWS($1:10)&gt;COUNT(Dong12),"",IF(MID(OFFSET(TH!D$1,SMALL(Dong12,ROWS($1:10)),),4,1)="X",OFFSET(TH!D$1,SMALL(Dong12,ROWS($1:10)),),""))</f>
        <v/>
      </c>
      <c r="E23" s="625" t="str">
        <f ca="1">IF(ROWS($1:10)&gt;COUNT(Dong12),"",OFFSET(TH!H$1,SMALL(Dong12,ROWS($1:10)),))</f>
        <v/>
      </c>
      <c r="F23" s="399" t="str">
        <f t="shared" ca="1" si="0"/>
        <v/>
      </c>
      <c r="G23" s="400">
        <f ca="1">IF(ROWS($1:10)&gt;COUNT(Dong12),0,IF(MID(OFFSET(TH!D$1,SMALL(Dong12,ROWS($1:10)),),4,1)="N",OFFSET(TH!I$1,SMALL(Dong12,ROWS($1:10)),),0))</f>
        <v>0</v>
      </c>
      <c r="H23" s="400">
        <f ca="1">IF(ROWS($1:10)&gt;COUNT(Dong12),0,IF(MID(OFFSET(TH!D$1,SMALL(Dong12,ROWS($1:10)),),4,1)="X",OFFSET(TH!I$1,SMALL(Dong12,ROWS($1:10)),),0))</f>
        <v>0</v>
      </c>
      <c r="I23" s="401">
        <f t="shared" ca="1" si="1"/>
        <v>0</v>
      </c>
      <c r="J23" s="402"/>
      <c r="K23" s="403"/>
    </row>
    <row r="24" spans="1:11" ht="16.5" customHeight="1">
      <c r="A24" s="404" t="str">
        <f t="shared" ca="1" si="2"/>
        <v/>
      </c>
      <c r="B24" s="399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99" t="str">
        <f ca="1">IF(ROWS($1:11)&gt;COUNT(Dong12),"",IF(MID(OFFSET(TH!D$1,SMALL(Dong12,ROWS($1:11)),),4,1)="X",OFFSET(TH!D$1,SMALL(Dong12,ROWS($1:11)),),""))</f>
        <v/>
      </c>
      <c r="E24" s="625" t="str">
        <f ca="1">IF(ROWS($1:11)&gt;COUNT(Dong12),"",OFFSET(TH!H$1,SMALL(Dong12,ROWS($1:11)),))</f>
        <v/>
      </c>
      <c r="F24" s="399" t="str">
        <f t="shared" ca="1" si="0"/>
        <v/>
      </c>
      <c r="G24" s="400">
        <f ca="1">IF(ROWS($1:11)&gt;COUNT(Dong12),0,IF(MID(OFFSET(TH!D$1,SMALL(Dong12,ROWS($1:11)),),4,1)="N",OFFSET(TH!I$1,SMALL(Dong12,ROWS($1:11)),),0))</f>
        <v>0</v>
      </c>
      <c r="H24" s="400">
        <f ca="1">IF(ROWS($1:11)&gt;COUNT(Dong12),0,IF(MID(OFFSET(TH!D$1,SMALL(Dong12,ROWS($1:11)),),4,1)="X",OFFSET(TH!I$1,SMALL(Dong12,ROWS($1:11)),),0))</f>
        <v>0</v>
      </c>
      <c r="I24" s="401">
        <f t="shared" ca="1" si="1"/>
        <v>0</v>
      </c>
      <c r="J24" s="402"/>
      <c r="K24" s="403"/>
    </row>
    <row r="25" spans="1:11" ht="16.5" customHeight="1">
      <c r="A25" s="404" t="str">
        <f t="shared" ca="1" si="2"/>
        <v/>
      </c>
      <c r="B25" s="399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99" t="str">
        <f ca="1">IF(ROWS($1:12)&gt;COUNT(Dong12),"",IF(MID(OFFSET(TH!D$1,SMALL(Dong12,ROWS($1:12)),),4,1)="X",OFFSET(TH!D$1,SMALL(Dong12,ROWS($1:12)),),""))</f>
        <v/>
      </c>
      <c r="E25" s="625" t="str">
        <f ca="1">IF(ROWS($1:12)&gt;COUNT(Dong12),"",OFFSET(TH!H$1,SMALL(Dong12,ROWS($1:12)),))</f>
        <v/>
      </c>
      <c r="F25" s="399" t="str">
        <f t="shared" ca="1" si="0"/>
        <v/>
      </c>
      <c r="G25" s="400">
        <f ca="1">IF(ROWS($1:12)&gt;COUNT(Dong12),0,IF(MID(OFFSET(TH!D$1,SMALL(Dong12,ROWS($1:12)),),4,1)="N",OFFSET(TH!I$1,SMALL(Dong12,ROWS($1:12)),),0))</f>
        <v>0</v>
      </c>
      <c r="H25" s="400">
        <f ca="1">IF(ROWS($1:12)&gt;COUNT(Dong12),0,IF(MID(OFFSET(TH!D$1,SMALL(Dong12,ROWS($1:12)),),4,1)="X",OFFSET(TH!I$1,SMALL(Dong12,ROWS($1:12)),),0))</f>
        <v>0</v>
      </c>
      <c r="I25" s="401">
        <f t="shared" ca="1" si="1"/>
        <v>0</v>
      </c>
      <c r="J25" s="402"/>
      <c r="K25" s="403"/>
    </row>
    <row r="26" spans="1:11" ht="16.5" customHeight="1">
      <c r="A26" s="404" t="str">
        <f t="shared" ca="1" si="2"/>
        <v/>
      </c>
      <c r="B26" s="399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99" t="str">
        <f ca="1">IF(ROWS($1:13)&gt;COUNT(Dong12),"",IF(MID(OFFSET(TH!D$1,SMALL(Dong12,ROWS($1:13)),),4,1)="X",OFFSET(TH!D$1,SMALL(Dong12,ROWS($1:13)),),""))</f>
        <v/>
      </c>
      <c r="E26" s="625" t="str">
        <f ca="1">IF(ROWS($1:13)&gt;COUNT(Dong12),"",OFFSET(TH!H$1,SMALL(Dong12,ROWS($1:13)),))</f>
        <v/>
      </c>
      <c r="F26" s="399" t="str">
        <f t="shared" ca="1" si="0"/>
        <v/>
      </c>
      <c r="G26" s="400">
        <f ca="1">IF(ROWS($1:13)&gt;COUNT(Dong12),0,IF(MID(OFFSET(TH!D$1,SMALL(Dong12,ROWS($1:13)),),4,1)="N",OFFSET(TH!I$1,SMALL(Dong12,ROWS($1:13)),),0))</f>
        <v>0</v>
      </c>
      <c r="H26" s="400">
        <f ca="1">IF(ROWS($1:13)&gt;COUNT(Dong12),0,IF(MID(OFFSET(TH!D$1,SMALL(Dong12,ROWS($1:13)),),4,1)="X",OFFSET(TH!I$1,SMALL(Dong12,ROWS($1:13)),),0))</f>
        <v>0</v>
      </c>
      <c r="I26" s="401">
        <f t="shared" ca="1" si="1"/>
        <v>0</v>
      </c>
      <c r="J26" s="402"/>
      <c r="K26" s="403"/>
    </row>
    <row r="27" spans="1:11" ht="16.5" customHeight="1">
      <c r="A27" s="404" t="str">
        <f t="shared" ca="1" si="2"/>
        <v/>
      </c>
      <c r="B27" s="399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99" t="str">
        <f ca="1">IF(ROWS($1:14)&gt;COUNT(Dong12),"",IF(MID(OFFSET(TH!D$1,SMALL(Dong12,ROWS($1:14)),),4,1)="X",OFFSET(TH!D$1,SMALL(Dong12,ROWS($1:14)),),""))</f>
        <v/>
      </c>
      <c r="E27" s="625" t="str">
        <f ca="1">IF(ROWS($1:14)&gt;COUNT(Dong12),"",OFFSET(TH!H$1,SMALL(Dong12,ROWS($1:14)),))</f>
        <v/>
      </c>
      <c r="F27" s="399" t="str">
        <f t="shared" ca="1" si="0"/>
        <v/>
      </c>
      <c r="G27" s="400">
        <f ca="1">IF(ROWS($1:14)&gt;COUNT(Dong12),0,IF(MID(OFFSET(TH!D$1,SMALL(Dong12,ROWS($1:14)),),4,1)="N",OFFSET(TH!I$1,SMALL(Dong12,ROWS($1:14)),),0))</f>
        <v>0</v>
      </c>
      <c r="H27" s="400">
        <f ca="1">IF(ROWS($1:14)&gt;COUNT(Dong12),0,IF(MID(OFFSET(TH!D$1,SMALL(Dong12,ROWS($1:14)),),4,1)="X",OFFSET(TH!I$1,SMALL(Dong12,ROWS($1:14)),),0))</f>
        <v>0</v>
      </c>
      <c r="I27" s="401">
        <f t="shared" ca="1" si="1"/>
        <v>0</v>
      </c>
      <c r="J27" s="402"/>
      <c r="K27" s="403"/>
    </row>
    <row r="28" spans="1:11" ht="16.5" customHeight="1">
      <c r="A28" s="404" t="str">
        <f t="shared" ca="1" si="2"/>
        <v/>
      </c>
      <c r="B28" s="399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99" t="str">
        <f ca="1">IF(ROWS($1:15)&gt;COUNT(Dong12),"",IF(MID(OFFSET(TH!D$1,SMALL(Dong12,ROWS($1:15)),),4,1)="X",OFFSET(TH!D$1,SMALL(Dong12,ROWS($1:15)),),""))</f>
        <v/>
      </c>
      <c r="E28" s="625" t="str">
        <f ca="1">IF(ROWS($1:15)&gt;COUNT(Dong12),"",OFFSET(TH!H$1,SMALL(Dong12,ROWS($1:15)),))</f>
        <v/>
      </c>
      <c r="F28" s="399" t="str">
        <f t="shared" ca="1" si="0"/>
        <v/>
      </c>
      <c r="G28" s="400">
        <f ca="1">IF(ROWS($1:15)&gt;COUNT(Dong12),0,IF(MID(OFFSET(TH!D$1,SMALL(Dong12,ROWS($1:15)),),4,1)="N",OFFSET(TH!I$1,SMALL(Dong12,ROWS($1:15)),),0))</f>
        <v>0</v>
      </c>
      <c r="H28" s="400">
        <f ca="1">IF(ROWS($1:15)&gt;COUNT(Dong12),0,IF(MID(OFFSET(TH!D$1,SMALL(Dong12,ROWS($1:15)),),4,1)="X",OFFSET(TH!I$1,SMALL(Dong12,ROWS($1:15)),),0))</f>
        <v>0</v>
      </c>
      <c r="I28" s="401">
        <f t="shared" ca="1" si="1"/>
        <v>0</v>
      </c>
      <c r="J28" s="402"/>
      <c r="K28" s="403"/>
    </row>
    <row r="29" spans="1:11" ht="16.5" customHeight="1">
      <c r="A29" s="404" t="str">
        <f t="shared" ca="1" si="2"/>
        <v/>
      </c>
      <c r="B29" s="399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99" t="str">
        <f ca="1">IF(ROWS($1:16)&gt;COUNT(Dong12),"",IF(MID(OFFSET(TH!D$1,SMALL(Dong12,ROWS($1:16)),),4,1)="X",OFFSET(TH!D$1,SMALL(Dong12,ROWS($1:16)),),""))</f>
        <v/>
      </c>
      <c r="E29" s="625" t="str">
        <f ca="1">IF(ROWS($1:16)&gt;COUNT(Dong12),"",OFFSET(TH!H$1,SMALL(Dong12,ROWS($1:16)),))</f>
        <v/>
      </c>
      <c r="F29" s="399" t="str">
        <f t="shared" ca="1" si="0"/>
        <v/>
      </c>
      <c r="G29" s="400">
        <f ca="1">IF(ROWS($1:16)&gt;COUNT(Dong12),0,IF(MID(OFFSET(TH!D$1,SMALL(Dong12,ROWS($1:16)),),4,1)="N",OFFSET(TH!I$1,SMALL(Dong12,ROWS($1:16)),),0))</f>
        <v>0</v>
      </c>
      <c r="H29" s="400">
        <f ca="1">IF(ROWS($1:16)&gt;COUNT(Dong12),0,IF(MID(OFFSET(TH!D$1,SMALL(Dong12,ROWS($1:16)),),4,1)="X",OFFSET(TH!I$1,SMALL(Dong12,ROWS($1:16)),),0))</f>
        <v>0</v>
      </c>
      <c r="I29" s="401">
        <f t="shared" ca="1" si="1"/>
        <v>0</v>
      </c>
      <c r="J29" s="402"/>
      <c r="K29" s="403"/>
    </row>
    <row r="30" spans="1:11" ht="16.5" customHeight="1">
      <c r="A30" s="404" t="str">
        <f t="shared" ca="1" si="2"/>
        <v/>
      </c>
      <c r="B30" s="399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99" t="str">
        <f ca="1">IF(ROWS($1:17)&gt;COUNT(Dong12),"",IF(MID(OFFSET(TH!D$1,SMALL(Dong12,ROWS($1:17)),),4,1)="X",OFFSET(TH!D$1,SMALL(Dong12,ROWS($1:17)),),""))</f>
        <v/>
      </c>
      <c r="E30" s="625" t="str">
        <f ca="1">IF(ROWS($1:17)&gt;COUNT(Dong12),"",OFFSET(TH!H$1,SMALL(Dong12,ROWS($1:17)),))</f>
        <v/>
      </c>
      <c r="F30" s="399" t="str">
        <f t="shared" ca="1" si="0"/>
        <v/>
      </c>
      <c r="G30" s="400">
        <f ca="1">IF(ROWS($1:17)&gt;COUNT(Dong12),0,IF(MID(OFFSET(TH!D$1,SMALL(Dong12,ROWS($1:17)),),4,1)="N",OFFSET(TH!I$1,SMALL(Dong12,ROWS($1:17)),),0))</f>
        <v>0</v>
      </c>
      <c r="H30" s="400">
        <f ca="1">IF(ROWS($1:17)&gt;COUNT(Dong12),0,IF(MID(OFFSET(TH!D$1,SMALL(Dong12,ROWS($1:17)),),4,1)="X",OFFSET(TH!I$1,SMALL(Dong12,ROWS($1:17)),),0))</f>
        <v>0</v>
      </c>
      <c r="I30" s="401">
        <f t="shared" ca="1" si="1"/>
        <v>0</v>
      </c>
      <c r="J30" s="402"/>
      <c r="K30" s="403"/>
    </row>
    <row r="31" spans="1:11" ht="16.5" customHeight="1">
      <c r="A31" s="405" t="str">
        <f>IF(D31&lt;&gt;"",A21+1,"")</f>
        <v/>
      </c>
      <c r="B31" s="406"/>
      <c r="C31" s="407"/>
      <c r="D31" s="407"/>
      <c r="E31" s="626"/>
      <c r="F31" s="406"/>
      <c r="G31" s="408"/>
      <c r="H31" s="408"/>
      <c r="I31" s="408"/>
      <c r="J31" s="409"/>
      <c r="K31" s="403"/>
    </row>
    <row r="32" spans="1:11" ht="16.5" customHeight="1">
      <c r="A32" s="393"/>
      <c r="B32" s="410"/>
      <c r="C32" s="393"/>
      <c r="D32" s="393"/>
      <c r="E32" s="394" t="s">
        <v>239</v>
      </c>
      <c r="F32" s="411" t="s">
        <v>19</v>
      </c>
      <c r="G32" s="412">
        <f ca="1">SUM(G14:G31)</f>
        <v>250</v>
      </c>
      <c r="H32" s="412">
        <f ca="1">SUM(H14:H31)</f>
        <v>150</v>
      </c>
      <c r="I32" s="412">
        <f ca="1">I13+G32-H32</f>
        <v>100</v>
      </c>
      <c r="J32" s="393" t="s">
        <v>19</v>
      </c>
      <c r="K32" s="413"/>
    </row>
    <row r="33" spans="1:11" ht="12.75" customHeight="1">
      <c r="A33" s="414"/>
      <c r="B33" s="372"/>
      <c r="C33" s="414"/>
      <c r="D33" s="414"/>
      <c r="E33" s="378"/>
      <c r="F33" s="372"/>
      <c r="G33" s="379"/>
      <c r="H33" s="379"/>
      <c r="I33" s="379"/>
      <c r="J33" s="368"/>
      <c r="K33" s="368"/>
    </row>
    <row r="34" spans="1:11" ht="15">
      <c r="A34" s="415" t="s">
        <v>240</v>
      </c>
      <c r="B34" s="415"/>
      <c r="C34" s="416"/>
      <c r="D34" s="416"/>
      <c r="E34" s="378"/>
      <c r="F34" s="372"/>
      <c r="G34" s="379"/>
      <c r="H34" s="379"/>
      <c r="I34" s="379"/>
      <c r="J34" s="368"/>
      <c r="K34" s="368"/>
    </row>
    <row r="35" spans="1:11" ht="15">
      <c r="A35" s="11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106"/>
      <c r="C35" s="1106"/>
      <c r="D35" s="1106"/>
      <c r="E35" s="1106"/>
      <c r="F35" s="372"/>
      <c r="G35" s="379"/>
      <c r="H35" s="379"/>
      <c r="I35" s="379"/>
      <c r="J35" s="368"/>
      <c r="K35" s="368"/>
    </row>
    <row r="36" spans="1:11" ht="15">
      <c r="A36" s="417"/>
      <c r="B36" s="418"/>
      <c r="C36" s="419"/>
      <c r="D36" s="414"/>
      <c r="E36" s="378"/>
      <c r="F36" s="372"/>
      <c r="H36" s="300"/>
      <c r="I36" s="535" t="str">
        <f ca="1">"Ngày 31 tháng  12  năm  "&amp;YEAR($B$14)</f>
        <v>Ngày 31 tháng  12  năm  2014</v>
      </c>
      <c r="J36" s="300"/>
      <c r="K36" s="301"/>
    </row>
    <row r="37" spans="1:11" ht="15" customHeight="1">
      <c r="A37" s="417"/>
      <c r="C37" s="420" t="s">
        <v>241</v>
      </c>
      <c r="D37" s="414"/>
      <c r="E37" s="1107" t="s">
        <v>12</v>
      </c>
      <c r="F37" s="1107"/>
      <c r="G37" s="379"/>
      <c r="I37" s="552" t="s">
        <v>109</v>
      </c>
      <c r="J37" s="370"/>
      <c r="K37" s="417"/>
    </row>
    <row r="38" spans="1:11" ht="15" customHeight="1">
      <c r="A38" s="421"/>
      <c r="C38" s="422" t="s">
        <v>13</v>
      </c>
      <c r="D38" s="423"/>
      <c r="E38" s="1101" t="s">
        <v>13</v>
      </c>
      <c r="F38" s="1101"/>
      <c r="G38" s="379"/>
      <c r="I38" s="553" t="s">
        <v>136</v>
      </c>
      <c r="J38" s="551"/>
      <c r="K38" s="421"/>
    </row>
    <row r="39" spans="1:11" ht="15">
      <c r="A39" s="421"/>
      <c r="C39" s="422"/>
      <c r="D39" s="414"/>
      <c r="E39" s="424"/>
      <c r="F39" s="425"/>
      <c r="G39" s="379"/>
      <c r="H39" s="421"/>
      <c r="I39" s="421"/>
      <c r="J39" s="421"/>
      <c r="K39" s="421"/>
    </row>
    <row r="40" spans="1:11" ht="15">
      <c r="A40" s="421"/>
      <c r="B40" s="422"/>
      <c r="C40" s="421"/>
      <c r="D40" s="414"/>
      <c r="E40" s="424"/>
      <c r="F40" s="425"/>
      <c r="G40" s="379"/>
      <c r="H40" s="421"/>
      <c r="I40" s="421"/>
      <c r="J40" s="421"/>
      <c r="K40" s="421"/>
    </row>
    <row r="41" spans="1:11" ht="15">
      <c r="A41" s="421"/>
      <c r="B41" s="422"/>
      <c r="C41" s="421"/>
      <c r="D41" s="414"/>
      <c r="E41" s="424"/>
      <c r="F41" s="425"/>
      <c r="G41" s="379"/>
      <c r="H41" s="421"/>
      <c r="I41" s="421"/>
      <c r="J41" s="421"/>
      <c r="K41" s="421"/>
    </row>
    <row r="46" spans="1:11" ht="15">
      <c r="C46" s="554" t="s">
        <v>321</v>
      </c>
      <c r="H46" s="550"/>
      <c r="I46" s="549" t="s">
        <v>103</v>
      </c>
      <c r="J46" s="55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703" customWidth="1"/>
    <col min="2" max="2" width="23.140625" style="703" customWidth="1"/>
    <col min="3" max="3" width="8.85546875" style="818" customWidth="1"/>
    <col min="4" max="4" width="8.85546875" style="717" customWidth="1"/>
    <col min="5" max="5" width="12.140625" style="703" customWidth="1"/>
    <col min="6" max="6" width="11" style="703" customWidth="1"/>
    <col min="7" max="7" width="9.7109375" style="703" customWidth="1"/>
    <col min="8" max="8" width="11.140625" style="703" customWidth="1"/>
    <col min="9" max="9" width="10.85546875" style="703" customWidth="1"/>
    <col min="10" max="10" width="12" style="703" customWidth="1"/>
    <col min="11" max="11" width="8.42578125" style="703" customWidth="1"/>
    <col min="12" max="12" width="7.42578125" style="703" customWidth="1"/>
    <col min="13" max="13" width="1.7109375" style="715" customWidth="1"/>
    <col min="14" max="14" width="23" style="703" customWidth="1"/>
    <col min="15" max="15" width="10.140625" style="716" customWidth="1"/>
    <col min="16" max="16" width="7" style="758" customWidth="1"/>
    <col min="17" max="17" width="7.5703125" style="288" customWidth="1"/>
    <col min="18" max="18" width="12.42578125" style="703" customWidth="1"/>
    <col min="19" max="19" width="15.85546875" style="703" customWidth="1"/>
    <col min="20" max="20" width="8.28515625" style="716" customWidth="1"/>
    <col min="21" max="21" width="7.5703125" style="288" customWidth="1"/>
    <col min="22" max="22" width="9" style="288" customWidth="1"/>
    <col min="23" max="23" width="9.7109375" style="703" customWidth="1"/>
    <col min="24" max="24" width="10.28515625" style="703" customWidth="1"/>
    <col min="25" max="16384" width="10.28515625" style="703"/>
  </cols>
  <sheetData>
    <row r="1" spans="1:25">
      <c r="B1" s="703">
        <v>1</v>
      </c>
      <c r="E1" s="703">
        <v>5</v>
      </c>
      <c r="F1" s="703">
        <v>6</v>
      </c>
      <c r="G1" s="703">
        <v>7</v>
      </c>
      <c r="H1" s="703">
        <v>8</v>
      </c>
      <c r="I1" s="703">
        <v>10</v>
      </c>
      <c r="J1" s="703">
        <v>13</v>
      </c>
      <c r="K1" s="703">
        <v>14</v>
      </c>
      <c r="L1" s="703">
        <v>15</v>
      </c>
    </row>
    <row r="2" spans="1:25" ht="18" hidden="1" customHeight="1">
      <c r="A2" s="547" t="str">
        <f>TH!$A$1</f>
        <v>Đơn vị: CÔNG TY TNHH SX TM KIM DUNG PHÁT</v>
      </c>
      <c r="B2" s="704"/>
      <c r="E2" s="288"/>
      <c r="F2" s="288"/>
      <c r="G2" s="288"/>
      <c r="H2" s="288"/>
      <c r="I2" s="288"/>
      <c r="J2" s="288"/>
      <c r="K2" s="561"/>
      <c r="L2" s="288"/>
      <c r="M2" s="718"/>
      <c r="N2" s="288"/>
      <c r="O2" s="698"/>
      <c r="S2" s="288"/>
      <c r="T2" s="698"/>
    </row>
    <row r="3" spans="1:25" ht="18.75" customHeight="1">
      <c r="A3" s="705" t="s">
        <v>1373</v>
      </c>
      <c r="B3" s="705"/>
      <c r="E3" s="705"/>
      <c r="F3" s="705"/>
      <c r="G3" s="705"/>
      <c r="H3" s="705"/>
      <c r="I3" s="705"/>
      <c r="J3" s="705"/>
      <c r="K3" s="705"/>
      <c r="L3" s="705"/>
      <c r="M3" s="718"/>
      <c r="N3" s="288"/>
      <c r="O3" s="698"/>
      <c r="S3" s="288"/>
      <c r="T3" s="698"/>
    </row>
    <row r="4" spans="1:25" ht="12.75" customHeight="1">
      <c r="A4" s="754"/>
      <c r="B4" s="747"/>
      <c r="C4" s="819"/>
      <c r="D4" s="754"/>
      <c r="E4" s="747"/>
      <c r="F4" s="747"/>
      <c r="G4" s="747"/>
      <c r="H4" s="747"/>
      <c r="I4" s="747"/>
      <c r="J4" s="747"/>
      <c r="K4" s="720"/>
      <c r="L4" s="747"/>
      <c r="M4" s="718"/>
      <c r="N4" s="713"/>
      <c r="O4" s="754"/>
      <c r="P4" s="759"/>
      <c r="Q4" s="721"/>
      <c r="R4" s="754"/>
      <c r="S4" s="754"/>
      <c r="T4" s="754"/>
      <c r="U4" s="754"/>
      <c r="V4" s="754"/>
      <c r="W4" s="754"/>
      <c r="X4" s="713"/>
      <c r="Y4" s="713"/>
    </row>
    <row r="5" spans="1:25" s="436" customFormat="1" ht="30.75" customHeight="1">
      <c r="A5" s="768" t="s">
        <v>35</v>
      </c>
      <c r="B5" s="431" t="s">
        <v>242</v>
      </c>
      <c r="C5" s="432" t="s">
        <v>1241</v>
      </c>
      <c r="D5" s="432" t="s">
        <v>1242</v>
      </c>
      <c r="E5" s="432" t="s">
        <v>245</v>
      </c>
      <c r="F5" s="432" t="s">
        <v>373</v>
      </c>
      <c r="G5" s="432" t="s">
        <v>246</v>
      </c>
      <c r="H5" s="432" t="s">
        <v>369</v>
      </c>
      <c r="I5" s="433" t="s">
        <v>247</v>
      </c>
      <c r="J5" s="432" t="s">
        <v>248</v>
      </c>
      <c r="K5" s="434" t="s">
        <v>243</v>
      </c>
      <c r="L5" s="432" t="s">
        <v>249</v>
      </c>
      <c r="M5" s="435"/>
      <c r="N5" s="431" t="s">
        <v>242</v>
      </c>
      <c r="O5" s="432" t="s">
        <v>236</v>
      </c>
      <c r="P5" s="760" t="s">
        <v>201</v>
      </c>
      <c r="Q5" s="432" t="s">
        <v>244</v>
      </c>
      <c r="R5" s="432" t="s">
        <v>250</v>
      </c>
      <c r="S5" s="431" t="s">
        <v>242</v>
      </c>
      <c r="T5" s="432" t="s">
        <v>236</v>
      </c>
      <c r="U5" s="432" t="s">
        <v>201</v>
      </c>
      <c r="V5" s="432" t="s">
        <v>244</v>
      </c>
      <c r="W5" s="431" t="s">
        <v>250</v>
      </c>
    </row>
    <row r="6" spans="1:25">
      <c r="A6" s="707">
        <f>IF(B6&lt;&gt;"",ROW()-(ROW()-1),"")</f>
        <v>1</v>
      </c>
      <c r="B6" s="291" t="s">
        <v>417</v>
      </c>
      <c r="C6" s="722">
        <v>41645</v>
      </c>
      <c r="D6" s="723" t="s">
        <v>418</v>
      </c>
      <c r="E6" s="25">
        <f>R6</f>
        <v>7850890</v>
      </c>
      <c r="F6" s="708">
        <f t="shared" ref="F6:I7" si="0">IF($K$53&lt;&gt;0,F$53/$K$53*$K6,0)</f>
        <v>1231274.2192842488</v>
      </c>
      <c r="G6" s="708">
        <f t="shared" si="0"/>
        <v>149019.45140946738</v>
      </c>
      <c r="H6" s="708">
        <f t="shared" si="0"/>
        <v>1292196.6415925841</v>
      </c>
      <c r="I6" s="708">
        <f t="shared" si="0"/>
        <v>1462939.7462198921</v>
      </c>
      <c r="J6" s="25">
        <f t="shared" ref="J6:J51" si="1">SUM(E6:I6)</f>
        <v>11986320.058506193</v>
      </c>
      <c r="K6" s="708">
        <v>2110</v>
      </c>
      <c r="L6" s="708">
        <f>IF(K6&lt;&gt;"",J6/K6,"")</f>
        <v>5680.7204068749725</v>
      </c>
      <c r="M6" s="624"/>
      <c r="N6" s="291" t="s">
        <v>1355</v>
      </c>
      <c r="O6" s="722">
        <f>C6-3</f>
        <v>41642</v>
      </c>
      <c r="P6" s="296">
        <v>530</v>
      </c>
      <c r="Q6" s="750">
        <v>14813</v>
      </c>
      <c r="R6" s="25">
        <f>ROUND(P6*Q6,0)</f>
        <v>7850890</v>
      </c>
      <c r="S6" s="437" t="s">
        <v>330</v>
      </c>
      <c r="T6" s="724">
        <v>41641</v>
      </c>
      <c r="U6" s="750">
        <v>24</v>
      </c>
      <c r="V6" s="750">
        <v>41000</v>
      </c>
      <c r="W6" s="25">
        <f>U6*V6</f>
        <v>984000</v>
      </c>
    </row>
    <row r="7" spans="1:25">
      <c r="A7" s="1112">
        <f>IF(B7&lt;&gt;"",A6+1,"")</f>
        <v>2</v>
      </c>
      <c r="B7" s="1114" t="s">
        <v>421</v>
      </c>
      <c r="C7" s="1116">
        <v>41645</v>
      </c>
      <c r="D7" s="1118" t="s">
        <v>422</v>
      </c>
      <c r="E7" s="1110">
        <f>R7+R8</f>
        <v>5532837</v>
      </c>
      <c r="F7" s="1110">
        <f t="shared" si="0"/>
        <v>291771.14201048552</v>
      </c>
      <c r="G7" s="1110">
        <f t="shared" si="0"/>
        <v>35312.66621077426</v>
      </c>
      <c r="H7" s="1110">
        <f t="shared" si="0"/>
        <v>306207.73497454601</v>
      </c>
      <c r="I7" s="1110">
        <f t="shared" si="0"/>
        <v>346668.18630803132</v>
      </c>
      <c r="J7" s="1110">
        <f t="shared" si="1"/>
        <v>6512796.7295038374</v>
      </c>
      <c r="K7" s="1110">
        <v>500</v>
      </c>
      <c r="L7" s="1110">
        <f>IF(K7&lt;&gt;"",J7/K7,"")</f>
        <v>13025.593459007674</v>
      </c>
      <c r="M7" s="1121"/>
      <c r="N7" s="291" t="s">
        <v>1333</v>
      </c>
      <c r="O7" s="722">
        <f>C7-3</f>
        <v>41642</v>
      </c>
      <c r="P7" s="8">
        <v>90</v>
      </c>
      <c r="Q7" s="750">
        <v>31288</v>
      </c>
      <c r="R7" s="8">
        <f t="shared" ref="R7:R51" si="2">ROUND(P7*Q7,0)</f>
        <v>2815920</v>
      </c>
      <c r="S7" s="438" t="s">
        <v>1322</v>
      </c>
      <c r="T7" s="724">
        <v>41641</v>
      </c>
      <c r="U7" s="748">
        <v>50</v>
      </c>
      <c r="V7" s="748">
        <v>17500</v>
      </c>
      <c r="W7" s="8">
        <f t="shared" ref="W7" si="3">U7*V7</f>
        <v>875000</v>
      </c>
    </row>
    <row r="8" spans="1:25">
      <c r="A8" s="1113"/>
      <c r="B8" s="1115"/>
      <c r="C8" s="1117"/>
      <c r="D8" s="1119"/>
      <c r="E8" s="1111"/>
      <c r="F8" s="1111"/>
      <c r="G8" s="1111"/>
      <c r="H8" s="1111"/>
      <c r="I8" s="1111"/>
      <c r="J8" s="1111"/>
      <c r="K8" s="1111"/>
      <c r="L8" s="1111"/>
      <c r="M8" s="1121"/>
      <c r="N8" s="291" t="s">
        <v>1334</v>
      </c>
      <c r="O8" s="722">
        <f>O7</f>
        <v>41642</v>
      </c>
      <c r="P8" s="294">
        <v>201</v>
      </c>
      <c r="Q8" s="936">
        <v>13517</v>
      </c>
      <c r="R8" s="8">
        <f t="shared" si="2"/>
        <v>2716917</v>
      </c>
      <c r="S8" s="485"/>
      <c r="T8" s="724"/>
      <c r="U8" s="749"/>
      <c r="V8" s="749"/>
      <c r="W8" s="8"/>
    </row>
    <row r="9" spans="1:25">
      <c r="A9" s="707">
        <f>IF(B9&lt;&gt;"",A7+1,"")</f>
        <v>3</v>
      </c>
      <c r="B9" s="291" t="s">
        <v>445</v>
      </c>
      <c r="C9" s="821">
        <v>41645</v>
      </c>
      <c r="D9" s="726" t="s">
        <v>422</v>
      </c>
      <c r="E9" s="25">
        <f t="shared" ref="E9:E51" si="4">R9</f>
        <v>1617624</v>
      </c>
      <c r="F9" s="708">
        <f t="shared" ref="F9:I11" si="5">IF($K$53&lt;&gt;0,F$53/$K$53*$K9,0)</f>
        <v>583542.28402097104</v>
      </c>
      <c r="G9" s="708">
        <f t="shared" si="5"/>
        <v>70625.332421548519</v>
      </c>
      <c r="H9" s="708">
        <f t="shared" si="5"/>
        <v>612415.46994909202</v>
      </c>
      <c r="I9" s="708">
        <f t="shared" si="5"/>
        <v>693336.37261606264</v>
      </c>
      <c r="J9" s="25">
        <f t="shared" si="1"/>
        <v>3577543.4590076748</v>
      </c>
      <c r="K9" s="252">
        <v>1000</v>
      </c>
      <c r="L9" s="708">
        <f t="shared" ref="L9:L51" si="6">IF(K9&lt;&gt;"",J9/K9,"")</f>
        <v>3577.5434590076748</v>
      </c>
      <c r="M9" s="624"/>
      <c r="N9" s="291" t="s">
        <v>1348</v>
      </c>
      <c r="O9" s="722">
        <f>C9-3</f>
        <v>41642</v>
      </c>
      <c r="P9" s="762">
        <v>108</v>
      </c>
      <c r="Q9" s="749">
        <v>14978</v>
      </c>
      <c r="R9" s="8">
        <f t="shared" si="2"/>
        <v>1617624</v>
      </c>
      <c r="S9" s="485"/>
      <c r="T9" s="724"/>
      <c r="U9" s="749"/>
      <c r="V9" s="749"/>
      <c r="W9" s="8"/>
    </row>
    <row r="10" spans="1:25">
      <c r="A10" s="707">
        <f t="shared" ref="A10:A51" si="7">IF(B10&lt;&gt;"",A9+1,"")</f>
        <v>4</v>
      </c>
      <c r="B10" s="291" t="s">
        <v>423</v>
      </c>
      <c r="C10" s="821">
        <v>41664</v>
      </c>
      <c r="D10" s="726" t="s">
        <v>424</v>
      </c>
      <c r="E10" s="25">
        <f t="shared" si="4"/>
        <v>4086300</v>
      </c>
      <c r="F10" s="708">
        <f t="shared" si="5"/>
        <v>297606.5648506952</v>
      </c>
      <c r="G10" s="708">
        <f t="shared" si="5"/>
        <v>36018.919534989749</v>
      </c>
      <c r="H10" s="708">
        <f t="shared" si="5"/>
        <v>312331.88967403688</v>
      </c>
      <c r="I10" s="708">
        <f t="shared" si="5"/>
        <v>353601.55003419193</v>
      </c>
      <c r="J10" s="25">
        <f t="shared" si="1"/>
        <v>5085858.9240939133</v>
      </c>
      <c r="K10" s="252">
        <v>510</v>
      </c>
      <c r="L10" s="708">
        <f t="shared" si="6"/>
        <v>9972.2724001841434</v>
      </c>
      <c r="M10" s="624"/>
      <c r="N10" s="291" t="s">
        <v>1332</v>
      </c>
      <c r="O10" s="722">
        <f>C10-3</f>
        <v>41661</v>
      </c>
      <c r="P10" s="762">
        <v>300</v>
      </c>
      <c r="Q10" s="749">
        <v>13621</v>
      </c>
      <c r="R10" s="8">
        <f t="shared" si="2"/>
        <v>4086300</v>
      </c>
      <c r="S10" s="485"/>
      <c r="T10" s="724"/>
      <c r="U10" s="749"/>
      <c r="V10" s="749"/>
      <c r="W10" s="8"/>
    </row>
    <row r="11" spans="1:25">
      <c r="A11" s="1112">
        <f t="shared" si="7"/>
        <v>5</v>
      </c>
      <c r="B11" s="1114" t="s">
        <v>426</v>
      </c>
      <c r="C11" s="1116">
        <v>41664</v>
      </c>
      <c r="D11" s="1118" t="s">
        <v>427</v>
      </c>
      <c r="E11" s="1110">
        <f>R11+R12</f>
        <v>4998080</v>
      </c>
      <c r="F11" s="1110">
        <f t="shared" si="5"/>
        <v>328534.3059038067</v>
      </c>
      <c r="G11" s="1110">
        <f t="shared" si="5"/>
        <v>39762.062153331819</v>
      </c>
      <c r="H11" s="1110">
        <f t="shared" si="5"/>
        <v>344789.90958133875</v>
      </c>
      <c r="I11" s="1110">
        <f t="shared" si="5"/>
        <v>390348.37778284325</v>
      </c>
      <c r="J11" s="1110">
        <f t="shared" si="1"/>
        <v>6101514.6554213203</v>
      </c>
      <c r="K11" s="1110">
        <v>563</v>
      </c>
      <c r="L11" s="1110">
        <f t="shared" si="6"/>
        <v>10837.503828457053</v>
      </c>
      <c r="M11" s="1120"/>
      <c r="N11" s="291" t="s">
        <v>1326</v>
      </c>
      <c r="O11" s="722">
        <f>C11-3</f>
        <v>41661</v>
      </c>
      <c r="P11" s="8">
        <v>104</v>
      </c>
      <c r="Q11" s="750">
        <v>24095</v>
      </c>
      <c r="R11" s="8">
        <f t="shared" si="2"/>
        <v>2505880</v>
      </c>
      <c r="S11" s="485"/>
      <c r="T11" s="724"/>
      <c r="U11" s="749"/>
      <c r="V11" s="749"/>
      <c r="W11" s="8"/>
    </row>
    <row r="12" spans="1:25">
      <c r="A12" s="1113"/>
      <c r="B12" s="1115"/>
      <c r="C12" s="1117"/>
      <c r="D12" s="1119"/>
      <c r="E12" s="1111"/>
      <c r="F12" s="1111"/>
      <c r="G12" s="1111"/>
      <c r="H12" s="1111"/>
      <c r="I12" s="1111"/>
      <c r="J12" s="1111"/>
      <c r="K12" s="1111"/>
      <c r="L12" s="1111"/>
      <c r="M12" s="1120"/>
      <c r="N12" s="291" t="s">
        <v>1328</v>
      </c>
      <c r="O12" s="722">
        <f>O11</f>
        <v>41661</v>
      </c>
      <c r="P12" s="294">
        <v>100</v>
      </c>
      <c r="Q12" s="936">
        <v>24922</v>
      </c>
      <c r="R12" s="8">
        <f t="shared" si="2"/>
        <v>2492200</v>
      </c>
      <c r="S12" s="485"/>
      <c r="T12" s="724"/>
      <c r="U12" s="749"/>
      <c r="V12" s="749"/>
      <c r="W12" s="8"/>
    </row>
    <row r="13" spans="1:25">
      <c r="A13" s="707">
        <f>IF(B13&lt;&gt;"",A11+1,"")</f>
        <v>6</v>
      </c>
      <c r="B13" s="291" t="s">
        <v>428</v>
      </c>
      <c r="C13" s="821">
        <v>41664</v>
      </c>
      <c r="D13" s="726" t="s">
        <v>427</v>
      </c>
      <c r="E13" s="25">
        <f t="shared" si="4"/>
        <v>1978000</v>
      </c>
      <c r="F13" s="708">
        <f t="shared" ref="F13:I21" si="8">IF($K$53&lt;&gt;0,F$53/$K$53*$K13,0)</f>
        <v>136548.89446090721</v>
      </c>
      <c r="G13" s="708">
        <f t="shared" si="8"/>
        <v>16526.327786642352</v>
      </c>
      <c r="H13" s="708">
        <f t="shared" si="8"/>
        <v>143305.21996808753</v>
      </c>
      <c r="I13" s="708">
        <f t="shared" si="8"/>
        <v>162240.71119215863</v>
      </c>
      <c r="J13" s="25">
        <f t="shared" si="1"/>
        <v>2436621.1534077954</v>
      </c>
      <c r="K13" s="252">
        <v>234</v>
      </c>
      <c r="L13" s="708">
        <f t="shared" si="6"/>
        <v>10412.910911999126</v>
      </c>
      <c r="M13" s="624"/>
      <c r="N13" s="291" t="s">
        <v>1354</v>
      </c>
      <c r="O13" s="722">
        <f t="shared" ref="O13:O21" si="9">C13-3</f>
        <v>41661</v>
      </c>
      <c r="P13" s="762">
        <v>215</v>
      </c>
      <c r="Q13" s="749">
        <v>9200</v>
      </c>
      <c r="R13" s="8">
        <f t="shared" si="2"/>
        <v>1978000</v>
      </c>
      <c r="S13" s="485"/>
      <c r="T13" s="724"/>
      <c r="U13" s="749"/>
      <c r="V13" s="749"/>
      <c r="W13" s="8"/>
    </row>
    <row r="14" spans="1:25">
      <c r="A14" s="707">
        <f t="shared" si="7"/>
        <v>7</v>
      </c>
      <c r="B14" s="291" t="s">
        <v>429</v>
      </c>
      <c r="C14" s="821">
        <v>41664</v>
      </c>
      <c r="D14" s="726" t="s">
        <v>427</v>
      </c>
      <c r="E14" s="25">
        <f t="shared" si="4"/>
        <v>1140600</v>
      </c>
      <c r="F14" s="708">
        <f t="shared" si="8"/>
        <v>135965.35217688626</v>
      </c>
      <c r="G14" s="708">
        <f t="shared" si="8"/>
        <v>16455.702454220806</v>
      </c>
      <c r="H14" s="708">
        <f t="shared" si="8"/>
        <v>142692.80449813843</v>
      </c>
      <c r="I14" s="708">
        <f t="shared" si="8"/>
        <v>161547.37481954257</v>
      </c>
      <c r="J14" s="25">
        <f t="shared" si="1"/>
        <v>1597261.2339487879</v>
      </c>
      <c r="K14" s="252">
        <v>233</v>
      </c>
      <c r="L14" s="708">
        <f t="shared" si="6"/>
        <v>6855.1984289647553</v>
      </c>
      <c r="M14" s="624"/>
      <c r="N14" s="291" t="s">
        <v>1352</v>
      </c>
      <c r="O14" s="722">
        <f t="shared" si="9"/>
        <v>41661</v>
      </c>
      <c r="P14" s="762">
        <v>50</v>
      </c>
      <c r="Q14" s="749">
        <v>22812</v>
      </c>
      <c r="R14" s="8">
        <f t="shared" si="2"/>
        <v>1140600</v>
      </c>
      <c r="S14" s="485"/>
      <c r="T14" s="724"/>
      <c r="U14" s="749"/>
      <c r="V14" s="749"/>
      <c r="W14" s="8"/>
    </row>
    <row r="15" spans="1:25">
      <c r="A15" s="707">
        <f t="shared" si="7"/>
        <v>8</v>
      </c>
      <c r="B15" s="291" t="s">
        <v>430</v>
      </c>
      <c r="C15" s="821">
        <v>41664</v>
      </c>
      <c r="D15" s="726" t="s">
        <v>427</v>
      </c>
      <c r="E15" s="25">
        <f t="shared" si="4"/>
        <v>2217600</v>
      </c>
      <c r="F15" s="708">
        <f t="shared" si="8"/>
        <v>179731.02347845907</v>
      </c>
      <c r="G15" s="708">
        <f t="shared" si="8"/>
        <v>21752.602385836944</v>
      </c>
      <c r="H15" s="708">
        <f t="shared" si="8"/>
        <v>188623.96474432031</v>
      </c>
      <c r="I15" s="708">
        <f t="shared" si="8"/>
        <v>213547.60276574729</v>
      </c>
      <c r="J15" s="25">
        <f t="shared" si="1"/>
        <v>2821255.1933743637</v>
      </c>
      <c r="K15" s="252">
        <v>308</v>
      </c>
      <c r="L15" s="708">
        <f t="shared" si="6"/>
        <v>9159.919459007675</v>
      </c>
      <c r="M15" s="624"/>
      <c r="N15" s="291" t="s">
        <v>1340</v>
      </c>
      <c r="O15" s="722">
        <f t="shared" si="9"/>
        <v>41661</v>
      </c>
      <c r="P15" s="762">
        <v>150</v>
      </c>
      <c r="Q15" s="749">
        <v>14784</v>
      </c>
      <c r="R15" s="8">
        <f t="shared" si="2"/>
        <v>2217600</v>
      </c>
      <c r="S15" s="485"/>
      <c r="T15" s="724"/>
      <c r="U15" s="749"/>
      <c r="V15" s="749"/>
      <c r="W15" s="8"/>
    </row>
    <row r="16" spans="1:25">
      <c r="A16" s="707">
        <f t="shared" si="7"/>
        <v>9</v>
      </c>
      <c r="B16" s="291" t="s">
        <v>431</v>
      </c>
      <c r="C16" s="821">
        <v>41664</v>
      </c>
      <c r="D16" s="726" t="s">
        <v>432</v>
      </c>
      <c r="E16" s="25">
        <f t="shared" si="4"/>
        <v>9953880</v>
      </c>
      <c r="F16" s="708">
        <f t="shared" si="8"/>
        <v>605716.89081376791</v>
      </c>
      <c r="G16" s="708">
        <f t="shared" si="8"/>
        <v>73309.095053567362</v>
      </c>
      <c r="H16" s="708">
        <f t="shared" si="8"/>
        <v>635687.25780715747</v>
      </c>
      <c r="I16" s="708">
        <f t="shared" si="8"/>
        <v>719683.15477547294</v>
      </c>
      <c r="J16" s="25">
        <f t="shared" si="1"/>
        <v>11988276.398449965</v>
      </c>
      <c r="K16" s="252">
        <v>1038</v>
      </c>
      <c r="L16" s="708">
        <f t="shared" si="6"/>
        <v>11549.3992277938</v>
      </c>
      <c r="M16" s="624"/>
      <c r="N16" s="192" t="s">
        <v>995</v>
      </c>
      <c r="O16" s="722">
        <f t="shared" si="9"/>
        <v>41661</v>
      </c>
      <c r="P16" s="762">
        <v>654</v>
      </c>
      <c r="Q16" s="749">
        <v>15220</v>
      </c>
      <c r="R16" s="8">
        <f t="shared" si="2"/>
        <v>9953880</v>
      </c>
      <c r="S16" s="485"/>
      <c r="T16" s="724"/>
      <c r="U16" s="749"/>
      <c r="V16" s="749"/>
      <c r="W16" s="8"/>
    </row>
    <row r="17" spans="1:23">
      <c r="A17" s="707">
        <f t="shared" si="7"/>
        <v>10</v>
      </c>
      <c r="B17" s="291" t="s">
        <v>433</v>
      </c>
      <c r="C17" s="821">
        <v>41664</v>
      </c>
      <c r="D17" s="726" t="s">
        <v>434</v>
      </c>
      <c r="E17" s="25">
        <f t="shared" si="4"/>
        <v>2321182</v>
      </c>
      <c r="F17" s="708">
        <f t="shared" si="8"/>
        <v>116708.4568041942</v>
      </c>
      <c r="G17" s="708">
        <f t="shared" si="8"/>
        <v>14125.066484309704</v>
      </c>
      <c r="H17" s="708">
        <f t="shared" si="8"/>
        <v>122483.0939898184</v>
      </c>
      <c r="I17" s="708">
        <f t="shared" si="8"/>
        <v>138667.27452321252</v>
      </c>
      <c r="J17" s="25">
        <f t="shared" si="1"/>
        <v>2713165.8918015347</v>
      </c>
      <c r="K17" s="252">
        <v>200</v>
      </c>
      <c r="L17" s="708">
        <f t="shared" si="6"/>
        <v>13565.829459007673</v>
      </c>
      <c r="M17" s="624"/>
      <c r="N17" s="291" t="s">
        <v>1344</v>
      </c>
      <c r="O17" s="722">
        <f t="shared" si="9"/>
        <v>41661</v>
      </c>
      <c r="P17" s="762">
        <v>101</v>
      </c>
      <c r="Q17" s="749">
        <v>22982</v>
      </c>
      <c r="R17" s="8">
        <f t="shared" si="2"/>
        <v>2321182</v>
      </c>
      <c r="S17" s="485"/>
      <c r="T17" s="724"/>
      <c r="U17" s="749"/>
      <c r="V17" s="749"/>
      <c r="W17" s="8"/>
    </row>
    <row r="18" spans="1:23">
      <c r="A18" s="707">
        <f t="shared" si="7"/>
        <v>11</v>
      </c>
      <c r="B18" s="291" t="s">
        <v>436</v>
      </c>
      <c r="C18" s="821">
        <v>41684</v>
      </c>
      <c r="D18" s="726" t="s">
        <v>437</v>
      </c>
      <c r="E18" s="25">
        <f t="shared" si="4"/>
        <v>4522231</v>
      </c>
      <c r="F18" s="708">
        <f t="shared" si="8"/>
        <v>343122.86300433095</v>
      </c>
      <c r="G18" s="708">
        <f t="shared" si="8"/>
        <v>41527.695463870528</v>
      </c>
      <c r="H18" s="708">
        <f t="shared" si="8"/>
        <v>360100.29633006611</v>
      </c>
      <c r="I18" s="708">
        <f t="shared" si="8"/>
        <v>407681.78709824482</v>
      </c>
      <c r="J18" s="25">
        <f t="shared" si="1"/>
        <v>5674663.6418965124</v>
      </c>
      <c r="K18" s="252">
        <v>588</v>
      </c>
      <c r="L18" s="708">
        <f t="shared" si="6"/>
        <v>9650.7885066267208</v>
      </c>
      <c r="M18" s="624"/>
      <c r="N18" s="291" t="s">
        <v>1343</v>
      </c>
      <c r="O18" s="722">
        <f t="shared" si="9"/>
        <v>41681</v>
      </c>
      <c r="P18" s="762">
        <v>203</v>
      </c>
      <c r="Q18" s="749">
        <v>22277</v>
      </c>
      <c r="R18" s="8">
        <f t="shared" si="2"/>
        <v>4522231</v>
      </c>
      <c r="S18" s="485"/>
      <c r="T18" s="724"/>
      <c r="U18" s="749"/>
      <c r="V18" s="749"/>
      <c r="W18" s="8"/>
    </row>
    <row r="19" spans="1:23">
      <c r="A19" s="707">
        <f t="shared" si="7"/>
        <v>12</v>
      </c>
      <c r="B19" s="291" t="s">
        <v>436</v>
      </c>
      <c r="C19" s="821">
        <v>41684</v>
      </c>
      <c r="D19" s="726" t="s">
        <v>437</v>
      </c>
      <c r="E19" s="25">
        <f t="shared" si="4"/>
        <v>4215295</v>
      </c>
      <c r="F19" s="708">
        <f t="shared" si="8"/>
        <v>348958.28584454069</v>
      </c>
      <c r="G19" s="708">
        <f t="shared" si="8"/>
        <v>42233.948788086018</v>
      </c>
      <c r="H19" s="708">
        <f t="shared" si="8"/>
        <v>366224.45102955698</v>
      </c>
      <c r="I19" s="708">
        <f t="shared" si="8"/>
        <v>414615.15082440543</v>
      </c>
      <c r="J19" s="25">
        <f t="shared" si="1"/>
        <v>5387326.8364865882</v>
      </c>
      <c r="K19" s="252">
        <v>598</v>
      </c>
      <c r="L19" s="708">
        <f t="shared" si="6"/>
        <v>9008.9077533220534</v>
      </c>
      <c r="M19" s="624"/>
      <c r="N19" s="291" t="s">
        <v>1342</v>
      </c>
      <c r="O19" s="722">
        <f t="shared" si="9"/>
        <v>41681</v>
      </c>
      <c r="P19" s="762">
        <v>203</v>
      </c>
      <c r="Q19" s="749">
        <v>20765</v>
      </c>
      <c r="R19" s="8">
        <f t="shared" si="2"/>
        <v>4215295</v>
      </c>
      <c r="S19" s="485"/>
      <c r="T19" s="724"/>
      <c r="U19" s="749"/>
      <c r="V19" s="749"/>
      <c r="W19" s="8"/>
    </row>
    <row r="20" spans="1:23">
      <c r="A20" s="707">
        <f t="shared" si="7"/>
        <v>13</v>
      </c>
      <c r="B20" s="291" t="s">
        <v>439</v>
      </c>
      <c r="C20" s="821">
        <v>41689</v>
      </c>
      <c r="D20" s="726" t="s">
        <v>440</v>
      </c>
      <c r="E20" s="25">
        <f t="shared" si="4"/>
        <v>2389000</v>
      </c>
      <c r="F20" s="708">
        <f t="shared" si="8"/>
        <v>93366.765443355369</v>
      </c>
      <c r="G20" s="708">
        <f t="shared" si="8"/>
        <v>11300.053187447764</v>
      </c>
      <c r="H20" s="708">
        <f t="shared" si="8"/>
        <v>97986.475191854712</v>
      </c>
      <c r="I20" s="708">
        <f t="shared" si="8"/>
        <v>110933.81961857001</v>
      </c>
      <c r="J20" s="25">
        <f t="shared" si="1"/>
        <v>2702587.1134412279</v>
      </c>
      <c r="K20" s="252">
        <v>160</v>
      </c>
      <c r="L20" s="708">
        <f t="shared" si="6"/>
        <v>16891.169459007673</v>
      </c>
      <c r="M20" s="624"/>
      <c r="N20" s="291" t="s">
        <v>1345</v>
      </c>
      <c r="O20" s="722">
        <f t="shared" si="9"/>
        <v>41686</v>
      </c>
      <c r="P20" s="762">
        <v>100</v>
      </c>
      <c r="Q20" s="749">
        <v>23890</v>
      </c>
      <c r="R20" s="8">
        <f t="shared" si="2"/>
        <v>2389000</v>
      </c>
      <c r="S20" s="485"/>
      <c r="T20" s="724"/>
      <c r="U20" s="749"/>
      <c r="V20" s="749"/>
      <c r="W20" s="8"/>
    </row>
    <row r="21" spans="1:23">
      <c r="A21" s="1112">
        <f t="shared" si="7"/>
        <v>14</v>
      </c>
      <c r="B21" s="1114" t="s">
        <v>423</v>
      </c>
      <c r="C21" s="1116">
        <v>41690</v>
      </c>
      <c r="D21" s="1118" t="s">
        <v>442</v>
      </c>
      <c r="E21" s="1110">
        <f>R21+R22</f>
        <v>4505800</v>
      </c>
      <c r="F21" s="1110">
        <f t="shared" si="8"/>
        <v>291771.14201048552</v>
      </c>
      <c r="G21" s="1110">
        <f t="shared" si="8"/>
        <v>35312.66621077426</v>
      </c>
      <c r="H21" s="1110">
        <f t="shared" si="8"/>
        <v>306207.73497454601</v>
      </c>
      <c r="I21" s="1110">
        <f t="shared" si="8"/>
        <v>346668.18630803132</v>
      </c>
      <c r="J21" s="1110">
        <f t="shared" si="1"/>
        <v>5485759.7295038374</v>
      </c>
      <c r="K21" s="1110">
        <v>500</v>
      </c>
      <c r="L21" s="1110">
        <f t="shared" si="6"/>
        <v>10971.519459007675</v>
      </c>
      <c r="M21" s="624"/>
      <c r="N21" s="291" t="s">
        <v>1323</v>
      </c>
      <c r="O21" s="722">
        <f t="shared" si="9"/>
        <v>41687</v>
      </c>
      <c r="P21" s="762">
        <v>100</v>
      </c>
      <c r="Q21" s="749">
        <v>23210</v>
      </c>
      <c r="R21" s="8">
        <f t="shared" si="2"/>
        <v>2321000</v>
      </c>
      <c r="S21" s="485"/>
      <c r="T21" s="724"/>
      <c r="U21" s="749"/>
      <c r="V21" s="749"/>
      <c r="W21" s="8"/>
    </row>
    <row r="22" spans="1:23">
      <c r="A22" s="1113"/>
      <c r="B22" s="1115"/>
      <c r="C22" s="1117"/>
      <c r="D22" s="1119"/>
      <c r="E22" s="1111"/>
      <c r="F22" s="1111"/>
      <c r="G22" s="1111"/>
      <c r="H22" s="1111"/>
      <c r="I22" s="1111"/>
      <c r="J22" s="1111"/>
      <c r="K22" s="1111"/>
      <c r="L22" s="1111"/>
      <c r="M22" s="624"/>
      <c r="N22" s="291" t="s">
        <v>1324</v>
      </c>
      <c r="O22" s="722">
        <f>O21</f>
        <v>41687</v>
      </c>
      <c r="P22" s="762">
        <v>100</v>
      </c>
      <c r="Q22" s="936">
        <v>21848</v>
      </c>
      <c r="R22" s="8">
        <f t="shared" si="2"/>
        <v>2184800</v>
      </c>
      <c r="S22" s="485"/>
      <c r="T22" s="724"/>
      <c r="U22" s="749"/>
      <c r="V22" s="749"/>
      <c r="W22" s="8"/>
    </row>
    <row r="23" spans="1:23">
      <c r="A23" s="707">
        <f>IF(B23&lt;&gt;"",A21+1,"")</f>
        <v>15</v>
      </c>
      <c r="B23" s="291" t="s">
        <v>436</v>
      </c>
      <c r="C23" s="821">
        <v>41691</v>
      </c>
      <c r="D23" s="726" t="s">
        <v>443</v>
      </c>
      <c r="E23" s="25">
        <f t="shared" si="4"/>
        <v>4517965</v>
      </c>
      <c r="F23" s="708">
        <f t="shared" ref="F23:I24" si="10">IF($K$53&lt;&gt;0,F$53/$K$53*$K23,0)</f>
        <v>354793.70868475037</v>
      </c>
      <c r="G23" s="708">
        <f t="shared" si="10"/>
        <v>42940.2021123015</v>
      </c>
      <c r="H23" s="708">
        <f t="shared" si="10"/>
        <v>372348.60572904791</v>
      </c>
      <c r="I23" s="708">
        <f t="shared" si="10"/>
        <v>421548.51455056603</v>
      </c>
      <c r="J23" s="25">
        <f t="shared" si="1"/>
        <v>5709596.031076665</v>
      </c>
      <c r="K23" s="252">
        <v>608</v>
      </c>
      <c r="L23" s="708">
        <f t="shared" si="6"/>
        <v>9390.7829458497781</v>
      </c>
      <c r="M23" s="624"/>
      <c r="N23" s="291" t="s">
        <v>1355</v>
      </c>
      <c r="O23" s="722">
        <f>C23-3</f>
        <v>41688</v>
      </c>
      <c r="P23" s="8">
        <v>305</v>
      </c>
      <c r="Q23" s="750">
        <v>14813</v>
      </c>
      <c r="R23" s="8">
        <f t="shared" si="2"/>
        <v>4517965</v>
      </c>
      <c r="S23" s="485"/>
      <c r="T23" s="724"/>
      <c r="U23" s="749"/>
      <c r="V23" s="749"/>
      <c r="W23" s="8"/>
    </row>
    <row r="24" spans="1:23">
      <c r="A24" s="1112">
        <f t="shared" si="7"/>
        <v>16</v>
      </c>
      <c r="B24" s="1114" t="s">
        <v>436</v>
      </c>
      <c r="C24" s="1116">
        <v>41691</v>
      </c>
      <c r="D24" s="1118" t="s">
        <v>443</v>
      </c>
      <c r="E24" s="1110">
        <f>R24+R25</f>
        <v>5111114</v>
      </c>
      <c r="F24" s="1110">
        <f t="shared" si="10"/>
        <v>369382.26578527468</v>
      </c>
      <c r="G24" s="1110">
        <f t="shared" si="10"/>
        <v>44705.835422840217</v>
      </c>
      <c r="H24" s="1110">
        <f t="shared" si="10"/>
        <v>387658.9924777752</v>
      </c>
      <c r="I24" s="1110">
        <f t="shared" si="10"/>
        <v>438881.9238659676</v>
      </c>
      <c r="J24" s="1110">
        <f t="shared" si="1"/>
        <v>6351743.017551858</v>
      </c>
      <c r="K24" s="1110">
        <v>633</v>
      </c>
      <c r="L24" s="1110">
        <f t="shared" si="6"/>
        <v>10034.349158849696</v>
      </c>
      <c r="M24" s="624"/>
      <c r="N24" s="291" t="s">
        <v>1330</v>
      </c>
      <c r="O24" s="722">
        <f>C24-3</f>
        <v>41688</v>
      </c>
      <c r="P24" s="762">
        <v>188</v>
      </c>
      <c r="Q24" s="749">
        <v>13125</v>
      </c>
      <c r="R24" s="8">
        <f t="shared" si="2"/>
        <v>2467500</v>
      </c>
      <c r="S24" s="485"/>
      <c r="T24" s="724"/>
      <c r="U24" s="749"/>
      <c r="V24" s="749"/>
      <c r="W24" s="8"/>
    </row>
    <row r="25" spans="1:23">
      <c r="A25" s="1113"/>
      <c r="B25" s="1115"/>
      <c r="C25" s="1117"/>
      <c r="D25" s="1119"/>
      <c r="E25" s="1111"/>
      <c r="F25" s="1111"/>
      <c r="G25" s="1111"/>
      <c r="H25" s="1111"/>
      <c r="I25" s="1111"/>
      <c r="J25" s="1111"/>
      <c r="K25" s="1111"/>
      <c r="L25" s="1111"/>
      <c r="M25" s="624"/>
      <c r="N25" s="291" t="s">
        <v>1336</v>
      </c>
      <c r="O25" s="722">
        <f>O24</f>
        <v>41688</v>
      </c>
      <c r="P25" s="762">
        <v>142</v>
      </c>
      <c r="Q25" s="749">
        <v>18617</v>
      </c>
      <c r="R25" s="8">
        <f t="shared" si="2"/>
        <v>2643614</v>
      </c>
      <c r="S25" s="485"/>
      <c r="T25" s="724"/>
      <c r="U25" s="749"/>
      <c r="V25" s="749"/>
      <c r="W25" s="8"/>
    </row>
    <row r="26" spans="1:23">
      <c r="A26" s="707">
        <f>IF(B26&lt;&gt;"",A24+1,"")</f>
        <v>17</v>
      </c>
      <c r="B26" s="291" t="s">
        <v>421</v>
      </c>
      <c r="C26" s="821">
        <v>41694</v>
      </c>
      <c r="D26" s="726" t="s">
        <v>444</v>
      </c>
      <c r="E26" s="25">
        <f t="shared" si="4"/>
        <v>6725750</v>
      </c>
      <c r="F26" s="708">
        <f t="shared" ref="F26:I29" si="11">IF($K$53&lt;&gt;0,F$53/$K$53*$K26,0)</f>
        <v>285935.71917027578</v>
      </c>
      <c r="G26" s="708">
        <f t="shared" si="11"/>
        <v>34606.412886558777</v>
      </c>
      <c r="H26" s="708">
        <f t="shared" si="11"/>
        <v>300083.58027505508</v>
      </c>
      <c r="I26" s="708">
        <f t="shared" si="11"/>
        <v>339734.82258187066</v>
      </c>
      <c r="J26" s="25">
        <f t="shared" si="1"/>
        <v>7686110.5349137606</v>
      </c>
      <c r="K26" s="252">
        <v>490</v>
      </c>
      <c r="L26" s="708">
        <f t="shared" si="6"/>
        <v>15685.93986717094</v>
      </c>
      <c r="M26" s="624"/>
      <c r="N26" s="291" t="s">
        <v>1353</v>
      </c>
      <c r="O26" s="722">
        <f t="shared" ref="O26:O51" si="12">C26-3</f>
        <v>41691</v>
      </c>
      <c r="P26" s="762">
        <v>250</v>
      </c>
      <c r="Q26" s="749">
        <v>26903</v>
      </c>
      <c r="R26" s="8">
        <f t="shared" si="2"/>
        <v>6725750</v>
      </c>
      <c r="S26" s="485"/>
      <c r="T26" s="724"/>
      <c r="U26" s="749"/>
      <c r="V26" s="749"/>
      <c r="W26" s="8"/>
    </row>
    <row r="27" spans="1:23">
      <c r="A27" s="707">
        <f t="shared" si="7"/>
        <v>18</v>
      </c>
      <c r="B27" s="291" t="s">
        <v>445</v>
      </c>
      <c r="C27" s="821">
        <v>41694</v>
      </c>
      <c r="D27" s="726" t="s">
        <v>444</v>
      </c>
      <c r="E27" s="25">
        <f t="shared" si="4"/>
        <v>1021000</v>
      </c>
      <c r="F27" s="708">
        <f t="shared" si="11"/>
        <v>571871.43834055157</v>
      </c>
      <c r="G27" s="708">
        <f t="shared" si="11"/>
        <v>69212.825773117554</v>
      </c>
      <c r="H27" s="708">
        <f t="shared" si="11"/>
        <v>600167.16055011016</v>
      </c>
      <c r="I27" s="708">
        <f t="shared" si="11"/>
        <v>679469.64516374131</v>
      </c>
      <c r="J27" s="25">
        <f t="shared" si="1"/>
        <v>2941721.0698275208</v>
      </c>
      <c r="K27" s="252">
        <v>980</v>
      </c>
      <c r="L27" s="708">
        <f t="shared" si="6"/>
        <v>3001.7561937015516</v>
      </c>
      <c r="M27" s="624"/>
      <c r="N27" s="291" t="s">
        <v>1350</v>
      </c>
      <c r="O27" s="722">
        <f t="shared" si="12"/>
        <v>41691</v>
      </c>
      <c r="P27" s="762">
        <v>50</v>
      </c>
      <c r="Q27" s="749">
        <v>20420</v>
      </c>
      <c r="R27" s="8">
        <f t="shared" si="2"/>
        <v>1021000</v>
      </c>
      <c r="S27" s="485"/>
      <c r="T27" s="724"/>
      <c r="U27" s="749"/>
      <c r="V27" s="749"/>
      <c r="W27" s="8"/>
    </row>
    <row r="28" spans="1:23">
      <c r="A28" s="707">
        <f t="shared" si="7"/>
        <v>19</v>
      </c>
      <c r="B28" s="291" t="s">
        <v>446</v>
      </c>
      <c r="C28" s="821">
        <v>41697</v>
      </c>
      <c r="D28" s="726" t="s">
        <v>447</v>
      </c>
      <c r="E28" s="25">
        <f t="shared" si="4"/>
        <v>7610000</v>
      </c>
      <c r="F28" s="708">
        <f t="shared" si="11"/>
        <v>1458855.7100524276</v>
      </c>
      <c r="G28" s="708">
        <f t="shared" si="11"/>
        <v>176563.33105387131</v>
      </c>
      <c r="H28" s="708">
        <f t="shared" si="11"/>
        <v>1531038.6748727299</v>
      </c>
      <c r="I28" s="708">
        <f t="shared" si="11"/>
        <v>1733340.9315401565</v>
      </c>
      <c r="J28" s="25">
        <f t="shared" si="1"/>
        <v>12509798.647519184</v>
      </c>
      <c r="K28" s="252">
        <v>2500</v>
      </c>
      <c r="L28" s="708">
        <f t="shared" si="6"/>
        <v>5003.919459007674</v>
      </c>
      <c r="M28" s="624"/>
      <c r="N28" s="192" t="s">
        <v>995</v>
      </c>
      <c r="O28" s="722">
        <f t="shared" si="12"/>
        <v>41694</v>
      </c>
      <c r="P28" s="762">
        <v>500</v>
      </c>
      <c r="Q28" s="749">
        <v>15220</v>
      </c>
      <c r="R28" s="8">
        <f t="shared" si="2"/>
        <v>7610000</v>
      </c>
      <c r="S28" s="485"/>
      <c r="T28" s="724"/>
      <c r="U28" s="749"/>
      <c r="V28" s="749"/>
      <c r="W28" s="8"/>
    </row>
    <row r="29" spans="1:23">
      <c r="A29" s="707">
        <f t="shared" si="7"/>
        <v>20</v>
      </c>
      <c r="B29" s="291" t="s">
        <v>448</v>
      </c>
      <c r="C29" s="821">
        <v>41698</v>
      </c>
      <c r="D29" s="726" t="s">
        <v>449</v>
      </c>
      <c r="E29" s="25">
        <f t="shared" si="4"/>
        <v>1709775</v>
      </c>
      <c r="F29" s="708">
        <f t="shared" si="11"/>
        <v>182648.73489856394</v>
      </c>
      <c r="G29" s="708">
        <f t="shared" si="11"/>
        <v>22105.729047944686</v>
      </c>
      <c r="H29" s="708">
        <f t="shared" si="11"/>
        <v>191686.04209406578</v>
      </c>
      <c r="I29" s="708">
        <f t="shared" si="11"/>
        <v>217014.28462882759</v>
      </c>
      <c r="J29" s="25">
        <f t="shared" si="1"/>
        <v>2323229.7906694021</v>
      </c>
      <c r="K29" s="252">
        <v>313</v>
      </c>
      <c r="L29" s="708">
        <f t="shared" si="6"/>
        <v>7422.4593951099105</v>
      </c>
      <c r="M29" s="624"/>
      <c r="N29" s="291" t="s">
        <v>1360</v>
      </c>
      <c r="O29" s="722">
        <f t="shared" si="12"/>
        <v>41695</v>
      </c>
      <c r="P29" s="762">
        <v>135</v>
      </c>
      <c r="Q29" s="749">
        <v>12665</v>
      </c>
      <c r="R29" s="8">
        <f t="shared" si="2"/>
        <v>1709775</v>
      </c>
      <c r="S29" s="485"/>
      <c r="T29" s="724"/>
      <c r="U29" s="749"/>
      <c r="V29" s="749"/>
      <c r="W29" s="8"/>
    </row>
    <row r="30" spans="1:23">
      <c r="A30" s="707">
        <f t="shared" si="7"/>
        <v>21</v>
      </c>
      <c r="B30" s="291" t="s">
        <v>430</v>
      </c>
      <c r="C30" s="821">
        <v>41698</v>
      </c>
      <c r="D30" s="726" t="s">
        <v>449</v>
      </c>
      <c r="E30" s="25">
        <f t="shared" si="4"/>
        <v>4111348</v>
      </c>
      <c r="F30" s="708">
        <f t="shared" ref="F30:I51" si="13">IF($K$53&lt;&gt;0,F$53/$K$53*$K30,0)</f>
        <v>341955.77843628899</v>
      </c>
      <c r="G30" s="708">
        <f t="shared" si="13"/>
        <v>41386.444799027435</v>
      </c>
      <c r="H30" s="708">
        <f t="shared" si="13"/>
        <v>358875.4653901679</v>
      </c>
      <c r="I30" s="708">
        <f t="shared" si="13"/>
        <v>406295.1143530127</v>
      </c>
      <c r="J30" s="25">
        <f t="shared" si="1"/>
        <v>5259860.802978497</v>
      </c>
      <c r="K30" s="252">
        <v>586</v>
      </c>
      <c r="L30" s="708">
        <f t="shared" si="6"/>
        <v>8975.8716774377081</v>
      </c>
      <c r="M30" s="624"/>
      <c r="N30" s="291" t="s">
        <v>1341</v>
      </c>
      <c r="O30" s="722">
        <f t="shared" si="12"/>
        <v>41695</v>
      </c>
      <c r="P30" s="762">
        <v>206</v>
      </c>
      <c r="Q30" s="749">
        <v>19958</v>
      </c>
      <c r="R30" s="8">
        <f t="shared" si="2"/>
        <v>4111348</v>
      </c>
      <c r="S30" s="485"/>
      <c r="T30" s="724"/>
      <c r="U30" s="749"/>
      <c r="V30" s="749"/>
      <c r="W30" s="8"/>
    </row>
    <row r="31" spans="1:23">
      <c r="A31" s="707">
        <f t="shared" si="7"/>
        <v>22</v>
      </c>
      <c r="B31" s="291" t="s">
        <v>450</v>
      </c>
      <c r="C31" s="821">
        <v>41698</v>
      </c>
      <c r="D31" s="726" t="s">
        <v>449</v>
      </c>
      <c r="E31" s="25">
        <f t="shared" si="4"/>
        <v>3435742</v>
      </c>
      <c r="F31" s="708">
        <f t="shared" si="13"/>
        <v>180898.108046501</v>
      </c>
      <c r="G31" s="708">
        <f t="shared" si="13"/>
        <v>21893.853050680042</v>
      </c>
      <c r="H31" s="708">
        <f t="shared" si="13"/>
        <v>189848.79568421852</v>
      </c>
      <c r="I31" s="708">
        <f t="shared" si="13"/>
        <v>214934.27551097941</v>
      </c>
      <c r="J31" s="25">
        <f t="shared" si="1"/>
        <v>4043317.0322923786</v>
      </c>
      <c r="K31" s="252">
        <v>310</v>
      </c>
      <c r="L31" s="708">
        <f t="shared" si="6"/>
        <v>13042.958168685092</v>
      </c>
      <c r="M31" s="624"/>
      <c r="N31" s="291" t="s">
        <v>1358</v>
      </c>
      <c r="O31" s="722">
        <f t="shared" si="12"/>
        <v>41695</v>
      </c>
      <c r="P31" s="762">
        <v>406</v>
      </c>
      <c r="Q31" s="749">
        <v>8462.4187192118225</v>
      </c>
      <c r="R31" s="8">
        <f t="shared" si="2"/>
        <v>3435742</v>
      </c>
      <c r="S31" s="485"/>
      <c r="T31" s="724"/>
      <c r="U31" s="749"/>
      <c r="V31" s="749"/>
      <c r="W31" s="8"/>
    </row>
    <row r="32" spans="1:23">
      <c r="A32" s="707">
        <f t="shared" si="7"/>
        <v>23</v>
      </c>
      <c r="B32" s="291" t="s">
        <v>451</v>
      </c>
      <c r="C32" s="821">
        <v>41698</v>
      </c>
      <c r="D32" s="726" t="s">
        <v>449</v>
      </c>
      <c r="E32" s="25">
        <f t="shared" si="4"/>
        <v>1449350</v>
      </c>
      <c r="F32" s="708">
        <f t="shared" si="13"/>
        <v>116708.4568041942</v>
      </c>
      <c r="G32" s="708">
        <f t="shared" si="13"/>
        <v>14125.066484309704</v>
      </c>
      <c r="H32" s="708">
        <f t="shared" si="13"/>
        <v>122483.0939898184</v>
      </c>
      <c r="I32" s="708">
        <f t="shared" si="13"/>
        <v>138667.27452321252</v>
      </c>
      <c r="J32" s="25">
        <f t="shared" si="1"/>
        <v>1841333.8918015349</v>
      </c>
      <c r="K32" s="252">
        <v>200</v>
      </c>
      <c r="L32" s="708">
        <f t="shared" si="6"/>
        <v>9206.669459007675</v>
      </c>
      <c r="M32" s="624"/>
      <c r="N32" s="291" t="s">
        <v>1325</v>
      </c>
      <c r="O32" s="722">
        <f t="shared" si="12"/>
        <v>41695</v>
      </c>
      <c r="P32" s="762">
        <v>50</v>
      </c>
      <c r="Q32" s="749">
        <v>28987</v>
      </c>
      <c r="R32" s="8">
        <f t="shared" si="2"/>
        <v>1449350</v>
      </c>
      <c r="S32" s="485"/>
      <c r="T32" s="724"/>
      <c r="U32" s="749"/>
      <c r="V32" s="749"/>
      <c r="W32" s="8"/>
    </row>
    <row r="33" spans="1:23">
      <c r="A33" s="707">
        <f t="shared" si="7"/>
        <v>24</v>
      </c>
      <c r="B33" s="291" t="s">
        <v>452</v>
      </c>
      <c r="C33" s="821">
        <v>41698</v>
      </c>
      <c r="D33" s="726" t="s">
        <v>453</v>
      </c>
      <c r="E33" s="25">
        <f t="shared" si="4"/>
        <v>2318400</v>
      </c>
      <c r="F33" s="708">
        <f t="shared" si="13"/>
        <v>122543.87964440392</v>
      </c>
      <c r="G33" s="708">
        <f t="shared" si="13"/>
        <v>14831.31980852519</v>
      </c>
      <c r="H33" s="708">
        <f t="shared" si="13"/>
        <v>128607.24868930932</v>
      </c>
      <c r="I33" s="708">
        <f t="shared" si="13"/>
        <v>145600.63824937315</v>
      </c>
      <c r="J33" s="25">
        <f t="shared" si="1"/>
        <v>2729983.086391611</v>
      </c>
      <c r="K33" s="252">
        <v>210</v>
      </c>
      <c r="L33" s="708">
        <f t="shared" si="6"/>
        <v>12999.919459007671</v>
      </c>
      <c r="M33" s="624"/>
      <c r="N33" s="291" t="s">
        <v>1349</v>
      </c>
      <c r="O33" s="722">
        <f t="shared" si="12"/>
        <v>41695</v>
      </c>
      <c r="P33" s="762">
        <v>150</v>
      </c>
      <c r="Q33" s="749">
        <v>15456</v>
      </c>
      <c r="R33" s="8">
        <f t="shared" si="2"/>
        <v>2318400</v>
      </c>
      <c r="S33" s="485"/>
      <c r="T33" s="724"/>
      <c r="U33" s="749"/>
      <c r="V33" s="749"/>
      <c r="W33" s="8"/>
    </row>
    <row r="34" spans="1:23">
      <c r="A34" s="707">
        <f t="shared" si="7"/>
        <v>25</v>
      </c>
      <c r="B34" s="291" t="s">
        <v>455</v>
      </c>
      <c r="C34" s="821">
        <v>41698</v>
      </c>
      <c r="D34" s="726" t="s">
        <v>453</v>
      </c>
      <c r="E34" s="25">
        <f t="shared" si="4"/>
        <v>2495232</v>
      </c>
      <c r="F34" s="708">
        <f t="shared" si="13"/>
        <v>145885.57100524276</v>
      </c>
      <c r="G34" s="708">
        <f t="shared" si="13"/>
        <v>17656.33310538713</v>
      </c>
      <c r="H34" s="708">
        <f t="shared" si="13"/>
        <v>153103.867487273</v>
      </c>
      <c r="I34" s="708">
        <f t="shared" si="13"/>
        <v>173334.09315401566</v>
      </c>
      <c r="J34" s="25">
        <f t="shared" si="1"/>
        <v>2985211.8647519187</v>
      </c>
      <c r="K34" s="252">
        <v>250</v>
      </c>
      <c r="L34" s="708">
        <f t="shared" si="6"/>
        <v>11940.847459007675</v>
      </c>
      <c r="M34" s="624"/>
      <c r="N34" s="291" t="s">
        <v>1346</v>
      </c>
      <c r="O34" s="722">
        <f t="shared" si="12"/>
        <v>41695</v>
      </c>
      <c r="P34" s="762">
        <v>114</v>
      </c>
      <c r="Q34" s="749">
        <v>21888</v>
      </c>
      <c r="R34" s="8">
        <f t="shared" si="2"/>
        <v>2495232</v>
      </c>
      <c r="S34" s="485"/>
      <c r="T34" s="724"/>
      <c r="U34" s="749"/>
      <c r="V34" s="749"/>
      <c r="W34" s="8"/>
    </row>
    <row r="35" spans="1:23">
      <c r="A35" s="707">
        <f t="shared" si="7"/>
        <v>26</v>
      </c>
      <c r="B35" s="291" t="s">
        <v>456</v>
      </c>
      <c r="C35" s="821">
        <v>41698</v>
      </c>
      <c r="D35" s="726" t="s">
        <v>453</v>
      </c>
      <c r="E35" s="25">
        <f t="shared" si="4"/>
        <v>753662</v>
      </c>
      <c r="F35" s="708">
        <f t="shared" si="13"/>
        <v>58354.228402097098</v>
      </c>
      <c r="G35" s="708">
        <f t="shared" si="13"/>
        <v>7062.5332421548519</v>
      </c>
      <c r="H35" s="708">
        <f t="shared" si="13"/>
        <v>61241.5469949092</v>
      </c>
      <c r="I35" s="708">
        <f t="shared" si="13"/>
        <v>69333.637261606258</v>
      </c>
      <c r="J35" s="25">
        <f t="shared" si="1"/>
        <v>949653.94590076746</v>
      </c>
      <c r="K35" s="252">
        <v>100</v>
      </c>
      <c r="L35" s="708">
        <f t="shared" si="6"/>
        <v>9496.5394590076739</v>
      </c>
      <c r="M35" s="624"/>
      <c r="N35" s="291" t="s">
        <v>1325</v>
      </c>
      <c r="O35" s="722">
        <f t="shared" si="12"/>
        <v>41695</v>
      </c>
      <c r="P35" s="762">
        <v>26</v>
      </c>
      <c r="Q35" s="749">
        <v>28987</v>
      </c>
      <c r="R35" s="8">
        <f t="shared" si="2"/>
        <v>753662</v>
      </c>
      <c r="S35" s="485"/>
      <c r="T35" s="724"/>
      <c r="U35" s="749"/>
      <c r="V35" s="749"/>
      <c r="W35" s="8"/>
    </row>
    <row r="36" spans="1:23">
      <c r="A36" s="707">
        <f t="shared" si="7"/>
        <v>27</v>
      </c>
      <c r="B36" s="291" t="s">
        <v>446</v>
      </c>
      <c r="C36" s="821">
        <v>41698</v>
      </c>
      <c r="D36" s="726" t="s">
        <v>457</v>
      </c>
      <c r="E36" s="25">
        <f t="shared" si="4"/>
        <v>2560300</v>
      </c>
      <c r="F36" s="708">
        <f t="shared" si="13"/>
        <v>291771.14201048552</v>
      </c>
      <c r="G36" s="708">
        <f t="shared" si="13"/>
        <v>35312.66621077426</v>
      </c>
      <c r="H36" s="708">
        <f t="shared" si="13"/>
        <v>306207.73497454601</v>
      </c>
      <c r="I36" s="708">
        <f t="shared" si="13"/>
        <v>346668.18630803132</v>
      </c>
      <c r="J36" s="25">
        <f t="shared" si="1"/>
        <v>3540259.7295038374</v>
      </c>
      <c r="K36" s="252">
        <v>500</v>
      </c>
      <c r="L36" s="708">
        <f t="shared" si="6"/>
        <v>7080.5194590076744</v>
      </c>
      <c r="M36" s="624"/>
      <c r="N36" s="291" t="s">
        <v>1347</v>
      </c>
      <c r="O36" s="722">
        <f t="shared" si="12"/>
        <v>41695</v>
      </c>
      <c r="P36" s="762">
        <v>100</v>
      </c>
      <c r="Q36" s="749">
        <v>25603</v>
      </c>
      <c r="R36" s="8">
        <f t="shared" si="2"/>
        <v>2560300</v>
      </c>
      <c r="S36" s="485"/>
      <c r="T36" s="724"/>
      <c r="U36" s="749"/>
      <c r="V36" s="749"/>
      <c r="W36" s="8"/>
    </row>
    <row r="37" spans="1:23">
      <c r="A37" s="707">
        <f t="shared" si="7"/>
        <v>28</v>
      </c>
      <c r="B37" s="291" t="s">
        <v>459</v>
      </c>
      <c r="C37" s="821">
        <v>41702</v>
      </c>
      <c r="D37" s="726" t="s">
        <v>460</v>
      </c>
      <c r="E37" s="25">
        <f t="shared" si="4"/>
        <v>8040000</v>
      </c>
      <c r="F37" s="708">
        <f t="shared" si="13"/>
        <v>650649.64668338269</v>
      </c>
      <c r="G37" s="708">
        <f t="shared" si="13"/>
        <v>78747.245650026598</v>
      </c>
      <c r="H37" s="708">
        <f t="shared" si="13"/>
        <v>682843.2489932375</v>
      </c>
      <c r="I37" s="708">
        <f t="shared" si="13"/>
        <v>773070.05546690978</v>
      </c>
      <c r="J37" s="25">
        <f t="shared" si="1"/>
        <v>10225310.196793556</v>
      </c>
      <c r="K37" s="252">
        <v>1115</v>
      </c>
      <c r="L37" s="708">
        <f t="shared" si="6"/>
        <v>9170.6817908462381</v>
      </c>
      <c r="M37" s="624"/>
      <c r="N37" s="192" t="s">
        <v>997</v>
      </c>
      <c r="O37" s="722">
        <f t="shared" si="12"/>
        <v>41699</v>
      </c>
      <c r="P37" s="762">
        <v>600</v>
      </c>
      <c r="Q37" s="749">
        <v>13400</v>
      </c>
      <c r="R37" s="8">
        <f t="shared" si="2"/>
        <v>8040000</v>
      </c>
      <c r="S37" s="485"/>
      <c r="T37" s="724"/>
      <c r="U37" s="749"/>
      <c r="V37" s="749"/>
      <c r="W37" s="8"/>
    </row>
    <row r="38" spans="1:23">
      <c r="A38" s="707">
        <f t="shared" si="7"/>
        <v>29</v>
      </c>
      <c r="B38" s="291" t="s">
        <v>423</v>
      </c>
      <c r="C38" s="821">
        <v>41704</v>
      </c>
      <c r="D38" s="726" t="s">
        <v>462</v>
      </c>
      <c r="E38" s="25">
        <f t="shared" si="4"/>
        <v>4448000</v>
      </c>
      <c r="F38" s="708">
        <f t="shared" si="13"/>
        <v>294688.85343059036</v>
      </c>
      <c r="G38" s="708">
        <f t="shared" si="13"/>
        <v>35665.792872882004</v>
      </c>
      <c r="H38" s="708">
        <f t="shared" si="13"/>
        <v>309269.81232429144</v>
      </c>
      <c r="I38" s="708">
        <f t="shared" si="13"/>
        <v>350134.86817111162</v>
      </c>
      <c r="J38" s="25">
        <f t="shared" si="1"/>
        <v>5437759.3267988758</v>
      </c>
      <c r="K38" s="252">
        <v>505</v>
      </c>
      <c r="L38" s="708">
        <f t="shared" si="6"/>
        <v>10767.840251086884</v>
      </c>
      <c r="M38" s="624"/>
      <c r="N38" s="291" t="s">
        <v>1356</v>
      </c>
      <c r="O38" s="722">
        <f t="shared" si="12"/>
        <v>41701</v>
      </c>
      <c r="P38" s="762">
        <v>250</v>
      </c>
      <c r="Q38" s="749">
        <v>17792</v>
      </c>
      <c r="R38" s="8">
        <f t="shared" si="2"/>
        <v>4448000</v>
      </c>
      <c r="S38" s="485"/>
      <c r="T38" s="724"/>
      <c r="U38" s="749"/>
      <c r="V38" s="749"/>
      <c r="W38" s="8"/>
    </row>
    <row r="39" spans="1:23">
      <c r="A39" s="707">
        <f t="shared" si="7"/>
        <v>30</v>
      </c>
      <c r="B39" s="291" t="s">
        <v>463</v>
      </c>
      <c r="C39" s="821">
        <v>41704</v>
      </c>
      <c r="D39" s="726" t="s">
        <v>462</v>
      </c>
      <c r="E39" s="25">
        <f t="shared" si="4"/>
        <v>5520800</v>
      </c>
      <c r="F39" s="708">
        <f t="shared" si="13"/>
        <v>303441.98769090493</v>
      </c>
      <c r="G39" s="708">
        <f t="shared" si="13"/>
        <v>36725.172859205231</v>
      </c>
      <c r="H39" s="708">
        <f t="shared" si="13"/>
        <v>318456.04437352781</v>
      </c>
      <c r="I39" s="708">
        <f t="shared" si="13"/>
        <v>360534.91376035253</v>
      </c>
      <c r="J39" s="25">
        <f t="shared" si="1"/>
        <v>6539958.118683991</v>
      </c>
      <c r="K39" s="252">
        <v>520</v>
      </c>
      <c r="L39" s="708">
        <f t="shared" si="6"/>
        <v>12576.842535930751</v>
      </c>
      <c r="M39" s="624"/>
      <c r="N39" s="192" t="s">
        <v>997</v>
      </c>
      <c r="O39" s="722">
        <f t="shared" si="12"/>
        <v>41701</v>
      </c>
      <c r="P39" s="762">
        <v>412</v>
      </c>
      <c r="Q39" s="749">
        <v>13400</v>
      </c>
      <c r="R39" s="8">
        <f t="shared" si="2"/>
        <v>5520800</v>
      </c>
      <c r="S39" s="485"/>
      <c r="T39" s="724"/>
      <c r="U39" s="749"/>
      <c r="V39" s="749"/>
      <c r="W39" s="8"/>
    </row>
    <row r="40" spans="1:23">
      <c r="A40" s="707">
        <f t="shared" si="7"/>
        <v>31</v>
      </c>
      <c r="B40" s="291" t="s">
        <v>446</v>
      </c>
      <c r="C40" s="821">
        <v>41704</v>
      </c>
      <c r="D40" s="726" t="s">
        <v>464</v>
      </c>
      <c r="E40" s="25">
        <f t="shared" si="4"/>
        <v>3220052</v>
      </c>
      <c r="F40" s="708">
        <f t="shared" si="13"/>
        <v>664654.66149988596</v>
      </c>
      <c r="G40" s="708">
        <f t="shared" si="13"/>
        <v>80442.253628143764</v>
      </c>
      <c r="H40" s="708">
        <f t="shared" si="13"/>
        <v>697541.22027201578</v>
      </c>
      <c r="I40" s="708">
        <f t="shared" si="13"/>
        <v>789710.12840969535</v>
      </c>
      <c r="J40" s="25">
        <f t="shared" si="1"/>
        <v>5452400.2638097405</v>
      </c>
      <c r="K40" s="252">
        <v>1139</v>
      </c>
      <c r="L40" s="708">
        <f t="shared" si="6"/>
        <v>4787.0063773571028</v>
      </c>
      <c r="M40" s="624"/>
      <c r="N40" s="291" t="s">
        <v>1339</v>
      </c>
      <c r="O40" s="722">
        <f t="shared" si="12"/>
        <v>41701</v>
      </c>
      <c r="P40" s="762">
        <v>242</v>
      </c>
      <c r="Q40" s="749">
        <v>13306</v>
      </c>
      <c r="R40" s="8">
        <f t="shared" si="2"/>
        <v>3220052</v>
      </c>
      <c r="S40" s="485"/>
      <c r="T40" s="724"/>
      <c r="U40" s="749"/>
      <c r="V40" s="749"/>
      <c r="W40" s="8"/>
    </row>
    <row r="41" spans="1:23">
      <c r="A41" s="707">
        <f t="shared" si="7"/>
        <v>32</v>
      </c>
      <c r="B41" s="291" t="s">
        <v>466</v>
      </c>
      <c r="C41" s="821">
        <v>41710</v>
      </c>
      <c r="D41" s="726" t="s">
        <v>467</v>
      </c>
      <c r="E41" s="25">
        <f t="shared" si="4"/>
        <v>5673752</v>
      </c>
      <c r="F41" s="708">
        <f t="shared" si="13"/>
        <v>955842.26122635056</v>
      </c>
      <c r="G41" s="708">
        <f t="shared" si="13"/>
        <v>115684.29450649647</v>
      </c>
      <c r="H41" s="708">
        <f t="shared" si="13"/>
        <v>1003136.5397766127</v>
      </c>
      <c r="I41" s="708">
        <f t="shared" si="13"/>
        <v>1135684.9783451105</v>
      </c>
      <c r="J41" s="25">
        <f t="shared" si="1"/>
        <v>8884100.0738545712</v>
      </c>
      <c r="K41" s="252">
        <v>1638</v>
      </c>
      <c r="L41" s="708">
        <f t="shared" si="6"/>
        <v>5423.7485188367345</v>
      </c>
      <c r="M41" s="624"/>
      <c r="N41" s="291" t="s">
        <v>1335</v>
      </c>
      <c r="O41" s="722">
        <f t="shared" si="12"/>
        <v>41707</v>
      </c>
      <c r="P41" s="762">
        <v>497</v>
      </c>
      <c r="Q41" s="749">
        <v>11416</v>
      </c>
      <c r="R41" s="8">
        <f t="shared" si="2"/>
        <v>5673752</v>
      </c>
      <c r="S41" s="485"/>
      <c r="T41" s="724"/>
      <c r="U41" s="749"/>
      <c r="V41" s="749"/>
      <c r="W41" s="8"/>
    </row>
    <row r="42" spans="1:23">
      <c r="A42" s="707">
        <f t="shared" si="7"/>
        <v>33</v>
      </c>
      <c r="B42" s="291" t="s">
        <v>446</v>
      </c>
      <c r="C42" s="821">
        <v>41718</v>
      </c>
      <c r="D42" s="726" t="s">
        <v>468</v>
      </c>
      <c r="E42" s="25">
        <f t="shared" si="4"/>
        <v>1216512</v>
      </c>
      <c r="F42" s="708">
        <f t="shared" si="13"/>
        <v>64189.651242306812</v>
      </c>
      <c r="G42" s="708">
        <f t="shared" si="13"/>
        <v>7768.7865663703369</v>
      </c>
      <c r="H42" s="708">
        <f t="shared" si="13"/>
        <v>67365.701694400123</v>
      </c>
      <c r="I42" s="708">
        <f t="shared" si="13"/>
        <v>76267.000987766878</v>
      </c>
      <c r="J42" s="25">
        <f t="shared" si="1"/>
        <v>1432103.1404908441</v>
      </c>
      <c r="K42" s="252">
        <v>110</v>
      </c>
      <c r="L42" s="708">
        <f t="shared" si="6"/>
        <v>13019.119459007674</v>
      </c>
      <c r="M42" s="624"/>
      <c r="N42" s="291" t="s">
        <v>1329</v>
      </c>
      <c r="O42" s="722">
        <f t="shared" si="12"/>
        <v>41715</v>
      </c>
      <c r="P42" s="762">
        <v>110</v>
      </c>
      <c r="Q42" s="749">
        <v>11059.2</v>
      </c>
      <c r="R42" s="8">
        <f t="shared" si="2"/>
        <v>1216512</v>
      </c>
      <c r="S42" s="485"/>
      <c r="T42" s="724"/>
      <c r="U42" s="749"/>
      <c r="V42" s="749"/>
      <c r="W42" s="8"/>
    </row>
    <row r="43" spans="1:23">
      <c r="A43" s="707">
        <f t="shared" si="7"/>
        <v>34</v>
      </c>
      <c r="B43" s="291" t="s">
        <v>470</v>
      </c>
      <c r="C43" s="821">
        <v>41718</v>
      </c>
      <c r="D43" s="726" t="s">
        <v>468</v>
      </c>
      <c r="E43" s="25">
        <f t="shared" si="4"/>
        <v>2738050</v>
      </c>
      <c r="F43" s="708">
        <f t="shared" si="13"/>
        <v>513517.2099384545</v>
      </c>
      <c r="G43" s="708">
        <f t="shared" si="13"/>
        <v>62150.292530962695</v>
      </c>
      <c r="H43" s="708">
        <f t="shared" si="13"/>
        <v>538925.61355520098</v>
      </c>
      <c r="I43" s="708">
        <f t="shared" si="13"/>
        <v>610136.00790213502</v>
      </c>
      <c r="J43" s="25">
        <f t="shared" si="1"/>
        <v>4462779.1239267532</v>
      </c>
      <c r="K43" s="252">
        <v>880</v>
      </c>
      <c r="L43" s="708">
        <f t="shared" si="6"/>
        <v>5071.339913553129</v>
      </c>
      <c r="M43" s="624"/>
      <c r="N43" s="291" t="s">
        <v>1359</v>
      </c>
      <c r="O43" s="722">
        <f t="shared" si="12"/>
        <v>41715</v>
      </c>
      <c r="P43" s="762">
        <v>350</v>
      </c>
      <c r="Q43" s="749">
        <v>7823</v>
      </c>
      <c r="R43" s="8">
        <f t="shared" si="2"/>
        <v>2738050</v>
      </c>
      <c r="S43" s="485"/>
      <c r="T43" s="724"/>
      <c r="U43" s="749"/>
      <c r="V43" s="749"/>
      <c r="W43" s="8"/>
    </row>
    <row r="44" spans="1:23">
      <c r="A44" s="707">
        <f t="shared" si="7"/>
        <v>35</v>
      </c>
      <c r="B44" s="291" t="s">
        <v>446</v>
      </c>
      <c r="C44" s="821">
        <v>41720</v>
      </c>
      <c r="D44" s="726" t="s">
        <v>471</v>
      </c>
      <c r="E44" s="25">
        <f t="shared" si="4"/>
        <v>3825010</v>
      </c>
      <c r="F44" s="708">
        <f t="shared" si="13"/>
        <v>124878.04878048779</v>
      </c>
      <c r="G44" s="708">
        <f t="shared" si="13"/>
        <v>15113.821138211384</v>
      </c>
      <c r="H44" s="708">
        <f t="shared" si="13"/>
        <v>131056.91056910568</v>
      </c>
      <c r="I44" s="708">
        <f t="shared" si="13"/>
        <v>148373.98373983739</v>
      </c>
      <c r="J44" s="25">
        <f t="shared" si="1"/>
        <v>4244432.7642276427</v>
      </c>
      <c r="K44" s="252">
        <v>214</v>
      </c>
      <c r="L44" s="708">
        <f t="shared" si="6"/>
        <v>19833.797963680572</v>
      </c>
      <c r="M44" s="624"/>
      <c r="N44" s="291" t="s">
        <v>1357</v>
      </c>
      <c r="O44" s="722">
        <f t="shared" si="12"/>
        <v>41717</v>
      </c>
      <c r="P44" s="762">
        <v>265</v>
      </c>
      <c r="Q44" s="749">
        <v>14434</v>
      </c>
      <c r="R44" s="8">
        <f t="shared" si="2"/>
        <v>3825010</v>
      </c>
      <c r="S44" s="485"/>
      <c r="T44" s="724"/>
      <c r="U44" s="749"/>
      <c r="V44" s="749"/>
      <c r="W44" s="8"/>
    </row>
    <row r="45" spans="1:23">
      <c r="A45" s="707">
        <f t="shared" si="7"/>
        <v>36</v>
      </c>
      <c r="B45" s="291" t="s">
        <v>473</v>
      </c>
      <c r="C45" s="821">
        <v>41724</v>
      </c>
      <c r="D45" s="726" t="s">
        <v>474</v>
      </c>
      <c r="E45" s="25">
        <f t="shared" si="4"/>
        <v>10619300</v>
      </c>
      <c r="F45" s="708">
        <f t="shared" si="13"/>
        <v>600465.01025757915</v>
      </c>
      <c r="G45" s="708">
        <f t="shared" si="13"/>
        <v>72673.467061773423</v>
      </c>
      <c r="H45" s="708">
        <f t="shared" si="13"/>
        <v>630175.51857761561</v>
      </c>
      <c r="I45" s="708">
        <f t="shared" si="13"/>
        <v>713443.12742192845</v>
      </c>
      <c r="J45" s="25">
        <f t="shared" si="1"/>
        <v>12636057.123318896</v>
      </c>
      <c r="K45" s="252">
        <v>1029</v>
      </c>
      <c r="L45" s="708">
        <f t="shared" si="6"/>
        <v>12279.93889535364</v>
      </c>
      <c r="M45" s="624"/>
      <c r="N45" s="192" t="s">
        <v>1004</v>
      </c>
      <c r="O45" s="722">
        <f t="shared" si="12"/>
        <v>41721</v>
      </c>
      <c r="P45" s="762">
        <v>515</v>
      </c>
      <c r="Q45" s="749">
        <v>20620</v>
      </c>
      <c r="R45" s="8">
        <f t="shared" si="2"/>
        <v>10619300</v>
      </c>
      <c r="S45" s="485"/>
      <c r="T45" s="724"/>
      <c r="U45" s="749"/>
      <c r="V45" s="749"/>
      <c r="W45" s="8"/>
    </row>
    <row r="46" spans="1:23">
      <c r="A46" s="707">
        <f t="shared" si="7"/>
        <v>37</v>
      </c>
      <c r="B46" s="291" t="s">
        <v>475</v>
      </c>
      <c r="C46" s="821">
        <v>41728</v>
      </c>
      <c r="D46" s="726" t="s">
        <v>476</v>
      </c>
      <c r="E46" s="25">
        <f t="shared" si="4"/>
        <v>628960</v>
      </c>
      <c r="F46" s="708">
        <f t="shared" si="13"/>
        <v>233416.91360838839</v>
      </c>
      <c r="G46" s="708">
        <f t="shared" si="13"/>
        <v>28250.132968619408</v>
      </c>
      <c r="H46" s="708">
        <f t="shared" si="13"/>
        <v>244966.1879796368</v>
      </c>
      <c r="I46" s="708">
        <f t="shared" si="13"/>
        <v>277334.54904642503</v>
      </c>
      <c r="J46" s="25">
        <f t="shared" si="1"/>
        <v>1412927.7836030694</v>
      </c>
      <c r="K46" s="252">
        <v>400</v>
      </c>
      <c r="L46" s="708">
        <f t="shared" si="6"/>
        <v>3532.3194590076732</v>
      </c>
      <c r="M46" s="624"/>
      <c r="N46" s="291" t="s">
        <v>1331</v>
      </c>
      <c r="O46" s="722">
        <f t="shared" si="12"/>
        <v>41725</v>
      </c>
      <c r="P46" s="762">
        <v>40</v>
      </c>
      <c r="Q46" s="749">
        <v>15724</v>
      </c>
      <c r="R46" s="8">
        <f t="shared" si="2"/>
        <v>628960</v>
      </c>
      <c r="S46" s="485"/>
      <c r="T46" s="724"/>
      <c r="U46" s="749"/>
      <c r="V46" s="749"/>
      <c r="W46" s="8"/>
    </row>
    <row r="47" spans="1:23">
      <c r="A47" s="707">
        <f t="shared" si="7"/>
        <v>38</v>
      </c>
      <c r="B47" s="291" t="s">
        <v>478</v>
      </c>
      <c r="C47" s="821">
        <v>41728</v>
      </c>
      <c r="D47" s="726" t="s">
        <v>476</v>
      </c>
      <c r="E47" s="25">
        <f t="shared" si="4"/>
        <v>943440</v>
      </c>
      <c r="F47" s="708">
        <f t="shared" si="13"/>
        <v>350125.37041258259</v>
      </c>
      <c r="G47" s="708">
        <f t="shared" si="13"/>
        <v>42375.199452929111</v>
      </c>
      <c r="H47" s="708">
        <f t="shared" si="13"/>
        <v>367449.28196945519</v>
      </c>
      <c r="I47" s="708">
        <f t="shared" si="13"/>
        <v>416001.82356963755</v>
      </c>
      <c r="J47" s="25">
        <f t="shared" si="1"/>
        <v>2119391.6754046045</v>
      </c>
      <c r="K47" s="252">
        <v>600</v>
      </c>
      <c r="L47" s="708">
        <f t="shared" si="6"/>
        <v>3532.3194590076741</v>
      </c>
      <c r="M47" s="624"/>
      <c r="N47" s="291" t="s">
        <v>1331</v>
      </c>
      <c r="O47" s="722">
        <f t="shared" si="12"/>
        <v>41725</v>
      </c>
      <c r="P47" s="762">
        <v>60</v>
      </c>
      <c r="Q47" s="749">
        <v>15724</v>
      </c>
      <c r="R47" s="8">
        <f t="shared" si="2"/>
        <v>943440</v>
      </c>
      <c r="S47" s="485"/>
      <c r="T47" s="724"/>
      <c r="U47" s="749"/>
      <c r="V47" s="749"/>
      <c r="W47" s="8"/>
    </row>
    <row r="48" spans="1:23">
      <c r="A48" s="707">
        <f t="shared" si="7"/>
        <v>39</v>
      </c>
      <c r="B48" s="291" t="s">
        <v>479</v>
      </c>
      <c r="C48" s="821">
        <v>41728</v>
      </c>
      <c r="D48" s="726" t="s">
        <v>476</v>
      </c>
      <c r="E48" s="25">
        <f t="shared" si="4"/>
        <v>442368</v>
      </c>
      <c r="F48" s="708">
        <f t="shared" si="13"/>
        <v>233416.91360838839</v>
      </c>
      <c r="G48" s="708">
        <f t="shared" si="13"/>
        <v>28250.132968619408</v>
      </c>
      <c r="H48" s="708">
        <f t="shared" si="13"/>
        <v>244966.1879796368</v>
      </c>
      <c r="I48" s="708">
        <f t="shared" si="13"/>
        <v>277334.54904642503</v>
      </c>
      <c r="J48" s="25">
        <f t="shared" si="1"/>
        <v>1226335.7836030696</v>
      </c>
      <c r="K48" s="252">
        <v>400</v>
      </c>
      <c r="L48" s="708">
        <f t="shared" si="6"/>
        <v>3065.8394590076741</v>
      </c>
      <c r="M48" s="624"/>
      <c r="N48" s="291" t="s">
        <v>1329</v>
      </c>
      <c r="O48" s="722">
        <f t="shared" si="12"/>
        <v>41725</v>
      </c>
      <c r="P48" s="762">
        <v>40</v>
      </c>
      <c r="Q48" s="749">
        <v>11059.2</v>
      </c>
      <c r="R48" s="8">
        <f t="shared" si="2"/>
        <v>442368</v>
      </c>
      <c r="S48" s="485"/>
      <c r="T48" s="724"/>
      <c r="U48" s="749"/>
      <c r="V48" s="749"/>
      <c r="W48" s="8"/>
    </row>
    <row r="49" spans="1:24">
      <c r="A49" s="707">
        <f t="shared" si="7"/>
        <v>40</v>
      </c>
      <c r="B49" s="291" t="s">
        <v>480</v>
      </c>
      <c r="C49" s="821">
        <v>41728</v>
      </c>
      <c r="D49" s="726" t="s">
        <v>476</v>
      </c>
      <c r="E49" s="25">
        <f t="shared" si="4"/>
        <v>552960</v>
      </c>
      <c r="F49" s="708">
        <f t="shared" si="13"/>
        <v>29177.114201048549</v>
      </c>
      <c r="G49" s="708">
        <f t="shared" si="13"/>
        <v>3531.266621077426</v>
      </c>
      <c r="H49" s="708">
        <f t="shared" si="13"/>
        <v>30620.7734974546</v>
      </c>
      <c r="I49" s="708">
        <f t="shared" si="13"/>
        <v>34666.818630803129</v>
      </c>
      <c r="J49" s="25">
        <f t="shared" si="1"/>
        <v>650955.97295038367</v>
      </c>
      <c r="K49" s="252">
        <v>50</v>
      </c>
      <c r="L49" s="708">
        <f t="shared" si="6"/>
        <v>13019.119459007674</v>
      </c>
      <c r="M49" s="624"/>
      <c r="N49" s="291" t="s">
        <v>1329</v>
      </c>
      <c r="O49" s="722">
        <f t="shared" si="12"/>
        <v>41725</v>
      </c>
      <c r="P49" s="762">
        <v>50</v>
      </c>
      <c r="Q49" s="749">
        <v>11059.2</v>
      </c>
      <c r="R49" s="8">
        <f t="shared" si="2"/>
        <v>552960</v>
      </c>
      <c r="S49" s="485"/>
      <c r="T49" s="724"/>
      <c r="U49" s="749"/>
      <c r="V49" s="749"/>
      <c r="W49" s="8"/>
    </row>
    <row r="50" spans="1:24">
      <c r="A50" s="707">
        <f t="shared" si="7"/>
        <v>41</v>
      </c>
      <c r="B50" s="291" t="s">
        <v>481</v>
      </c>
      <c r="C50" s="821">
        <v>41728</v>
      </c>
      <c r="D50" s="726" t="s">
        <v>482</v>
      </c>
      <c r="E50" s="25">
        <f t="shared" si="4"/>
        <v>7320100</v>
      </c>
      <c r="F50" s="708">
        <f t="shared" si="13"/>
        <v>291771.14201048552</v>
      </c>
      <c r="G50" s="708">
        <f t="shared" si="13"/>
        <v>35312.66621077426</v>
      </c>
      <c r="H50" s="708">
        <f t="shared" si="13"/>
        <v>306207.73497454601</v>
      </c>
      <c r="I50" s="708">
        <f t="shared" si="13"/>
        <v>346668.18630803132</v>
      </c>
      <c r="J50" s="25">
        <f t="shared" si="1"/>
        <v>8300059.7295038374</v>
      </c>
      <c r="K50" s="252">
        <v>500</v>
      </c>
      <c r="L50" s="708">
        <f t="shared" si="6"/>
        <v>16600.119459007674</v>
      </c>
      <c r="M50" s="624"/>
      <c r="N50" s="192" t="s">
        <v>1004</v>
      </c>
      <c r="O50" s="722">
        <f t="shared" si="12"/>
        <v>41725</v>
      </c>
      <c r="P50" s="762">
        <v>355</v>
      </c>
      <c r="Q50" s="749">
        <v>20620</v>
      </c>
      <c r="R50" s="8">
        <f t="shared" si="2"/>
        <v>7320100</v>
      </c>
      <c r="S50" s="485"/>
      <c r="T50" s="724"/>
      <c r="U50" s="749"/>
      <c r="V50" s="749"/>
      <c r="W50" s="8"/>
    </row>
    <row r="51" spans="1:24">
      <c r="A51" s="707">
        <f t="shared" si="7"/>
        <v>42</v>
      </c>
      <c r="B51" s="291" t="s">
        <v>445</v>
      </c>
      <c r="C51" s="821">
        <v>41728</v>
      </c>
      <c r="D51" s="726" t="s">
        <v>482</v>
      </c>
      <c r="E51" s="25">
        <f t="shared" si="4"/>
        <v>1033320</v>
      </c>
      <c r="F51" s="708">
        <f t="shared" si="13"/>
        <v>583542.28402097104</v>
      </c>
      <c r="G51" s="708">
        <f t="shared" si="13"/>
        <v>70625.332421548519</v>
      </c>
      <c r="H51" s="708">
        <f t="shared" si="13"/>
        <v>612415.46994909202</v>
      </c>
      <c r="I51" s="708">
        <f t="shared" si="13"/>
        <v>693336.37261606264</v>
      </c>
      <c r="J51" s="25">
        <f t="shared" si="1"/>
        <v>2993239.4590076739</v>
      </c>
      <c r="K51" s="252">
        <v>1000</v>
      </c>
      <c r="L51" s="708">
        <f t="shared" si="6"/>
        <v>2993.2394590076738</v>
      </c>
      <c r="M51" s="624"/>
      <c r="N51" s="291" t="s">
        <v>1351</v>
      </c>
      <c r="O51" s="722">
        <f t="shared" si="12"/>
        <v>41725</v>
      </c>
      <c r="P51" s="762">
        <v>60</v>
      </c>
      <c r="Q51" s="749">
        <v>17222</v>
      </c>
      <c r="R51" s="8">
        <f t="shared" si="2"/>
        <v>1033320</v>
      </c>
      <c r="S51" s="485"/>
      <c r="T51" s="724"/>
      <c r="U51" s="749"/>
      <c r="V51" s="749"/>
      <c r="W51" s="8"/>
    </row>
    <row r="52" spans="1:24" s="727" customFormat="1">
      <c r="A52" s="707"/>
      <c r="B52" s="291"/>
      <c r="C52" s="821"/>
      <c r="D52" s="726"/>
      <c r="E52" s="25"/>
      <c r="F52" s="708"/>
      <c r="G52" s="708"/>
      <c r="H52" s="708"/>
      <c r="I52" s="708"/>
      <c r="J52" s="25"/>
      <c r="K52" s="252"/>
      <c r="L52" s="708"/>
      <c r="M52" s="624"/>
      <c r="N52" s="725"/>
      <c r="O52" s="724"/>
      <c r="P52" s="762"/>
      <c r="Q52" s="749"/>
      <c r="R52" s="749"/>
      <c r="S52" s="725"/>
      <c r="T52" s="724"/>
      <c r="U52" s="749"/>
      <c r="V52" s="749"/>
      <c r="W52" s="8"/>
    </row>
    <row r="53" spans="1:24" s="704" customFormat="1">
      <c r="A53" s="709"/>
      <c r="B53" s="710" t="s">
        <v>251</v>
      </c>
      <c r="C53" s="822"/>
      <c r="D53" s="730"/>
      <c r="E53" s="511">
        <f>SUM(E6:E52)</f>
        <v>157371581</v>
      </c>
      <c r="F53" s="511">
        <v>15360000</v>
      </c>
      <c r="G53" s="511">
        <f>$W$53</f>
        <v>1859000</v>
      </c>
      <c r="H53" s="511">
        <v>16120000</v>
      </c>
      <c r="I53" s="511">
        <v>18250000</v>
      </c>
      <c r="J53" s="511">
        <f>ROUND(SUM(J6:J52),0)</f>
        <v>208960581</v>
      </c>
      <c r="K53" s="511">
        <f>ROUND(SUM(K6:K52),0)</f>
        <v>26322</v>
      </c>
      <c r="L53" s="511"/>
      <c r="M53" s="718"/>
      <c r="N53" s="728"/>
      <c r="O53" s="729"/>
      <c r="P53" s="763">
        <f>SUM(P6:P52)</f>
        <v>9777</v>
      </c>
      <c r="Q53" s="47"/>
      <c r="R53" s="47">
        <f>SUM(R6:R52)</f>
        <v>157371581</v>
      </c>
      <c r="S53" s="728"/>
      <c r="T53" s="729"/>
      <c r="U53" s="741"/>
      <c r="V53" s="27"/>
      <c r="W53" s="47">
        <f>SUM(W6:W52)</f>
        <v>1859000</v>
      </c>
    </row>
    <row r="54" spans="1:24" s="704" customFormat="1">
      <c r="A54" s="711"/>
      <c r="B54" s="712"/>
      <c r="C54" s="823"/>
      <c r="D54" s="732"/>
      <c r="E54" s="705"/>
      <c r="F54" s="705"/>
      <c r="G54" s="705"/>
      <c r="H54" s="705"/>
      <c r="I54" s="705"/>
      <c r="J54" s="734"/>
      <c r="K54" s="705"/>
      <c r="L54" s="705"/>
      <c r="M54" s="718"/>
      <c r="N54" s="439"/>
      <c r="O54" s="731"/>
      <c r="P54" s="764"/>
      <c r="Q54" s="721"/>
      <c r="R54" s="733"/>
      <c r="S54" s="439"/>
      <c r="T54" s="731"/>
      <c r="U54" s="721"/>
      <c r="V54" s="721"/>
      <c r="W54" s="703"/>
    </row>
    <row r="55" spans="1:24">
      <c r="C55" s="823"/>
      <c r="D55" s="732"/>
      <c r="E55" s="713"/>
      <c r="F55" s="713"/>
      <c r="G55" s="714"/>
      <c r="H55" s="714"/>
      <c r="J55" s="734"/>
      <c r="K55" s="705"/>
      <c r="N55" s="439"/>
      <c r="O55" s="731"/>
      <c r="P55" s="764"/>
      <c r="Q55" s="721"/>
      <c r="R55" s="733"/>
      <c r="S55" s="439"/>
      <c r="T55" s="731"/>
      <c r="U55" s="721"/>
      <c r="V55" s="721"/>
    </row>
    <row r="56" spans="1:24" ht="18" hidden="1" customHeight="1">
      <c r="A56" s="547" t="str">
        <f>TH!$A$1</f>
        <v>Đơn vị: CÔNG TY TNHH SX TM KIM DUNG PHÁT</v>
      </c>
      <c r="B56" s="704"/>
      <c r="C56" s="823"/>
      <c r="D56" s="732"/>
      <c r="E56" s="288"/>
      <c r="F56" s="288"/>
      <c r="G56" s="288"/>
      <c r="H56" s="288"/>
      <c r="I56" s="288"/>
      <c r="J56" s="288"/>
      <c r="K56" s="561"/>
      <c r="L56" s="288"/>
      <c r="M56" s="718"/>
      <c r="N56" s="439"/>
      <c r="O56" s="731"/>
      <c r="P56" s="764"/>
      <c r="Q56" s="721"/>
      <c r="R56" s="733"/>
      <c r="S56" s="439"/>
      <c r="T56" s="731"/>
      <c r="U56" s="721"/>
      <c r="V56" s="721"/>
      <c r="X56" s="713"/>
    </row>
    <row r="57" spans="1:24" ht="18.75" customHeight="1">
      <c r="A57" s="705" t="s">
        <v>1374</v>
      </c>
      <c r="B57" s="705"/>
      <c r="C57" s="823"/>
      <c r="D57" s="732"/>
      <c r="E57" s="705"/>
      <c r="F57" s="705"/>
      <c r="G57" s="705"/>
      <c r="H57" s="705"/>
      <c r="I57" s="705"/>
      <c r="J57" s="705"/>
      <c r="K57" s="705"/>
      <c r="L57" s="705"/>
      <c r="M57" s="718"/>
      <c r="N57" s="439"/>
      <c r="O57" s="731"/>
      <c r="P57" s="764"/>
      <c r="Q57" s="721"/>
      <c r="R57" s="733"/>
      <c r="S57" s="439"/>
      <c r="T57" s="731"/>
      <c r="U57" s="721"/>
      <c r="V57" s="721"/>
    </row>
    <row r="58" spans="1:24" ht="12.75" customHeight="1">
      <c r="A58" s="754"/>
      <c r="B58" s="747"/>
      <c r="C58" s="823"/>
      <c r="D58" s="732"/>
      <c r="E58" s="747"/>
      <c r="F58" s="747"/>
      <c r="G58" s="747"/>
      <c r="H58" s="747"/>
      <c r="I58" s="747"/>
      <c r="J58" s="747"/>
      <c r="K58" s="720"/>
      <c r="L58" s="747"/>
      <c r="M58" s="718"/>
      <c r="N58" s="439"/>
      <c r="O58" s="731"/>
      <c r="P58" s="764"/>
      <c r="Q58" s="721"/>
      <c r="R58" s="733"/>
      <c r="S58" s="439"/>
      <c r="T58" s="731"/>
      <c r="U58" s="721"/>
      <c r="V58" s="721"/>
    </row>
    <row r="59" spans="1:24" s="436" customFormat="1" ht="30.75" customHeight="1">
      <c r="A59" s="768" t="s">
        <v>35</v>
      </c>
      <c r="B59" s="431" t="s">
        <v>242</v>
      </c>
      <c r="C59" s="820"/>
      <c r="D59" s="699"/>
      <c r="E59" s="432" t="s">
        <v>245</v>
      </c>
      <c r="F59" s="432" t="s">
        <v>373</v>
      </c>
      <c r="G59" s="432" t="s">
        <v>246</v>
      </c>
      <c r="H59" s="432" t="s">
        <v>369</v>
      </c>
      <c r="I59" s="433" t="s">
        <v>247</v>
      </c>
      <c r="J59" s="432" t="s">
        <v>248</v>
      </c>
      <c r="K59" s="434" t="s">
        <v>243</v>
      </c>
      <c r="L59" s="432" t="s">
        <v>249</v>
      </c>
      <c r="M59" s="435"/>
      <c r="N59" s="431" t="s">
        <v>242</v>
      </c>
      <c r="O59" s="432" t="s">
        <v>236</v>
      </c>
      <c r="P59" s="760" t="s">
        <v>201</v>
      </c>
      <c r="Q59" s="432" t="s">
        <v>244</v>
      </c>
      <c r="R59" s="432" t="s">
        <v>250</v>
      </c>
      <c r="S59" s="431" t="s">
        <v>242</v>
      </c>
      <c r="T59" s="432" t="s">
        <v>236</v>
      </c>
      <c r="U59" s="432" t="s">
        <v>201</v>
      </c>
      <c r="V59" s="432" t="s">
        <v>244</v>
      </c>
      <c r="W59" s="431" t="s">
        <v>250</v>
      </c>
    </row>
    <row r="60" spans="1:24">
      <c r="A60" s="769">
        <f>IF(B60&lt;&gt;"",ROW()-59,"")</f>
        <v>1</v>
      </c>
      <c r="B60" s="824" t="s">
        <v>483</v>
      </c>
      <c r="C60" s="722">
        <v>41730</v>
      </c>
      <c r="D60" s="723" t="s">
        <v>484</v>
      </c>
      <c r="E60" s="744">
        <f>R60</f>
        <v>3406050</v>
      </c>
      <c r="F60" s="744">
        <f t="shared" ref="F60:I79" si="14">IF($K$134&lt;&gt;0,F$134/$K$134*$K60,0)</f>
        <v>108725.05697939439</v>
      </c>
      <c r="G60" s="744">
        <f t="shared" si="14"/>
        <v>20473.74296478906</v>
      </c>
      <c r="H60" s="744">
        <f t="shared" si="14"/>
        <v>145317.92176380297</v>
      </c>
      <c r="I60" s="744">
        <f t="shared" si="14"/>
        <v>128180.38048281315</v>
      </c>
      <c r="J60" s="25">
        <f t="shared" ref="J60:J91" si="15">SUM(E60:I60)</f>
        <v>3808747.1021908</v>
      </c>
      <c r="K60" s="744">
        <v>302</v>
      </c>
      <c r="L60" s="744">
        <f>IF(K60&lt;&gt;"",J60/K60,"")</f>
        <v>12611.745371492716</v>
      </c>
      <c r="M60" s="624"/>
      <c r="N60" s="40" t="s">
        <v>1178</v>
      </c>
      <c r="O60" s="722">
        <f t="shared" ref="O60:O91" si="16">C60-3</f>
        <v>41727</v>
      </c>
      <c r="P60" s="296">
        <v>270</v>
      </c>
      <c r="Q60" s="750">
        <v>12615</v>
      </c>
      <c r="R60" s="25">
        <f>P60*Q60</f>
        <v>3406050</v>
      </c>
      <c r="S60" s="438" t="s">
        <v>1322</v>
      </c>
      <c r="T60" s="724">
        <v>41734</v>
      </c>
      <c r="U60" s="748">
        <v>50</v>
      </c>
      <c r="V60" s="748">
        <v>17500</v>
      </c>
      <c r="W60" s="25">
        <f>U60*V60</f>
        <v>875000</v>
      </c>
    </row>
    <row r="61" spans="1:24">
      <c r="A61" s="745">
        <f>IF(B61&lt;&gt;"",A60+1,"")</f>
        <v>2</v>
      </c>
      <c r="B61" s="291" t="s">
        <v>485</v>
      </c>
      <c r="C61" s="722">
        <v>41730</v>
      </c>
      <c r="D61" s="723" t="s">
        <v>484</v>
      </c>
      <c r="E61" s="767">
        <f t="shared" ref="E61:E124" si="17">R61</f>
        <v>1576950</v>
      </c>
      <c r="F61" s="252">
        <f t="shared" si="14"/>
        <v>108005.02348946463</v>
      </c>
      <c r="G61" s="252">
        <f t="shared" si="14"/>
        <v>20338.155263035493</v>
      </c>
      <c r="H61" s="252">
        <f t="shared" si="14"/>
        <v>144355.55142099631</v>
      </c>
      <c r="I61" s="252">
        <f t="shared" si="14"/>
        <v>127331.50379087399</v>
      </c>
      <c r="J61" s="25">
        <f t="shared" si="15"/>
        <v>1976980.2339643706</v>
      </c>
      <c r="K61" s="252">
        <v>300</v>
      </c>
      <c r="L61" s="252">
        <f t="shared" ref="L61:L124" si="18">IF(K61&lt;&gt;"",J61/K61,"")</f>
        <v>6589.9341132145682</v>
      </c>
      <c r="M61" s="624"/>
      <c r="N61" s="192" t="s">
        <v>1159</v>
      </c>
      <c r="O61" s="722">
        <f t="shared" si="16"/>
        <v>41727</v>
      </c>
      <c r="P61" s="296">
        <v>150</v>
      </c>
      <c r="Q61" s="750">
        <v>10513</v>
      </c>
      <c r="R61" s="25">
        <f t="shared" ref="R61:R124" si="19">P61*Q61</f>
        <v>1576950</v>
      </c>
      <c r="S61" s="437" t="s">
        <v>330</v>
      </c>
      <c r="T61" s="724">
        <v>41734</v>
      </c>
      <c r="U61" s="750">
        <v>24</v>
      </c>
      <c r="V61" s="750">
        <v>41000</v>
      </c>
      <c r="W61" s="8">
        <f t="shared" ref="W61:W124" si="20">U61*V61</f>
        <v>984000</v>
      </c>
    </row>
    <row r="62" spans="1:24">
      <c r="A62" s="745">
        <f>IF(B62&lt;&gt;"",A61+1,"")</f>
        <v>3</v>
      </c>
      <c r="B62" s="291" t="s">
        <v>486</v>
      </c>
      <c r="C62" s="722">
        <v>41730</v>
      </c>
      <c r="D62" s="723" t="s">
        <v>484</v>
      </c>
      <c r="E62" s="767">
        <f t="shared" si="17"/>
        <v>3352400</v>
      </c>
      <c r="F62" s="252">
        <f t="shared" si="14"/>
        <v>144726.73147588261</v>
      </c>
      <c r="G62" s="252">
        <f t="shared" si="14"/>
        <v>27253.12805246756</v>
      </c>
      <c r="H62" s="252">
        <f t="shared" si="14"/>
        <v>193436.43890413508</v>
      </c>
      <c r="I62" s="252">
        <f t="shared" si="14"/>
        <v>170624.21507977115</v>
      </c>
      <c r="J62" s="25">
        <f t="shared" si="15"/>
        <v>3888440.5135122566</v>
      </c>
      <c r="K62" s="252">
        <v>402</v>
      </c>
      <c r="L62" s="252">
        <f t="shared" si="18"/>
        <v>9672.7375958016328</v>
      </c>
      <c r="M62" s="624"/>
      <c r="N62" s="40" t="s">
        <v>1172</v>
      </c>
      <c r="O62" s="722">
        <f t="shared" si="16"/>
        <v>41727</v>
      </c>
      <c r="P62" s="765">
        <v>425</v>
      </c>
      <c r="Q62" s="251">
        <v>7888</v>
      </c>
      <c r="R62" s="8">
        <f t="shared" si="19"/>
        <v>3352400</v>
      </c>
      <c r="S62" s="437" t="s">
        <v>330</v>
      </c>
      <c r="T62" s="722">
        <v>41790</v>
      </c>
      <c r="U62" s="750">
        <v>24</v>
      </c>
      <c r="V62" s="750">
        <v>44000</v>
      </c>
      <c r="W62" s="8">
        <f t="shared" si="20"/>
        <v>1056000</v>
      </c>
    </row>
    <row r="63" spans="1:24">
      <c r="A63" s="745">
        <f t="shared" ref="A63:A94" si="21">IF(B63&lt;&gt;"",A62+1,"")</f>
        <v>4</v>
      </c>
      <c r="B63" s="291" t="s">
        <v>487</v>
      </c>
      <c r="C63" s="722">
        <v>41730</v>
      </c>
      <c r="D63" s="723" t="s">
        <v>484</v>
      </c>
      <c r="E63" s="767">
        <f t="shared" si="17"/>
        <v>2975400</v>
      </c>
      <c r="F63" s="252">
        <f t="shared" si="14"/>
        <v>198009.20973068516</v>
      </c>
      <c r="G63" s="252">
        <f t="shared" si="14"/>
        <v>37286.617982231735</v>
      </c>
      <c r="H63" s="252">
        <f t="shared" si="14"/>
        <v>264651.84427182662</v>
      </c>
      <c r="I63" s="252">
        <f t="shared" si="14"/>
        <v>233441.090283269</v>
      </c>
      <c r="J63" s="25">
        <f t="shared" si="15"/>
        <v>3708788.7622680124</v>
      </c>
      <c r="K63" s="252">
        <v>550</v>
      </c>
      <c r="L63" s="252">
        <f t="shared" si="18"/>
        <v>6743.2522950327502</v>
      </c>
      <c r="M63" s="624"/>
      <c r="N63" s="40" t="s">
        <v>1177</v>
      </c>
      <c r="O63" s="722">
        <f t="shared" si="16"/>
        <v>41727</v>
      </c>
      <c r="P63" s="296">
        <v>270</v>
      </c>
      <c r="Q63" s="253">
        <v>11020</v>
      </c>
      <c r="R63" s="8">
        <f t="shared" si="19"/>
        <v>2975400</v>
      </c>
      <c r="S63" s="438"/>
      <c r="T63" s="724"/>
      <c r="U63" s="748"/>
      <c r="V63" s="748"/>
      <c r="W63" s="8">
        <f t="shared" si="20"/>
        <v>0</v>
      </c>
    </row>
    <row r="64" spans="1:24">
      <c r="A64" s="745">
        <f t="shared" si="21"/>
        <v>5</v>
      </c>
      <c r="B64" s="291" t="s">
        <v>488</v>
      </c>
      <c r="C64" s="722">
        <v>41730</v>
      </c>
      <c r="D64" s="723" t="s">
        <v>489</v>
      </c>
      <c r="E64" s="767">
        <f t="shared" si="17"/>
        <v>3234195</v>
      </c>
      <c r="F64" s="252">
        <f t="shared" si="14"/>
        <v>93604.35369086935</v>
      </c>
      <c r="G64" s="252">
        <f t="shared" si="14"/>
        <v>17626.401227964092</v>
      </c>
      <c r="H64" s="252">
        <f t="shared" si="14"/>
        <v>125108.14456486348</v>
      </c>
      <c r="I64" s="252">
        <f t="shared" si="14"/>
        <v>110353.96995209079</v>
      </c>
      <c r="J64" s="25">
        <f t="shared" si="15"/>
        <v>3580887.8694357872</v>
      </c>
      <c r="K64" s="252">
        <v>260</v>
      </c>
      <c r="L64" s="252">
        <f t="shared" si="18"/>
        <v>13772.645651676105</v>
      </c>
      <c r="M64" s="624"/>
      <c r="N64" s="189" t="s">
        <v>1094</v>
      </c>
      <c r="O64" s="722">
        <f t="shared" si="16"/>
        <v>41727</v>
      </c>
      <c r="P64" s="765">
        <v>135</v>
      </c>
      <c r="Q64" s="253">
        <v>23957</v>
      </c>
      <c r="R64" s="8">
        <f t="shared" si="19"/>
        <v>3234195</v>
      </c>
      <c r="S64" s="438"/>
      <c r="T64" s="724"/>
      <c r="U64" s="748"/>
      <c r="V64" s="748"/>
      <c r="W64" s="8">
        <f t="shared" si="20"/>
        <v>0</v>
      </c>
    </row>
    <row r="65" spans="1:23">
      <c r="A65" s="745">
        <f t="shared" si="21"/>
        <v>6</v>
      </c>
      <c r="B65" s="291" t="s">
        <v>491</v>
      </c>
      <c r="C65" s="722">
        <v>41730</v>
      </c>
      <c r="D65" s="723" t="s">
        <v>489</v>
      </c>
      <c r="E65" s="767">
        <f t="shared" si="17"/>
        <v>2992150</v>
      </c>
      <c r="F65" s="252">
        <f t="shared" si="14"/>
        <v>756035.16442625236</v>
      </c>
      <c r="G65" s="252">
        <f t="shared" si="14"/>
        <v>142367.08684124844</v>
      </c>
      <c r="H65" s="252">
        <f t="shared" si="14"/>
        <v>1010488.8599469743</v>
      </c>
      <c r="I65" s="252">
        <f t="shared" si="14"/>
        <v>891320.52653611801</v>
      </c>
      <c r="J65" s="25">
        <f t="shared" si="15"/>
        <v>5792361.637750593</v>
      </c>
      <c r="K65" s="252">
        <v>2100</v>
      </c>
      <c r="L65" s="252">
        <f t="shared" si="18"/>
        <v>2758.2674465479013</v>
      </c>
      <c r="M65" s="624"/>
      <c r="N65" s="40" t="s">
        <v>1180</v>
      </c>
      <c r="O65" s="722">
        <f t="shared" si="16"/>
        <v>41727</v>
      </c>
      <c r="P65" s="765">
        <v>350</v>
      </c>
      <c r="Q65" s="251">
        <v>8549</v>
      </c>
      <c r="R65" s="8">
        <f t="shared" si="19"/>
        <v>2992150</v>
      </c>
      <c r="S65" s="438"/>
      <c r="T65" s="724"/>
      <c r="U65" s="748"/>
      <c r="V65" s="748"/>
      <c r="W65" s="8">
        <f t="shared" si="20"/>
        <v>0</v>
      </c>
    </row>
    <row r="66" spans="1:23">
      <c r="A66" s="745">
        <f t="shared" si="21"/>
        <v>7</v>
      </c>
      <c r="B66" s="291" t="s">
        <v>492</v>
      </c>
      <c r="C66" s="722">
        <v>41733</v>
      </c>
      <c r="D66" s="723" t="s">
        <v>493</v>
      </c>
      <c r="E66" s="767">
        <f t="shared" si="17"/>
        <v>2059885</v>
      </c>
      <c r="F66" s="252">
        <f t="shared" si="14"/>
        <v>117005.44211358669</v>
      </c>
      <c r="G66" s="252">
        <f t="shared" si="14"/>
        <v>22033.001534955118</v>
      </c>
      <c r="H66" s="252">
        <f t="shared" si="14"/>
        <v>156385.18070607935</v>
      </c>
      <c r="I66" s="252">
        <f t="shared" si="14"/>
        <v>137942.46244011351</v>
      </c>
      <c r="J66" s="25">
        <f t="shared" si="15"/>
        <v>2493251.0867947349</v>
      </c>
      <c r="K66" s="252">
        <v>325</v>
      </c>
      <c r="L66" s="252">
        <f t="shared" si="18"/>
        <v>7671.5418055222617</v>
      </c>
      <c r="M66" s="624"/>
      <c r="N66" s="189" t="s">
        <v>1093</v>
      </c>
      <c r="O66" s="722">
        <f t="shared" si="16"/>
        <v>41730</v>
      </c>
      <c r="P66" s="296">
        <v>95</v>
      </c>
      <c r="Q66" s="253">
        <v>21683</v>
      </c>
      <c r="R66" s="8">
        <f t="shared" si="19"/>
        <v>2059885</v>
      </c>
      <c r="S66" s="438"/>
      <c r="T66" s="724"/>
      <c r="U66" s="748"/>
      <c r="V66" s="748"/>
      <c r="W66" s="8">
        <f t="shared" si="20"/>
        <v>0</v>
      </c>
    </row>
    <row r="67" spans="1:23">
      <c r="A67" s="745">
        <f t="shared" si="21"/>
        <v>8</v>
      </c>
      <c r="B67" s="291" t="s">
        <v>494</v>
      </c>
      <c r="C67" s="722">
        <v>41733</v>
      </c>
      <c r="D67" s="723" t="s">
        <v>493</v>
      </c>
      <c r="E67" s="767">
        <f t="shared" si="17"/>
        <v>3463600</v>
      </c>
      <c r="F67" s="252">
        <f t="shared" si="14"/>
        <v>207729.66184473695</v>
      </c>
      <c r="G67" s="252">
        <f t="shared" si="14"/>
        <v>39117.051955904928</v>
      </c>
      <c r="H67" s="252">
        <f t="shared" si="14"/>
        <v>277643.84389971627</v>
      </c>
      <c r="I67" s="252">
        <f t="shared" si="14"/>
        <v>244900.92562444764</v>
      </c>
      <c r="J67" s="25">
        <f t="shared" si="15"/>
        <v>4232991.4833248053</v>
      </c>
      <c r="K67" s="252">
        <v>577</v>
      </c>
      <c r="L67" s="252">
        <f t="shared" si="18"/>
        <v>7336.2070768194199</v>
      </c>
      <c r="M67" s="624"/>
      <c r="N67" s="192" t="s">
        <v>1071</v>
      </c>
      <c r="O67" s="722">
        <f t="shared" si="16"/>
        <v>41730</v>
      </c>
      <c r="P67" s="765">
        <v>200</v>
      </c>
      <c r="Q67" s="253">
        <v>17318</v>
      </c>
      <c r="R67" s="8">
        <f t="shared" si="19"/>
        <v>3463600</v>
      </c>
      <c r="S67" s="438"/>
      <c r="T67" s="724"/>
      <c r="U67" s="748"/>
      <c r="V67" s="748"/>
      <c r="W67" s="8">
        <f t="shared" si="20"/>
        <v>0</v>
      </c>
    </row>
    <row r="68" spans="1:23">
      <c r="A68" s="745">
        <f t="shared" si="21"/>
        <v>9</v>
      </c>
      <c r="B68" s="291" t="s">
        <v>436</v>
      </c>
      <c r="C68" s="722">
        <v>41740</v>
      </c>
      <c r="D68" s="723" t="s">
        <v>495</v>
      </c>
      <c r="E68" s="767">
        <f t="shared" si="17"/>
        <v>6595920</v>
      </c>
      <c r="F68" s="252">
        <f t="shared" si="14"/>
        <v>259212.05637471512</v>
      </c>
      <c r="G68" s="252">
        <f t="shared" si="14"/>
        <v>48811.572631285177</v>
      </c>
      <c r="H68" s="252">
        <f t="shared" si="14"/>
        <v>346453.32341039117</v>
      </c>
      <c r="I68" s="252">
        <f t="shared" si="14"/>
        <v>305595.6090980976</v>
      </c>
      <c r="J68" s="25">
        <f t="shared" si="15"/>
        <v>7555992.5615144884</v>
      </c>
      <c r="K68" s="252">
        <v>720</v>
      </c>
      <c r="L68" s="252">
        <f t="shared" si="18"/>
        <v>10494.434113214567</v>
      </c>
      <c r="M68" s="624"/>
      <c r="N68" s="40" t="s">
        <v>1175</v>
      </c>
      <c r="O68" s="722">
        <f t="shared" si="16"/>
        <v>41737</v>
      </c>
      <c r="P68" s="296">
        <v>720</v>
      </c>
      <c r="Q68" s="253">
        <v>9161</v>
      </c>
      <c r="R68" s="8">
        <f t="shared" si="19"/>
        <v>6595920</v>
      </c>
      <c r="S68" s="438"/>
      <c r="T68" s="724"/>
      <c r="U68" s="748"/>
      <c r="V68" s="748"/>
      <c r="W68" s="8">
        <f t="shared" si="20"/>
        <v>0</v>
      </c>
    </row>
    <row r="69" spans="1:23">
      <c r="A69" s="745">
        <f t="shared" si="21"/>
        <v>10</v>
      </c>
      <c r="B69" s="291" t="s">
        <v>496</v>
      </c>
      <c r="C69" s="722">
        <v>41740</v>
      </c>
      <c r="D69" s="723" t="s">
        <v>495</v>
      </c>
      <c r="E69" s="767">
        <f t="shared" si="17"/>
        <v>2483712</v>
      </c>
      <c r="F69" s="252">
        <f t="shared" si="14"/>
        <v>122405.69328805991</v>
      </c>
      <c r="G69" s="252">
        <f t="shared" si="14"/>
        <v>23049.90929810689</v>
      </c>
      <c r="H69" s="252">
        <f t="shared" si="14"/>
        <v>163602.95827712916</v>
      </c>
      <c r="I69" s="252">
        <f t="shared" si="14"/>
        <v>144309.03762965719</v>
      </c>
      <c r="J69" s="25">
        <f t="shared" si="15"/>
        <v>2937079.598492953</v>
      </c>
      <c r="K69" s="252">
        <v>340</v>
      </c>
      <c r="L69" s="252">
        <f t="shared" si="18"/>
        <v>8638.4694073322153</v>
      </c>
      <c r="M69" s="624"/>
      <c r="N69" s="40" t="s">
        <v>1181</v>
      </c>
      <c r="O69" s="722">
        <f t="shared" si="16"/>
        <v>41737</v>
      </c>
      <c r="P69" s="296">
        <v>126</v>
      </c>
      <c r="Q69" s="251">
        <v>19712</v>
      </c>
      <c r="R69" s="8">
        <f t="shared" si="19"/>
        <v>2483712</v>
      </c>
      <c r="S69" s="438"/>
      <c r="T69" s="724"/>
      <c r="U69" s="748"/>
      <c r="V69" s="748"/>
      <c r="W69" s="8">
        <f t="shared" si="20"/>
        <v>0</v>
      </c>
    </row>
    <row r="70" spans="1:23">
      <c r="A70" s="745">
        <f t="shared" si="21"/>
        <v>11</v>
      </c>
      <c r="B70" s="291" t="s">
        <v>497</v>
      </c>
      <c r="C70" s="722">
        <v>41744</v>
      </c>
      <c r="D70" s="723" t="s">
        <v>498</v>
      </c>
      <c r="E70" s="767">
        <f t="shared" si="17"/>
        <v>748900</v>
      </c>
      <c r="F70" s="252">
        <f t="shared" si="14"/>
        <v>36001.674496488209</v>
      </c>
      <c r="G70" s="252">
        <f t="shared" si="14"/>
        <v>6779.3850876784973</v>
      </c>
      <c r="H70" s="252">
        <f t="shared" si="14"/>
        <v>48118.517140332107</v>
      </c>
      <c r="I70" s="252">
        <f t="shared" si="14"/>
        <v>42443.834596957997</v>
      </c>
      <c r="J70" s="25">
        <f t="shared" si="15"/>
        <v>882243.41132145678</v>
      </c>
      <c r="K70" s="252">
        <v>100</v>
      </c>
      <c r="L70" s="252">
        <f t="shared" si="18"/>
        <v>8822.4341132145673</v>
      </c>
      <c r="M70" s="624"/>
      <c r="N70" s="192" t="s">
        <v>1069</v>
      </c>
      <c r="O70" s="722">
        <f t="shared" si="16"/>
        <v>41741</v>
      </c>
      <c r="P70" s="296">
        <v>50</v>
      </c>
      <c r="Q70" s="251">
        <v>14978</v>
      </c>
      <c r="R70" s="8">
        <f t="shared" si="19"/>
        <v>748900</v>
      </c>
      <c r="S70" s="438"/>
      <c r="T70" s="724"/>
      <c r="U70" s="748"/>
      <c r="V70" s="748"/>
      <c r="W70" s="8">
        <f t="shared" si="20"/>
        <v>0</v>
      </c>
    </row>
    <row r="71" spans="1:23">
      <c r="A71" s="745">
        <f>IF(B71&lt;&gt;"",A70+1,"")</f>
        <v>12</v>
      </c>
      <c r="B71" s="291" t="s">
        <v>459</v>
      </c>
      <c r="C71" s="722">
        <v>41746</v>
      </c>
      <c r="D71" s="723" t="s">
        <v>499</v>
      </c>
      <c r="E71" s="767">
        <f t="shared" si="17"/>
        <v>7047200</v>
      </c>
      <c r="F71" s="252">
        <f t="shared" si="14"/>
        <v>365416.99613935535</v>
      </c>
      <c r="G71" s="252">
        <f t="shared" si="14"/>
        <v>68810.758639936743</v>
      </c>
      <c r="H71" s="252">
        <f t="shared" si="14"/>
        <v>488402.9489743709</v>
      </c>
      <c r="I71" s="252">
        <f t="shared" si="14"/>
        <v>430804.92115912371</v>
      </c>
      <c r="J71" s="25">
        <f t="shared" si="15"/>
        <v>8400635.6249127854</v>
      </c>
      <c r="K71" s="252">
        <v>1015</v>
      </c>
      <c r="L71" s="252">
        <f t="shared" si="18"/>
        <v>8276.4883004066851</v>
      </c>
      <c r="M71" s="624"/>
      <c r="N71" s="192" t="s">
        <v>1160</v>
      </c>
      <c r="O71" s="722">
        <f t="shared" si="16"/>
        <v>41743</v>
      </c>
      <c r="P71" s="765">
        <v>400</v>
      </c>
      <c r="Q71" s="251">
        <v>17618</v>
      </c>
      <c r="R71" s="8">
        <f t="shared" si="19"/>
        <v>7047200</v>
      </c>
      <c r="S71" s="438"/>
      <c r="T71" s="724"/>
      <c r="U71" s="748"/>
      <c r="V71" s="748"/>
      <c r="W71" s="8">
        <f t="shared" si="20"/>
        <v>0</v>
      </c>
    </row>
    <row r="72" spans="1:23">
      <c r="A72" s="745">
        <f t="shared" si="21"/>
        <v>13</v>
      </c>
      <c r="B72" s="291" t="s">
        <v>500</v>
      </c>
      <c r="C72" s="722">
        <v>41746</v>
      </c>
      <c r="D72" s="723" t="s">
        <v>501</v>
      </c>
      <c r="E72" s="767">
        <f t="shared" si="17"/>
        <v>1784150</v>
      </c>
      <c r="F72" s="252">
        <f t="shared" si="14"/>
        <v>156967.3008046886</v>
      </c>
      <c r="G72" s="252">
        <f t="shared" si="14"/>
        <v>29558.118982278247</v>
      </c>
      <c r="H72" s="252">
        <f t="shared" si="14"/>
        <v>209796.734731848</v>
      </c>
      <c r="I72" s="252">
        <f t="shared" si="14"/>
        <v>185055.11884273688</v>
      </c>
      <c r="J72" s="25">
        <f t="shared" si="15"/>
        <v>2365527.2733615516</v>
      </c>
      <c r="K72" s="252">
        <v>436</v>
      </c>
      <c r="L72" s="252">
        <f t="shared" si="18"/>
        <v>5425.5212691778706</v>
      </c>
      <c r="M72" s="624"/>
      <c r="N72" s="40" t="s">
        <v>1195</v>
      </c>
      <c r="O72" s="722">
        <f t="shared" si="16"/>
        <v>41743</v>
      </c>
      <c r="P72" s="765">
        <v>170</v>
      </c>
      <c r="Q72" s="251">
        <v>10495</v>
      </c>
      <c r="R72" s="8">
        <f t="shared" si="19"/>
        <v>1784150</v>
      </c>
      <c r="S72" s="438"/>
      <c r="T72" s="724"/>
      <c r="U72" s="748"/>
      <c r="V72" s="748"/>
      <c r="W72" s="8">
        <f t="shared" si="20"/>
        <v>0</v>
      </c>
    </row>
    <row r="73" spans="1:23">
      <c r="A73" s="745">
        <f t="shared" si="21"/>
        <v>14</v>
      </c>
      <c r="B73" s="291" t="s">
        <v>503</v>
      </c>
      <c r="C73" s="722">
        <v>41746</v>
      </c>
      <c r="D73" s="723" t="s">
        <v>501</v>
      </c>
      <c r="E73" s="767">
        <f t="shared" si="17"/>
        <v>820880</v>
      </c>
      <c r="F73" s="252">
        <f t="shared" si="14"/>
        <v>108725.05697939439</v>
      </c>
      <c r="G73" s="252">
        <f t="shared" si="14"/>
        <v>20473.74296478906</v>
      </c>
      <c r="H73" s="252">
        <f t="shared" si="14"/>
        <v>145317.92176380297</v>
      </c>
      <c r="I73" s="252">
        <f t="shared" si="14"/>
        <v>128180.38048281315</v>
      </c>
      <c r="J73" s="25">
        <f t="shared" si="15"/>
        <v>1223577.1021907995</v>
      </c>
      <c r="K73" s="252">
        <v>302</v>
      </c>
      <c r="L73" s="252">
        <f t="shared" si="18"/>
        <v>4051.5798085788065</v>
      </c>
      <c r="M73" s="624"/>
      <c r="N73" s="40" t="s">
        <v>1183</v>
      </c>
      <c r="O73" s="722">
        <f t="shared" si="16"/>
        <v>41743</v>
      </c>
      <c r="P73" s="296">
        <v>80</v>
      </c>
      <c r="Q73" s="251">
        <v>10261</v>
      </c>
      <c r="R73" s="8">
        <f t="shared" si="19"/>
        <v>820880</v>
      </c>
      <c r="S73" s="438"/>
      <c r="T73" s="724"/>
      <c r="U73" s="748"/>
      <c r="V73" s="748"/>
      <c r="W73" s="8">
        <f t="shared" si="20"/>
        <v>0</v>
      </c>
    </row>
    <row r="74" spans="1:23">
      <c r="A74" s="745">
        <f t="shared" si="21"/>
        <v>15</v>
      </c>
      <c r="B74" s="291" t="s">
        <v>504</v>
      </c>
      <c r="C74" s="722">
        <v>41746</v>
      </c>
      <c r="D74" s="723" t="s">
        <v>501</v>
      </c>
      <c r="E74" s="767">
        <f t="shared" si="17"/>
        <v>1465200</v>
      </c>
      <c r="F74" s="252">
        <f t="shared" si="14"/>
        <v>109085.07372435927</v>
      </c>
      <c r="G74" s="252">
        <f t="shared" si="14"/>
        <v>20541.536815665848</v>
      </c>
      <c r="H74" s="252">
        <f t="shared" si="14"/>
        <v>145799.10693520628</v>
      </c>
      <c r="I74" s="252">
        <f t="shared" si="14"/>
        <v>128604.81882878274</v>
      </c>
      <c r="J74" s="25">
        <f t="shared" si="15"/>
        <v>1869230.5363040143</v>
      </c>
      <c r="K74" s="252">
        <v>303</v>
      </c>
      <c r="L74" s="252">
        <f t="shared" si="18"/>
        <v>6169.0776775710046</v>
      </c>
      <c r="M74" s="624"/>
      <c r="N74" s="40" t="s">
        <v>1176</v>
      </c>
      <c r="O74" s="722">
        <f t="shared" si="16"/>
        <v>41743</v>
      </c>
      <c r="P74" s="296">
        <v>90</v>
      </c>
      <c r="Q74" s="750">
        <v>16280</v>
      </c>
      <c r="R74" s="8">
        <f t="shared" si="19"/>
        <v>1465200</v>
      </c>
      <c r="S74" s="438"/>
      <c r="T74" s="724"/>
      <c r="U74" s="748"/>
      <c r="V74" s="748"/>
      <c r="W74" s="8">
        <f t="shared" si="20"/>
        <v>0</v>
      </c>
    </row>
    <row r="75" spans="1:23">
      <c r="A75" s="745">
        <f t="shared" si="21"/>
        <v>16</v>
      </c>
      <c r="B75" s="291" t="s">
        <v>406</v>
      </c>
      <c r="C75" s="722">
        <v>41746</v>
      </c>
      <c r="D75" s="723" t="s">
        <v>501</v>
      </c>
      <c r="E75" s="767">
        <f t="shared" si="17"/>
        <v>1016400</v>
      </c>
      <c r="F75" s="252">
        <f t="shared" si="14"/>
        <v>72003.348992976418</v>
      </c>
      <c r="G75" s="252">
        <f t="shared" si="14"/>
        <v>13558.770175356995</v>
      </c>
      <c r="H75" s="252">
        <f t="shared" si="14"/>
        <v>96237.034280664215</v>
      </c>
      <c r="I75" s="252">
        <f t="shared" si="14"/>
        <v>84887.669193915994</v>
      </c>
      <c r="J75" s="25">
        <f t="shared" si="15"/>
        <v>1283086.8226429136</v>
      </c>
      <c r="K75" s="252">
        <v>200</v>
      </c>
      <c r="L75" s="252">
        <f t="shared" si="18"/>
        <v>6415.4341132145673</v>
      </c>
      <c r="M75" s="624"/>
      <c r="N75" s="189" t="s">
        <v>1100</v>
      </c>
      <c r="O75" s="722">
        <f t="shared" si="16"/>
        <v>41743</v>
      </c>
      <c r="P75" s="296">
        <v>50</v>
      </c>
      <c r="Q75" s="253">
        <v>20328</v>
      </c>
      <c r="R75" s="8">
        <f t="shared" si="19"/>
        <v>1016400</v>
      </c>
      <c r="S75" s="438"/>
      <c r="T75" s="724"/>
      <c r="U75" s="748"/>
      <c r="V75" s="748"/>
      <c r="W75" s="8">
        <f t="shared" si="20"/>
        <v>0</v>
      </c>
    </row>
    <row r="76" spans="1:23">
      <c r="A76" s="745">
        <f>IF(B76&lt;&gt;"",A75+1,"")</f>
        <v>17</v>
      </c>
      <c r="B76" s="291" t="s">
        <v>417</v>
      </c>
      <c r="C76" s="722">
        <v>41748</v>
      </c>
      <c r="D76" s="723" t="s">
        <v>505</v>
      </c>
      <c r="E76" s="767">
        <f t="shared" si="17"/>
        <v>6296500</v>
      </c>
      <c r="F76" s="252">
        <f t="shared" si="14"/>
        <v>668191.07865482115</v>
      </c>
      <c r="G76" s="252">
        <f t="shared" si="14"/>
        <v>125825.38722731291</v>
      </c>
      <c r="H76" s="252">
        <f t="shared" si="14"/>
        <v>893079.67812456388</v>
      </c>
      <c r="I76" s="252">
        <f t="shared" si="14"/>
        <v>787757.57011954044</v>
      </c>
      <c r="J76" s="25">
        <f t="shared" si="15"/>
        <v>8771353.7141262386</v>
      </c>
      <c r="K76" s="252">
        <v>1856</v>
      </c>
      <c r="L76" s="252">
        <f t="shared" si="18"/>
        <v>4725.9448890766371</v>
      </c>
      <c r="M76" s="624"/>
      <c r="N76" s="40" t="s">
        <v>1194</v>
      </c>
      <c r="O76" s="722">
        <f t="shared" si="16"/>
        <v>41745</v>
      </c>
      <c r="P76" s="296">
        <v>250</v>
      </c>
      <c r="Q76" s="253">
        <v>25186</v>
      </c>
      <c r="R76" s="8">
        <f t="shared" si="19"/>
        <v>6296500</v>
      </c>
      <c r="S76" s="438"/>
      <c r="T76" s="724"/>
      <c r="U76" s="748"/>
      <c r="V76" s="748"/>
      <c r="W76" s="8">
        <f t="shared" si="20"/>
        <v>0</v>
      </c>
    </row>
    <row r="77" spans="1:23">
      <c r="A77" s="745">
        <f t="shared" si="21"/>
        <v>18</v>
      </c>
      <c r="B77" s="291" t="s">
        <v>421</v>
      </c>
      <c r="C77" s="722">
        <v>41750</v>
      </c>
      <c r="D77" s="723" t="s">
        <v>506</v>
      </c>
      <c r="E77" s="767">
        <f t="shared" si="17"/>
        <v>7480000</v>
      </c>
      <c r="F77" s="252">
        <f t="shared" si="14"/>
        <v>180008.37248244105</v>
      </c>
      <c r="G77" s="252">
        <f t="shared" si="14"/>
        <v>33896.925438392485</v>
      </c>
      <c r="H77" s="252">
        <f t="shared" si="14"/>
        <v>240592.58570166054</v>
      </c>
      <c r="I77" s="252">
        <f t="shared" si="14"/>
        <v>212219.17298479</v>
      </c>
      <c r="J77" s="25">
        <f t="shared" si="15"/>
        <v>8146717.0566072846</v>
      </c>
      <c r="K77" s="252">
        <v>500</v>
      </c>
      <c r="L77" s="252">
        <f t="shared" si="18"/>
        <v>16293.434113214569</v>
      </c>
      <c r="M77" s="624"/>
      <c r="N77" s="40" t="s">
        <v>1174</v>
      </c>
      <c r="O77" s="722">
        <f t="shared" si="16"/>
        <v>41747</v>
      </c>
      <c r="P77" s="296">
        <v>250</v>
      </c>
      <c r="Q77" s="253">
        <v>29920</v>
      </c>
      <c r="R77" s="8">
        <f t="shared" si="19"/>
        <v>7480000</v>
      </c>
      <c r="S77" s="438"/>
      <c r="T77" s="724"/>
      <c r="U77" s="748"/>
      <c r="V77" s="748"/>
      <c r="W77" s="8">
        <f t="shared" si="20"/>
        <v>0</v>
      </c>
    </row>
    <row r="78" spans="1:23">
      <c r="A78" s="745">
        <f t="shared" si="21"/>
        <v>19</v>
      </c>
      <c r="B78" s="291" t="s">
        <v>445</v>
      </c>
      <c r="C78" s="722">
        <v>41750</v>
      </c>
      <c r="D78" s="723" t="s">
        <v>506</v>
      </c>
      <c r="E78" s="767">
        <f t="shared" si="17"/>
        <v>274830</v>
      </c>
      <c r="F78" s="252">
        <f t="shared" si="14"/>
        <v>360016.74496488209</v>
      </c>
      <c r="G78" s="252">
        <f t="shared" si="14"/>
        <v>67793.850876784971</v>
      </c>
      <c r="H78" s="252">
        <f t="shared" si="14"/>
        <v>481185.17140332109</v>
      </c>
      <c r="I78" s="252">
        <f t="shared" si="14"/>
        <v>424438.34596958</v>
      </c>
      <c r="J78" s="25">
        <f t="shared" si="15"/>
        <v>1608264.1132145682</v>
      </c>
      <c r="K78" s="252">
        <v>1000</v>
      </c>
      <c r="L78" s="252">
        <f t="shared" si="18"/>
        <v>1608.2641132145682</v>
      </c>
      <c r="M78" s="624"/>
      <c r="N78" s="40" t="s">
        <v>1175</v>
      </c>
      <c r="O78" s="722">
        <f t="shared" si="16"/>
        <v>41747</v>
      </c>
      <c r="P78" s="296">
        <v>30</v>
      </c>
      <c r="Q78" s="253">
        <v>9161</v>
      </c>
      <c r="R78" s="8">
        <f t="shared" si="19"/>
        <v>274830</v>
      </c>
      <c r="S78" s="438"/>
      <c r="T78" s="724"/>
      <c r="U78" s="748"/>
      <c r="V78" s="748"/>
      <c r="W78" s="8">
        <f t="shared" si="20"/>
        <v>0</v>
      </c>
    </row>
    <row r="79" spans="1:23">
      <c r="A79" s="745">
        <f t="shared" si="21"/>
        <v>20</v>
      </c>
      <c r="B79" s="291" t="s">
        <v>423</v>
      </c>
      <c r="C79" s="722">
        <v>41752</v>
      </c>
      <c r="D79" s="723" t="s">
        <v>507</v>
      </c>
      <c r="E79" s="767">
        <f t="shared" si="17"/>
        <v>2899971</v>
      </c>
      <c r="F79" s="252">
        <f t="shared" si="14"/>
        <v>180008.37248244105</v>
      </c>
      <c r="G79" s="252">
        <f t="shared" si="14"/>
        <v>33896.925438392485</v>
      </c>
      <c r="H79" s="252">
        <f t="shared" si="14"/>
        <v>240592.58570166054</v>
      </c>
      <c r="I79" s="252">
        <f t="shared" si="14"/>
        <v>212219.17298479</v>
      </c>
      <c r="J79" s="25">
        <f t="shared" si="15"/>
        <v>3566688.0566072841</v>
      </c>
      <c r="K79" s="252">
        <v>500</v>
      </c>
      <c r="L79" s="252">
        <f t="shared" si="18"/>
        <v>7133.3761132145682</v>
      </c>
      <c r="M79" s="624"/>
      <c r="N79" s="189" t="s">
        <v>1141</v>
      </c>
      <c r="O79" s="722">
        <f t="shared" si="16"/>
        <v>41749</v>
      </c>
      <c r="P79" s="296">
        <v>271</v>
      </c>
      <c r="Q79" s="251">
        <v>10701</v>
      </c>
      <c r="R79" s="8">
        <f t="shared" si="19"/>
        <v>2899971</v>
      </c>
      <c r="S79" s="438"/>
      <c r="T79" s="724"/>
      <c r="U79" s="748"/>
      <c r="V79" s="748"/>
      <c r="W79" s="8">
        <f t="shared" si="20"/>
        <v>0</v>
      </c>
    </row>
    <row r="80" spans="1:23">
      <c r="A80" s="745">
        <f t="shared" si="21"/>
        <v>21</v>
      </c>
      <c r="B80" s="291" t="s">
        <v>423</v>
      </c>
      <c r="C80" s="722">
        <v>41752</v>
      </c>
      <c r="D80" s="723" t="s">
        <v>507</v>
      </c>
      <c r="E80" s="767">
        <f t="shared" si="17"/>
        <v>3944000</v>
      </c>
      <c r="F80" s="252">
        <f t="shared" ref="F80:I99" si="22">IF($K$134&lt;&gt;0,F$134/$K$134*$K80,0)</f>
        <v>181448.43946230056</v>
      </c>
      <c r="G80" s="252">
        <f t="shared" si="22"/>
        <v>34168.100841899628</v>
      </c>
      <c r="H80" s="252">
        <f t="shared" si="22"/>
        <v>242517.32638727382</v>
      </c>
      <c r="I80" s="252">
        <f t="shared" si="22"/>
        <v>213916.92636866833</v>
      </c>
      <c r="J80" s="25">
        <f t="shared" si="15"/>
        <v>4616050.7930601425</v>
      </c>
      <c r="K80" s="252">
        <v>504</v>
      </c>
      <c r="L80" s="252">
        <f t="shared" si="18"/>
        <v>9158.8309386113942</v>
      </c>
      <c r="M80" s="624"/>
      <c r="N80" s="189" t="s">
        <v>1152</v>
      </c>
      <c r="O80" s="722">
        <f t="shared" si="16"/>
        <v>41749</v>
      </c>
      <c r="P80" s="296">
        <v>500</v>
      </c>
      <c r="Q80" s="251">
        <v>7888</v>
      </c>
      <c r="R80" s="8">
        <f t="shared" si="19"/>
        <v>3944000</v>
      </c>
      <c r="S80" s="438"/>
      <c r="T80" s="724"/>
      <c r="U80" s="748"/>
      <c r="V80" s="748"/>
      <c r="W80" s="8">
        <f t="shared" si="20"/>
        <v>0</v>
      </c>
    </row>
    <row r="81" spans="1:23">
      <c r="A81" s="745">
        <f t="shared" si="21"/>
        <v>22</v>
      </c>
      <c r="B81" s="291" t="s">
        <v>508</v>
      </c>
      <c r="C81" s="722">
        <v>41755</v>
      </c>
      <c r="D81" s="723" t="s">
        <v>509</v>
      </c>
      <c r="E81" s="767">
        <f t="shared" si="17"/>
        <v>2447250</v>
      </c>
      <c r="F81" s="252">
        <f t="shared" si="22"/>
        <v>109805.10721428903</v>
      </c>
      <c r="G81" s="252">
        <f t="shared" si="22"/>
        <v>20677.124517419415</v>
      </c>
      <c r="H81" s="252">
        <f t="shared" si="22"/>
        <v>146761.47727801293</v>
      </c>
      <c r="I81" s="252">
        <f t="shared" si="22"/>
        <v>129453.6955207219</v>
      </c>
      <c r="J81" s="25">
        <f t="shared" si="15"/>
        <v>2853947.4045304433</v>
      </c>
      <c r="K81" s="252">
        <v>305</v>
      </c>
      <c r="L81" s="252">
        <f t="shared" si="18"/>
        <v>9357.2046050178469</v>
      </c>
      <c r="M81" s="624"/>
      <c r="N81" s="40" t="s">
        <v>1170</v>
      </c>
      <c r="O81" s="722">
        <f t="shared" si="16"/>
        <v>41752</v>
      </c>
      <c r="P81" s="296">
        <v>150</v>
      </c>
      <c r="Q81" s="253">
        <v>16315</v>
      </c>
      <c r="R81" s="8">
        <f t="shared" si="19"/>
        <v>2447250</v>
      </c>
      <c r="S81" s="438"/>
      <c r="T81" s="724"/>
      <c r="U81" s="748"/>
      <c r="V81" s="748"/>
      <c r="W81" s="8">
        <f t="shared" si="20"/>
        <v>0</v>
      </c>
    </row>
    <row r="82" spans="1:23">
      <c r="A82" s="745">
        <f t="shared" si="21"/>
        <v>23</v>
      </c>
      <c r="B82" s="291" t="s">
        <v>494</v>
      </c>
      <c r="C82" s="722">
        <v>41755</v>
      </c>
      <c r="D82" s="723" t="s">
        <v>509</v>
      </c>
      <c r="E82" s="767">
        <f t="shared" si="17"/>
        <v>3203830</v>
      </c>
      <c r="F82" s="252">
        <f t="shared" si="22"/>
        <v>190808.87483138751</v>
      </c>
      <c r="G82" s="252">
        <f t="shared" si="22"/>
        <v>35930.740964696037</v>
      </c>
      <c r="H82" s="252">
        <f t="shared" si="22"/>
        <v>255028.14084376016</v>
      </c>
      <c r="I82" s="252">
        <f t="shared" si="22"/>
        <v>224952.3233638774</v>
      </c>
      <c r="J82" s="25">
        <f t="shared" si="15"/>
        <v>3910550.0800037207</v>
      </c>
      <c r="K82" s="252">
        <v>530</v>
      </c>
      <c r="L82" s="252">
        <f t="shared" si="18"/>
        <v>7378.3963773655105</v>
      </c>
      <c r="M82" s="624"/>
      <c r="N82" s="192" t="s">
        <v>1071</v>
      </c>
      <c r="O82" s="722">
        <f t="shared" si="16"/>
        <v>41752</v>
      </c>
      <c r="P82" s="296">
        <v>185</v>
      </c>
      <c r="Q82" s="253">
        <v>17318</v>
      </c>
      <c r="R82" s="8">
        <f t="shared" si="19"/>
        <v>3203830</v>
      </c>
      <c r="S82" s="438"/>
      <c r="T82" s="724"/>
      <c r="U82" s="748"/>
      <c r="V82" s="748"/>
      <c r="W82" s="8">
        <f t="shared" si="20"/>
        <v>0</v>
      </c>
    </row>
    <row r="83" spans="1:23">
      <c r="A83" s="745">
        <f t="shared" si="21"/>
        <v>24</v>
      </c>
      <c r="B83" s="291" t="s">
        <v>421</v>
      </c>
      <c r="C83" s="722">
        <v>41762</v>
      </c>
      <c r="D83" s="723" t="s">
        <v>510</v>
      </c>
      <c r="E83" s="767">
        <f t="shared" si="17"/>
        <v>7392000</v>
      </c>
      <c r="F83" s="252">
        <f t="shared" si="22"/>
        <v>180008.37248244105</v>
      </c>
      <c r="G83" s="252">
        <f t="shared" si="22"/>
        <v>33896.925438392485</v>
      </c>
      <c r="H83" s="252">
        <f t="shared" si="22"/>
        <v>240592.58570166054</v>
      </c>
      <c r="I83" s="252">
        <f t="shared" si="22"/>
        <v>212219.17298479</v>
      </c>
      <c r="J83" s="25">
        <f t="shared" si="15"/>
        <v>8058717.0566072846</v>
      </c>
      <c r="K83" s="252">
        <v>500</v>
      </c>
      <c r="L83" s="252">
        <f t="shared" si="18"/>
        <v>16117.434113214569</v>
      </c>
      <c r="M83" s="624"/>
      <c r="N83" s="192" t="s">
        <v>1155</v>
      </c>
      <c r="O83" s="722">
        <f t="shared" si="16"/>
        <v>41759</v>
      </c>
      <c r="P83" s="296">
        <v>500</v>
      </c>
      <c r="Q83" s="253">
        <v>14784</v>
      </c>
      <c r="R83" s="8">
        <f t="shared" si="19"/>
        <v>7392000</v>
      </c>
      <c r="S83" s="438"/>
      <c r="T83" s="724"/>
      <c r="U83" s="748"/>
      <c r="V83" s="748"/>
      <c r="W83" s="8">
        <f t="shared" si="20"/>
        <v>0</v>
      </c>
    </row>
    <row r="84" spans="1:23">
      <c r="A84" s="745">
        <f t="shared" si="21"/>
        <v>25</v>
      </c>
      <c r="B84" s="291" t="s">
        <v>445</v>
      </c>
      <c r="C84" s="722">
        <v>41762</v>
      </c>
      <c r="D84" s="723" t="s">
        <v>510</v>
      </c>
      <c r="E84" s="767">
        <f t="shared" si="17"/>
        <v>1648625</v>
      </c>
      <c r="F84" s="252">
        <f t="shared" si="22"/>
        <v>360016.74496488209</v>
      </c>
      <c r="G84" s="252">
        <f t="shared" si="22"/>
        <v>67793.850876784971</v>
      </c>
      <c r="H84" s="252">
        <f t="shared" si="22"/>
        <v>481185.17140332109</v>
      </c>
      <c r="I84" s="252">
        <f t="shared" si="22"/>
        <v>424438.34596958</v>
      </c>
      <c r="J84" s="25">
        <f t="shared" si="15"/>
        <v>2982059.1132145682</v>
      </c>
      <c r="K84" s="252">
        <v>1000</v>
      </c>
      <c r="L84" s="252">
        <f t="shared" si="18"/>
        <v>2982.0591132145682</v>
      </c>
      <c r="M84" s="624"/>
      <c r="N84" s="291" t="s">
        <v>1338</v>
      </c>
      <c r="O84" s="722">
        <f t="shared" si="16"/>
        <v>41759</v>
      </c>
      <c r="P84" s="765">
        <v>121</v>
      </c>
      <c r="Q84" s="253">
        <v>13625</v>
      </c>
      <c r="R84" s="8">
        <f t="shared" si="19"/>
        <v>1648625</v>
      </c>
      <c r="S84" s="438"/>
      <c r="T84" s="724"/>
      <c r="U84" s="748"/>
      <c r="V84" s="748"/>
      <c r="W84" s="8">
        <f t="shared" si="20"/>
        <v>0</v>
      </c>
    </row>
    <row r="85" spans="1:23">
      <c r="A85" s="745">
        <f t="shared" si="21"/>
        <v>26</v>
      </c>
      <c r="B85" s="291" t="s">
        <v>494</v>
      </c>
      <c r="C85" s="722">
        <v>41765</v>
      </c>
      <c r="D85" s="723" t="s">
        <v>511</v>
      </c>
      <c r="E85" s="767">
        <f t="shared" si="17"/>
        <v>3030650</v>
      </c>
      <c r="F85" s="252">
        <f t="shared" si="22"/>
        <v>180008.37248244105</v>
      </c>
      <c r="G85" s="252">
        <f t="shared" si="22"/>
        <v>33896.925438392485</v>
      </c>
      <c r="H85" s="252">
        <f t="shared" si="22"/>
        <v>240592.58570166054</v>
      </c>
      <c r="I85" s="252">
        <f t="shared" si="22"/>
        <v>212219.17298479</v>
      </c>
      <c r="J85" s="25">
        <f t="shared" si="15"/>
        <v>3697367.0566072841</v>
      </c>
      <c r="K85" s="252">
        <v>500</v>
      </c>
      <c r="L85" s="252">
        <f t="shared" si="18"/>
        <v>7394.7341132145684</v>
      </c>
      <c r="M85" s="624"/>
      <c r="N85" s="192" t="s">
        <v>1071</v>
      </c>
      <c r="O85" s="722">
        <f t="shared" si="16"/>
        <v>41762</v>
      </c>
      <c r="P85" s="296">
        <v>175</v>
      </c>
      <c r="Q85" s="253">
        <v>17318</v>
      </c>
      <c r="R85" s="8">
        <f t="shared" si="19"/>
        <v>3030650</v>
      </c>
      <c r="S85" s="438"/>
      <c r="T85" s="724"/>
      <c r="U85" s="748"/>
      <c r="V85" s="748"/>
      <c r="W85" s="8">
        <f t="shared" si="20"/>
        <v>0</v>
      </c>
    </row>
    <row r="86" spans="1:23">
      <c r="A86" s="745">
        <f t="shared" si="21"/>
        <v>27</v>
      </c>
      <c r="B86" s="291" t="s">
        <v>512</v>
      </c>
      <c r="C86" s="722">
        <v>41765</v>
      </c>
      <c r="D86" s="723" t="s">
        <v>511</v>
      </c>
      <c r="E86" s="767">
        <f t="shared" si="17"/>
        <v>1070100</v>
      </c>
      <c r="F86" s="252">
        <f t="shared" si="22"/>
        <v>72003.348992976418</v>
      </c>
      <c r="G86" s="252">
        <f t="shared" si="22"/>
        <v>13558.770175356995</v>
      </c>
      <c r="H86" s="252">
        <f t="shared" si="22"/>
        <v>96237.034280664215</v>
      </c>
      <c r="I86" s="252">
        <f t="shared" si="22"/>
        <v>84887.669193915994</v>
      </c>
      <c r="J86" s="25">
        <f t="shared" si="15"/>
        <v>1336786.8226429136</v>
      </c>
      <c r="K86" s="252">
        <v>200</v>
      </c>
      <c r="L86" s="252">
        <f t="shared" si="18"/>
        <v>6683.9341132145673</v>
      </c>
      <c r="M86" s="624"/>
      <c r="N86" s="189" t="s">
        <v>1141</v>
      </c>
      <c r="O86" s="722">
        <f t="shared" si="16"/>
        <v>41762</v>
      </c>
      <c r="P86" s="765">
        <v>100</v>
      </c>
      <c r="Q86" s="251">
        <v>10701</v>
      </c>
      <c r="R86" s="8">
        <f t="shared" si="19"/>
        <v>1070100</v>
      </c>
      <c r="S86" s="438"/>
      <c r="T86" s="724"/>
      <c r="U86" s="748"/>
      <c r="V86" s="748"/>
      <c r="W86" s="8">
        <f t="shared" si="20"/>
        <v>0</v>
      </c>
    </row>
    <row r="87" spans="1:23">
      <c r="A87" s="745">
        <f t="shared" si="21"/>
        <v>28</v>
      </c>
      <c r="B87" s="291" t="s">
        <v>446</v>
      </c>
      <c r="C87" s="722">
        <v>41772</v>
      </c>
      <c r="D87" s="723" t="s">
        <v>513</v>
      </c>
      <c r="E87" s="767">
        <f t="shared" si="17"/>
        <v>3640600</v>
      </c>
      <c r="F87" s="252">
        <f t="shared" si="22"/>
        <v>72003.348992976418</v>
      </c>
      <c r="G87" s="252">
        <f t="shared" si="22"/>
        <v>13558.770175356995</v>
      </c>
      <c r="H87" s="252">
        <f t="shared" si="22"/>
        <v>96237.034280664215</v>
      </c>
      <c r="I87" s="252">
        <f t="shared" si="22"/>
        <v>84887.669193915994</v>
      </c>
      <c r="J87" s="25">
        <f t="shared" si="15"/>
        <v>3907286.8226429136</v>
      </c>
      <c r="K87" s="252">
        <v>200</v>
      </c>
      <c r="L87" s="252">
        <f t="shared" si="18"/>
        <v>19536.434113214567</v>
      </c>
      <c r="M87" s="624"/>
      <c r="N87" s="189" t="s">
        <v>1148</v>
      </c>
      <c r="O87" s="722">
        <f t="shared" si="16"/>
        <v>41769</v>
      </c>
      <c r="P87" s="296">
        <v>200</v>
      </c>
      <c r="Q87" s="253">
        <v>18203</v>
      </c>
      <c r="R87" s="8">
        <f t="shared" si="19"/>
        <v>3640600</v>
      </c>
      <c r="S87" s="438"/>
      <c r="T87" s="724"/>
      <c r="U87" s="748"/>
      <c r="V87" s="748"/>
      <c r="W87" s="8">
        <f t="shared" si="20"/>
        <v>0</v>
      </c>
    </row>
    <row r="88" spans="1:23">
      <c r="A88" s="745">
        <f t="shared" si="21"/>
        <v>29</v>
      </c>
      <c r="B88" s="291" t="s">
        <v>436</v>
      </c>
      <c r="C88" s="722">
        <v>41774</v>
      </c>
      <c r="D88" s="723" t="s">
        <v>514</v>
      </c>
      <c r="E88" s="767">
        <f t="shared" si="17"/>
        <v>2548885</v>
      </c>
      <c r="F88" s="252">
        <f t="shared" si="22"/>
        <v>108005.02348946463</v>
      </c>
      <c r="G88" s="252">
        <f t="shared" si="22"/>
        <v>20338.155263035493</v>
      </c>
      <c r="H88" s="252">
        <f t="shared" si="22"/>
        <v>144355.55142099631</v>
      </c>
      <c r="I88" s="252">
        <f t="shared" si="22"/>
        <v>127331.50379087399</v>
      </c>
      <c r="J88" s="25">
        <f t="shared" si="15"/>
        <v>2948915.2339643706</v>
      </c>
      <c r="K88" s="252">
        <v>300</v>
      </c>
      <c r="L88" s="252">
        <f t="shared" si="18"/>
        <v>9829.717446547902</v>
      </c>
      <c r="M88" s="624"/>
      <c r="N88" s="291" t="s">
        <v>1337</v>
      </c>
      <c r="O88" s="722">
        <f t="shared" si="16"/>
        <v>41771</v>
      </c>
      <c r="P88" s="296">
        <v>137</v>
      </c>
      <c r="Q88" s="253">
        <v>18605</v>
      </c>
      <c r="R88" s="8">
        <f t="shared" si="19"/>
        <v>2548885</v>
      </c>
      <c r="S88" s="438"/>
      <c r="T88" s="724"/>
      <c r="U88" s="748"/>
      <c r="V88" s="748"/>
      <c r="W88" s="8">
        <f t="shared" si="20"/>
        <v>0</v>
      </c>
    </row>
    <row r="89" spans="1:23">
      <c r="A89" s="745">
        <f t="shared" si="21"/>
        <v>30</v>
      </c>
      <c r="B89" s="291" t="s">
        <v>515</v>
      </c>
      <c r="C89" s="722">
        <v>41774</v>
      </c>
      <c r="D89" s="723" t="s">
        <v>516</v>
      </c>
      <c r="E89" s="767">
        <f t="shared" si="17"/>
        <v>9504000</v>
      </c>
      <c r="F89" s="252">
        <f t="shared" si="22"/>
        <v>355336.52728033863</v>
      </c>
      <c r="G89" s="252">
        <f t="shared" si="22"/>
        <v>66912.530815386766</v>
      </c>
      <c r="H89" s="252">
        <f t="shared" si="22"/>
        <v>474929.7641750779</v>
      </c>
      <c r="I89" s="252">
        <f t="shared" si="22"/>
        <v>418920.64747197542</v>
      </c>
      <c r="J89" s="25">
        <f t="shared" si="15"/>
        <v>10820099.469742779</v>
      </c>
      <c r="K89" s="252">
        <v>987</v>
      </c>
      <c r="L89" s="252">
        <f t="shared" si="18"/>
        <v>10962.613444521559</v>
      </c>
      <c r="M89" s="624"/>
      <c r="N89" s="192" t="s">
        <v>1156</v>
      </c>
      <c r="O89" s="722">
        <f t="shared" si="16"/>
        <v>41771</v>
      </c>
      <c r="P89" s="296">
        <v>500</v>
      </c>
      <c r="Q89" s="251">
        <v>19008</v>
      </c>
      <c r="R89" s="8">
        <f t="shared" si="19"/>
        <v>9504000</v>
      </c>
      <c r="S89" s="438"/>
      <c r="T89" s="724"/>
      <c r="U89" s="748"/>
      <c r="V89" s="748"/>
      <c r="W89" s="8">
        <f t="shared" si="20"/>
        <v>0</v>
      </c>
    </row>
    <row r="90" spans="1:23">
      <c r="A90" s="745">
        <f t="shared" si="21"/>
        <v>31</v>
      </c>
      <c r="B90" s="291" t="s">
        <v>517</v>
      </c>
      <c r="C90" s="722">
        <v>41774</v>
      </c>
      <c r="D90" s="723" t="s">
        <v>518</v>
      </c>
      <c r="E90" s="767">
        <f t="shared" si="17"/>
        <v>9504000</v>
      </c>
      <c r="F90" s="252">
        <f t="shared" si="22"/>
        <v>358216.66124005767</v>
      </c>
      <c r="G90" s="252">
        <f t="shared" si="22"/>
        <v>67454.881622401052</v>
      </c>
      <c r="H90" s="252">
        <f t="shared" si="22"/>
        <v>478779.24554630445</v>
      </c>
      <c r="I90" s="252">
        <f t="shared" si="22"/>
        <v>422316.15423973207</v>
      </c>
      <c r="J90" s="25">
        <f t="shared" si="15"/>
        <v>10830766.942648495</v>
      </c>
      <c r="K90" s="252">
        <v>995</v>
      </c>
      <c r="L90" s="252">
        <f t="shared" si="18"/>
        <v>10885.192907184417</v>
      </c>
      <c r="M90" s="624"/>
      <c r="N90" s="192" t="s">
        <v>1156</v>
      </c>
      <c r="O90" s="722">
        <f t="shared" si="16"/>
        <v>41771</v>
      </c>
      <c r="P90" s="296">
        <v>500</v>
      </c>
      <c r="Q90" s="251">
        <v>19008</v>
      </c>
      <c r="R90" s="8">
        <f t="shared" si="19"/>
        <v>9504000</v>
      </c>
      <c r="S90" s="438"/>
      <c r="T90" s="724"/>
      <c r="U90" s="748"/>
      <c r="V90" s="748"/>
      <c r="W90" s="8">
        <f t="shared" si="20"/>
        <v>0</v>
      </c>
    </row>
    <row r="91" spans="1:23">
      <c r="A91" s="745">
        <f t="shared" si="21"/>
        <v>32</v>
      </c>
      <c r="B91" s="291" t="s">
        <v>519</v>
      </c>
      <c r="C91" s="722">
        <v>41774</v>
      </c>
      <c r="D91" s="723" t="s">
        <v>518</v>
      </c>
      <c r="E91" s="767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52">
        <v>497</v>
      </c>
      <c r="L91" s="252">
        <f t="shared" si="18"/>
        <v>9661.452221866477</v>
      </c>
      <c r="M91" s="755"/>
      <c r="N91" s="40" t="s">
        <v>1173</v>
      </c>
      <c r="O91" s="722">
        <f t="shared" si="16"/>
        <v>41771</v>
      </c>
      <c r="P91" s="296">
        <v>435</v>
      </c>
      <c r="Q91" s="253">
        <v>9515</v>
      </c>
      <c r="R91" s="8">
        <f t="shared" si="19"/>
        <v>4139025</v>
      </c>
      <c r="S91" s="438"/>
      <c r="T91" s="724"/>
      <c r="U91" s="748"/>
      <c r="V91" s="748"/>
      <c r="W91" s="8">
        <f t="shared" si="20"/>
        <v>0</v>
      </c>
    </row>
    <row r="92" spans="1:23">
      <c r="A92" s="745">
        <f>IF(B92&lt;&gt;"",A91+1,"")</f>
        <v>33</v>
      </c>
      <c r="B92" s="291" t="s">
        <v>483</v>
      </c>
      <c r="C92" s="722">
        <v>41778</v>
      </c>
      <c r="D92" s="723" t="s">
        <v>520</v>
      </c>
      <c r="E92" s="767">
        <f t="shared" si="17"/>
        <v>2193705</v>
      </c>
      <c r="F92" s="252">
        <f t="shared" si="22"/>
        <v>73803.432717800824</v>
      </c>
      <c r="G92" s="252">
        <f t="shared" si="22"/>
        <v>13897.739429740919</v>
      </c>
      <c r="H92" s="252">
        <f t="shared" si="22"/>
        <v>98642.960137680828</v>
      </c>
      <c r="I92" s="252">
        <f t="shared" si="22"/>
        <v>87009.860923763903</v>
      </c>
      <c r="J92" s="25">
        <f t="shared" ref="J92:J123" si="23">SUM(E92:I92)</f>
        <v>2467058.9932089858</v>
      </c>
      <c r="K92" s="252">
        <v>205</v>
      </c>
      <c r="L92" s="252">
        <f t="shared" si="18"/>
        <v>12034.434113214566</v>
      </c>
      <c r="M92" s="624"/>
      <c r="N92" s="189" t="s">
        <v>1141</v>
      </c>
      <c r="O92" s="722">
        <f t="shared" ref="O92:O123" si="24">C92-3</f>
        <v>41775</v>
      </c>
      <c r="P92" s="296">
        <v>205</v>
      </c>
      <c r="Q92" s="251">
        <v>10701</v>
      </c>
      <c r="R92" s="8">
        <f t="shared" si="19"/>
        <v>2193705</v>
      </c>
      <c r="S92" s="438"/>
      <c r="T92" s="724"/>
      <c r="U92" s="748"/>
      <c r="V92" s="748"/>
      <c r="W92" s="8">
        <f t="shared" si="20"/>
        <v>0</v>
      </c>
    </row>
    <row r="93" spans="1:23">
      <c r="A93" s="745">
        <f t="shared" si="21"/>
        <v>34</v>
      </c>
      <c r="B93" s="291" t="s">
        <v>487</v>
      </c>
      <c r="C93" s="722">
        <v>41778</v>
      </c>
      <c r="D93" s="723" t="s">
        <v>520</v>
      </c>
      <c r="E93" s="767">
        <f t="shared" si="17"/>
        <v>1179200</v>
      </c>
      <c r="F93" s="252">
        <f t="shared" si="22"/>
        <v>106924.97325456998</v>
      </c>
      <c r="G93" s="252">
        <f t="shared" si="22"/>
        <v>20134.773710405138</v>
      </c>
      <c r="H93" s="252">
        <f t="shared" si="22"/>
        <v>142911.99590678635</v>
      </c>
      <c r="I93" s="252">
        <f t="shared" si="22"/>
        <v>126058.18875296526</v>
      </c>
      <c r="J93" s="25">
        <f t="shared" si="23"/>
        <v>1575229.9316247269</v>
      </c>
      <c r="K93" s="252">
        <v>297</v>
      </c>
      <c r="L93" s="252">
        <f t="shared" si="18"/>
        <v>5303.8044835849387</v>
      </c>
      <c r="M93" s="624"/>
      <c r="N93" s="192" t="s">
        <v>1067</v>
      </c>
      <c r="O93" s="722">
        <f t="shared" si="24"/>
        <v>41775</v>
      </c>
      <c r="P93" s="296">
        <v>100</v>
      </c>
      <c r="Q93" s="251">
        <v>11792</v>
      </c>
      <c r="R93" s="8">
        <f t="shared" si="19"/>
        <v>1179200</v>
      </c>
      <c r="S93" s="438"/>
      <c r="T93" s="724"/>
      <c r="U93" s="748"/>
      <c r="V93" s="748"/>
      <c r="W93" s="8">
        <f t="shared" si="20"/>
        <v>0</v>
      </c>
    </row>
    <row r="94" spans="1:23">
      <c r="A94" s="745">
        <f t="shared" si="21"/>
        <v>35</v>
      </c>
      <c r="B94" s="291" t="s">
        <v>486</v>
      </c>
      <c r="C94" s="722">
        <v>41778</v>
      </c>
      <c r="D94" s="723" t="s">
        <v>520</v>
      </c>
      <c r="E94" s="767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52">
        <v>374</v>
      </c>
      <c r="L94" s="252">
        <f t="shared" si="18"/>
        <v>9083.9688725728556</v>
      </c>
      <c r="M94" s="755"/>
      <c r="N94" s="40" t="s">
        <v>1182</v>
      </c>
      <c r="O94" s="722">
        <f t="shared" si="24"/>
        <v>41775</v>
      </c>
      <c r="P94" s="296">
        <v>350</v>
      </c>
      <c r="Q94" s="251">
        <v>8282</v>
      </c>
      <c r="R94" s="8">
        <f t="shared" si="19"/>
        <v>2898700</v>
      </c>
      <c r="S94" s="438"/>
      <c r="T94" s="724"/>
      <c r="U94" s="748"/>
      <c r="V94" s="748"/>
      <c r="W94" s="8">
        <f t="shared" si="20"/>
        <v>0</v>
      </c>
    </row>
    <row r="95" spans="1:23">
      <c r="A95" s="745">
        <f>IF(B95&lt;&gt;"",A94+1,"")</f>
        <v>36</v>
      </c>
      <c r="B95" s="291" t="s">
        <v>494</v>
      </c>
      <c r="C95" s="722">
        <v>41778</v>
      </c>
      <c r="D95" s="723" t="s">
        <v>520</v>
      </c>
      <c r="E95" s="767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52">
        <v>399</v>
      </c>
      <c r="L95" s="252">
        <f t="shared" si="18"/>
        <v>8595.7499026882524</v>
      </c>
      <c r="M95" s="755"/>
      <c r="N95" s="40" t="s">
        <v>1181</v>
      </c>
      <c r="O95" s="722">
        <f t="shared" si="24"/>
        <v>41775</v>
      </c>
      <c r="P95" s="765">
        <v>147</v>
      </c>
      <c r="Q95" s="251">
        <v>19712</v>
      </c>
      <c r="R95" s="8">
        <f t="shared" si="19"/>
        <v>2897664</v>
      </c>
      <c r="S95" s="438"/>
      <c r="T95" s="724"/>
      <c r="U95" s="748"/>
      <c r="V95" s="748"/>
      <c r="W95" s="8">
        <f t="shared" si="20"/>
        <v>0</v>
      </c>
    </row>
    <row r="96" spans="1:23">
      <c r="A96" s="745">
        <f>IF(B96&lt;&gt;"",A95+1,"")</f>
        <v>37</v>
      </c>
      <c r="B96" s="291" t="s">
        <v>521</v>
      </c>
      <c r="C96" s="722">
        <v>41779</v>
      </c>
      <c r="D96" s="723" t="s">
        <v>522</v>
      </c>
      <c r="E96" s="767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52">
        <v>150</v>
      </c>
      <c r="L96" s="252">
        <f t="shared" si="18"/>
        <v>5271.4341132145682</v>
      </c>
      <c r="M96" s="755"/>
      <c r="N96" s="40" t="s">
        <v>1179</v>
      </c>
      <c r="O96" s="722">
        <f t="shared" si="24"/>
        <v>41776</v>
      </c>
      <c r="P96" s="296">
        <v>30</v>
      </c>
      <c r="Q96" s="251">
        <v>19690</v>
      </c>
      <c r="R96" s="8">
        <f t="shared" si="19"/>
        <v>590700</v>
      </c>
      <c r="S96" s="438"/>
      <c r="T96" s="724"/>
      <c r="U96" s="748"/>
      <c r="V96" s="748"/>
      <c r="W96" s="8">
        <f t="shared" si="20"/>
        <v>0</v>
      </c>
    </row>
    <row r="97" spans="1:23">
      <c r="A97" s="745">
        <f>IF(B97&lt;&gt;"",A96+1,"")</f>
        <v>38</v>
      </c>
      <c r="B97" s="291" t="s">
        <v>523</v>
      </c>
      <c r="C97" s="722">
        <v>41779</v>
      </c>
      <c r="D97" s="723" t="s">
        <v>522</v>
      </c>
      <c r="E97" s="767">
        <f t="shared" si="17"/>
        <v>4263000</v>
      </c>
      <c r="F97" s="252">
        <f t="shared" si="22"/>
        <v>450020.9312061026</v>
      </c>
      <c r="G97" s="252">
        <f t="shared" si="22"/>
        <v>84742.313595981221</v>
      </c>
      <c r="H97" s="252">
        <f t="shared" si="22"/>
        <v>601481.46425415133</v>
      </c>
      <c r="I97" s="252">
        <f t="shared" si="22"/>
        <v>530547.93246197503</v>
      </c>
      <c r="J97" s="25">
        <f t="shared" si="23"/>
        <v>5929792.6415182101</v>
      </c>
      <c r="K97" s="252">
        <v>1250</v>
      </c>
      <c r="L97" s="252">
        <f t="shared" si="18"/>
        <v>4743.8341132145679</v>
      </c>
      <c r="M97" s="624"/>
      <c r="N97" s="40" t="s">
        <v>1171</v>
      </c>
      <c r="O97" s="722">
        <f t="shared" si="24"/>
        <v>41776</v>
      </c>
      <c r="P97" s="296">
        <v>420</v>
      </c>
      <c r="Q97" s="251">
        <v>10150</v>
      </c>
      <c r="R97" s="8">
        <f t="shared" si="19"/>
        <v>4263000</v>
      </c>
      <c r="S97" s="438"/>
      <c r="T97" s="724"/>
      <c r="U97" s="748"/>
      <c r="V97" s="748"/>
      <c r="W97" s="8">
        <f t="shared" si="20"/>
        <v>0</v>
      </c>
    </row>
    <row r="98" spans="1:23">
      <c r="A98" s="745">
        <f t="shared" ref="A98:A132" si="25">IF(B98&lt;&gt;"",A97+1,"")</f>
        <v>39</v>
      </c>
      <c r="B98" s="291" t="s">
        <v>524</v>
      </c>
      <c r="C98" s="722">
        <v>41780</v>
      </c>
      <c r="D98" s="723" t="s">
        <v>525</v>
      </c>
      <c r="E98" s="767">
        <f t="shared" si="17"/>
        <v>293152</v>
      </c>
      <c r="F98" s="252">
        <f t="shared" si="22"/>
        <v>432020.09395785851</v>
      </c>
      <c r="G98" s="252">
        <f t="shared" si="22"/>
        <v>81352.621052141971</v>
      </c>
      <c r="H98" s="252">
        <f t="shared" si="22"/>
        <v>577422.20568398526</v>
      </c>
      <c r="I98" s="252">
        <f t="shared" si="22"/>
        <v>509326.01516349596</v>
      </c>
      <c r="J98" s="25">
        <f t="shared" si="23"/>
        <v>1893272.9358574816</v>
      </c>
      <c r="K98" s="252">
        <v>1200</v>
      </c>
      <c r="L98" s="252">
        <f t="shared" si="18"/>
        <v>1577.7274465479013</v>
      </c>
      <c r="M98" s="624"/>
      <c r="N98" s="40" t="s">
        <v>1175</v>
      </c>
      <c r="O98" s="722">
        <f t="shared" si="24"/>
        <v>41777</v>
      </c>
      <c r="P98" s="296">
        <v>32</v>
      </c>
      <c r="Q98" s="253">
        <v>9161</v>
      </c>
      <c r="R98" s="8">
        <f t="shared" si="19"/>
        <v>293152</v>
      </c>
      <c r="S98" s="438"/>
      <c r="T98" s="724"/>
      <c r="U98" s="748"/>
      <c r="V98" s="748"/>
      <c r="W98" s="8">
        <f t="shared" si="20"/>
        <v>0</v>
      </c>
    </row>
    <row r="99" spans="1:23">
      <c r="A99" s="745">
        <f t="shared" si="25"/>
        <v>40</v>
      </c>
      <c r="B99" s="291" t="s">
        <v>466</v>
      </c>
      <c r="C99" s="722">
        <v>41780</v>
      </c>
      <c r="D99" s="723" t="s">
        <v>526</v>
      </c>
      <c r="E99" s="767">
        <f t="shared" si="17"/>
        <v>4767900</v>
      </c>
      <c r="F99" s="252">
        <f t="shared" si="22"/>
        <v>469821.85217917111</v>
      </c>
      <c r="G99" s="252">
        <f t="shared" si="22"/>
        <v>88470.97539420439</v>
      </c>
      <c r="H99" s="252">
        <f t="shared" si="22"/>
        <v>627946.64868133399</v>
      </c>
      <c r="I99" s="252">
        <f t="shared" si="22"/>
        <v>553892.04149030184</v>
      </c>
      <c r="J99" s="25">
        <f t="shared" si="23"/>
        <v>6508031.5177450115</v>
      </c>
      <c r="K99" s="252">
        <v>1305</v>
      </c>
      <c r="L99" s="252">
        <f t="shared" si="18"/>
        <v>4986.9973316053729</v>
      </c>
      <c r="M99" s="624"/>
      <c r="N99" s="189" t="s">
        <v>1150</v>
      </c>
      <c r="O99" s="722">
        <f t="shared" si="24"/>
        <v>41777</v>
      </c>
      <c r="P99" s="296">
        <v>300</v>
      </c>
      <c r="Q99" s="251">
        <v>15893</v>
      </c>
      <c r="R99" s="8">
        <f t="shared" si="19"/>
        <v>4767900</v>
      </c>
      <c r="S99" s="438"/>
      <c r="T99" s="724"/>
      <c r="U99" s="748"/>
      <c r="V99" s="748"/>
      <c r="W99" s="8">
        <f t="shared" si="20"/>
        <v>0</v>
      </c>
    </row>
    <row r="100" spans="1:23">
      <c r="A100" s="745">
        <f t="shared" si="25"/>
        <v>41</v>
      </c>
      <c r="B100" s="291" t="s">
        <v>527</v>
      </c>
      <c r="C100" s="722">
        <v>41781</v>
      </c>
      <c r="D100" s="723" t="s">
        <v>528</v>
      </c>
      <c r="E100" s="767">
        <f t="shared" si="17"/>
        <v>7489000</v>
      </c>
      <c r="F100" s="252">
        <f t="shared" ref="F100:I119" si="26">IF($K$134&lt;&gt;0,F$134/$K$134*$K100,0)</f>
        <v>178928.3222475464</v>
      </c>
      <c r="G100" s="252">
        <f t="shared" si="26"/>
        <v>33693.543885762134</v>
      </c>
      <c r="H100" s="252">
        <f t="shared" si="26"/>
        <v>239149.03018745058</v>
      </c>
      <c r="I100" s="252">
        <f t="shared" si="26"/>
        <v>210945.85794688124</v>
      </c>
      <c r="J100" s="25">
        <f t="shared" si="23"/>
        <v>8151716.7542676395</v>
      </c>
      <c r="K100" s="252">
        <v>497</v>
      </c>
      <c r="L100" s="252">
        <f t="shared" si="18"/>
        <v>16401.844575991225</v>
      </c>
      <c r="M100" s="624"/>
      <c r="N100" s="192" t="s">
        <v>1069</v>
      </c>
      <c r="O100" s="722">
        <f t="shared" si="24"/>
        <v>41778</v>
      </c>
      <c r="P100" s="296">
        <v>500</v>
      </c>
      <c r="Q100" s="253">
        <v>14978</v>
      </c>
      <c r="R100" s="8">
        <f t="shared" si="19"/>
        <v>7489000</v>
      </c>
      <c r="S100" s="438"/>
      <c r="T100" s="724"/>
      <c r="U100" s="748"/>
      <c r="V100" s="748"/>
      <c r="W100" s="8">
        <f t="shared" si="20"/>
        <v>0</v>
      </c>
    </row>
    <row r="101" spans="1:23">
      <c r="A101" s="745">
        <f t="shared" si="25"/>
        <v>42</v>
      </c>
      <c r="B101" s="291" t="s">
        <v>463</v>
      </c>
      <c r="C101" s="722">
        <v>41786</v>
      </c>
      <c r="D101" s="723" t="s">
        <v>529</v>
      </c>
      <c r="E101" s="767">
        <f t="shared" si="17"/>
        <v>10231000</v>
      </c>
      <c r="F101" s="252">
        <f t="shared" si="26"/>
        <v>359296.71147495235</v>
      </c>
      <c r="G101" s="252">
        <f t="shared" si="26"/>
        <v>67658.263175031403</v>
      </c>
      <c r="H101" s="252">
        <f t="shared" si="26"/>
        <v>480222.80106051441</v>
      </c>
      <c r="I101" s="252">
        <f t="shared" si="26"/>
        <v>423589.4692776408</v>
      </c>
      <c r="J101" s="25">
        <f t="shared" si="23"/>
        <v>11561767.24498814</v>
      </c>
      <c r="K101" s="252">
        <v>998</v>
      </c>
      <c r="L101" s="252">
        <f t="shared" si="18"/>
        <v>11584.937119226593</v>
      </c>
      <c r="M101" s="624"/>
      <c r="N101" s="40" t="s">
        <v>1166</v>
      </c>
      <c r="O101" s="722">
        <f t="shared" si="24"/>
        <v>41783</v>
      </c>
      <c r="P101" s="296">
        <v>1000</v>
      </c>
      <c r="Q101" s="253">
        <v>10231</v>
      </c>
      <c r="R101" s="8">
        <f t="shared" si="19"/>
        <v>10231000</v>
      </c>
      <c r="S101" s="438"/>
      <c r="T101" s="724"/>
      <c r="U101" s="748"/>
      <c r="V101" s="748"/>
      <c r="W101" s="8">
        <f t="shared" si="20"/>
        <v>0</v>
      </c>
    </row>
    <row r="102" spans="1:23">
      <c r="A102" s="745">
        <f t="shared" si="25"/>
        <v>43</v>
      </c>
      <c r="B102" s="291" t="s">
        <v>436</v>
      </c>
      <c r="C102" s="722">
        <v>41788</v>
      </c>
      <c r="D102" s="723" t="s">
        <v>530</v>
      </c>
      <c r="E102" s="767">
        <f t="shared" si="17"/>
        <v>4111750</v>
      </c>
      <c r="F102" s="252">
        <f t="shared" si="26"/>
        <v>178568.30550258153</v>
      </c>
      <c r="G102" s="252">
        <f t="shared" si="26"/>
        <v>33625.75003488535</v>
      </c>
      <c r="H102" s="252">
        <f t="shared" si="26"/>
        <v>238667.84501604724</v>
      </c>
      <c r="I102" s="252">
        <f t="shared" si="26"/>
        <v>210521.41960091167</v>
      </c>
      <c r="J102" s="25">
        <f t="shared" si="23"/>
        <v>4773133.3201544257</v>
      </c>
      <c r="K102" s="252">
        <v>496</v>
      </c>
      <c r="L102" s="252">
        <f t="shared" si="18"/>
        <v>9623.2526616016639</v>
      </c>
      <c r="M102" s="624"/>
      <c r="N102" s="189" t="s">
        <v>1149</v>
      </c>
      <c r="O102" s="722">
        <f t="shared" si="24"/>
        <v>41785</v>
      </c>
      <c r="P102" s="296">
        <v>250</v>
      </c>
      <c r="Q102" s="253">
        <v>16447</v>
      </c>
      <c r="R102" s="8">
        <f t="shared" si="19"/>
        <v>4111750</v>
      </c>
      <c r="S102" s="438"/>
      <c r="T102" s="724"/>
      <c r="U102" s="748"/>
      <c r="V102" s="748"/>
      <c r="W102" s="8">
        <f t="shared" si="20"/>
        <v>0</v>
      </c>
    </row>
    <row r="103" spans="1:23">
      <c r="A103" s="745">
        <f t="shared" si="25"/>
        <v>44</v>
      </c>
      <c r="B103" s="291" t="s">
        <v>508</v>
      </c>
      <c r="C103" s="722">
        <v>41788</v>
      </c>
      <c r="D103" s="723" t="s">
        <v>531</v>
      </c>
      <c r="E103" s="767">
        <f t="shared" si="17"/>
        <v>2345500</v>
      </c>
      <c r="F103" s="252">
        <f t="shared" si="26"/>
        <v>109445.09046932416</v>
      </c>
      <c r="G103" s="252">
        <f t="shared" si="26"/>
        <v>20609.330666542632</v>
      </c>
      <c r="H103" s="252">
        <f t="shared" si="26"/>
        <v>146280.29210660962</v>
      </c>
      <c r="I103" s="252">
        <f t="shared" si="26"/>
        <v>129029.25717475232</v>
      </c>
      <c r="J103" s="25">
        <f t="shared" si="23"/>
        <v>2750863.9704172285</v>
      </c>
      <c r="K103" s="252">
        <v>304</v>
      </c>
      <c r="L103" s="252">
        <f t="shared" si="18"/>
        <v>9048.8946395303574</v>
      </c>
      <c r="M103" s="624"/>
      <c r="N103" s="291" t="s">
        <v>1327</v>
      </c>
      <c r="O103" s="722">
        <f t="shared" si="24"/>
        <v>41785</v>
      </c>
      <c r="P103" s="296">
        <v>100</v>
      </c>
      <c r="Q103" s="251">
        <v>23455</v>
      </c>
      <c r="R103" s="8">
        <f t="shared" si="19"/>
        <v>2345500</v>
      </c>
      <c r="S103" s="438"/>
      <c r="T103" s="724"/>
      <c r="U103" s="748"/>
      <c r="V103" s="748"/>
      <c r="W103" s="8">
        <f t="shared" si="20"/>
        <v>0</v>
      </c>
    </row>
    <row r="104" spans="1:23">
      <c r="A104" s="745">
        <f t="shared" si="25"/>
        <v>45</v>
      </c>
      <c r="B104" s="291" t="s">
        <v>532</v>
      </c>
      <c r="C104" s="722">
        <v>41788</v>
      </c>
      <c r="D104" s="723" t="s">
        <v>531</v>
      </c>
      <c r="E104" s="767">
        <f t="shared" si="17"/>
        <v>1575200</v>
      </c>
      <c r="F104" s="252">
        <f t="shared" si="26"/>
        <v>55442.57872459184</v>
      </c>
      <c r="G104" s="252">
        <f t="shared" si="26"/>
        <v>10440.253035024885</v>
      </c>
      <c r="H104" s="252">
        <f t="shared" si="26"/>
        <v>74102.516396111445</v>
      </c>
      <c r="I104" s="252">
        <f t="shared" si="26"/>
        <v>65363.505279315315</v>
      </c>
      <c r="J104" s="25">
        <f t="shared" si="23"/>
        <v>1780548.8534350435</v>
      </c>
      <c r="K104" s="252">
        <v>154</v>
      </c>
      <c r="L104" s="252">
        <f t="shared" si="18"/>
        <v>11562.005541785997</v>
      </c>
      <c r="M104" s="624"/>
      <c r="N104" s="40" t="s">
        <v>1179</v>
      </c>
      <c r="O104" s="722">
        <f t="shared" si="24"/>
        <v>41785</v>
      </c>
      <c r="P104" s="296">
        <v>80</v>
      </c>
      <c r="Q104" s="253">
        <v>19690</v>
      </c>
      <c r="R104" s="8">
        <f t="shared" si="19"/>
        <v>1575200</v>
      </c>
      <c r="S104" s="438"/>
      <c r="T104" s="724"/>
      <c r="U104" s="748"/>
      <c r="V104" s="748"/>
      <c r="W104" s="8">
        <f t="shared" si="20"/>
        <v>0</v>
      </c>
    </row>
    <row r="105" spans="1:23">
      <c r="A105" s="745">
        <f t="shared" si="25"/>
        <v>46</v>
      </c>
      <c r="B105" s="291" t="s">
        <v>494</v>
      </c>
      <c r="C105" s="722">
        <v>41788</v>
      </c>
      <c r="D105" s="723" t="s">
        <v>531</v>
      </c>
      <c r="E105" s="767">
        <f t="shared" si="17"/>
        <v>3004400</v>
      </c>
      <c r="F105" s="252">
        <f t="shared" si="26"/>
        <v>180008.37248244105</v>
      </c>
      <c r="G105" s="252">
        <f t="shared" si="26"/>
        <v>33896.925438392485</v>
      </c>
      <c r="H105" s="252">
        <f t="shared" si="26"/>
        <v>240592.58570166054</v>
      </c>
      <c r="I105" s="252">
        <f t="shared" si="26"/>
        <v>212219.17298479</v>
      </c>
      <c r="J105" s="25">
        <f t="shared" si="23"/>
        <v>3671117.0566072841</v>
      </c>
      <c r="K105" s="252">
        <v>500</v>
      </c>
      <c r="L105" s="252">
        <f t="shared" si="18"/>
        <v>7342.2341132145684</v>
      </c>
      <c r="M105" s="624"/>
      <c r="N105" s="40" t="s">
        <v>1169</v>
      </c>
      <c r="O105" s="722">
        <f t="shared" si="24"/>
        <v>41785</v>
      </c>
      <c r="P105" s="296">
        <v>350</v>
      </c>
      <c r="Q105" s="251">
        <v>8584</v>
      </c>
      <c r="R105" s="8">
        <f t="shared" si="19"/>
        <v>3004400</v>
      </c>
      <c r="S105" s="438"/>
      <c r="T105" s="724"/>
      <c r="U105" s="748"/>
      <c r="V105" s="748"/>
      <c r="W105" s="8">
        <f t="shared" si="20"/>
        <v>0</v>
      </c>
    </row>
    <row r="106" spans="1:23">
      <c r="A106" s="745">
        <f t="shared" si="25"/>
        <v>47</v>
      </c>
      <c r="B106" s="291" t="s">
        <v>533</v>
      </c>
      <c r="C106" s="722">
        <v>41788</v>
      </c>
      <c r="D106" s="723" t="s">
        <v>534</v>
      </c>
      <c r="E106" s="767">
        <f t="shared" si="17"/>
        <v>1224100</v>
      </c>
      <c r="F106" s="252">
        <f t="shared" si="26"/>
        <v>75243.499697660358</v>
      </c>
      <c r="G106" s="252">
        <f t="shared" si="26"/>
        <v>14168.91483324806</v>
      </c>
      <c r="H106" s="252">
        <f t="shared" si="26"/>
        <v>100567.7008232941</v>
      </c>
      <c r="I106" s="252">
        <f t="shared" si="26"/>
        <v>88707.614307642216</v>
      </c>
      <c r="J106" s="25">
        <f t="shared" si="23"/>
        <v>1502787.7296618447</v>
      </c>
      <c r="K106" s="252">
        <v>209</v>
      </c>
      <c r="L106" s="252">
        <f t="shared" si="18"/>
        <v>7190.3719122576304</v>
      </c>
      <c r="M106" s="624"/>
      <c r="N106" s="189" t="s">
        <v>1151</v>
      </c>
      <c r="O106" s="722">
        <f t="shared" si="24"/>
        <v>41785</v>
      </c>
      <c r="P106" s="765">
        <v>100</v>
      </c>
      <c r="Q106" s="251">
        <v>12241</v>
      </c>
      <c r="R106" s="8">
        <f t="shared" si="19"/>
        <v>1224100</v>
      </c>
      <c r="S106" s="438"/>
      <c r="T106" s="724"/>
      <c r="U106" s="748"/>
      <c r="V106" s="748"/>
      <c r="W106" s="8">
        <f t="shared" si="20"/>
        <v>0</v>
      </c>
    </row>
    <row r="107" spans="1:23">
      <c r="A107" s="745">
        <f t="shared" si="25"/>
        <v>48</v>
      </c>
      <c r="B107" s="291" t="s">
        <v>417</v>
      </c>
      <c r="C107" s="722">
        <v>41789</v>
      </c>
      <c r="D107" s="723" t="s">
        <v>536</v>
      </c>
      <c r="E107" s="767">
        <f t="shared" si="17"/>
        <v>8595840</v>
      </c>
      <c r="F107" s="252">
        <f t="shared" si="26"/>
        <v>713913.20526536123</v>
      </c>
      <c r="G107" s="252">
        <f t="shared" si="26"/>
        <v>134435.2062886646</v>
      </c>
      <c r="H107" s="252">
        <f t="shared" si="26"/>
        <v>954190.19489278574</v>
      </c>
      <c r="I107" s="252">
        <f t="shared" si="26"/>
        <v>841661.24005767715</v>
      </c>
      <c r="J107" s="25">
        <f t="shared" si="23"/>
        <v>11240039.846504491</v>
      </c>
      <c r="K107" s="252">
        <v>1983</v>
      </c>
      <c r="L107" s="252">
        <f t="shared" si="18"/>
        <v>5668.1996200224357</v>
      </c>
      <c r="M107" s="624"/>
      <c r="N107" s="189" t="s">
        <v>1095</v>
      </c>
      <c r="O107" s="722">
        <f t="shared" si="24"/>
        <v>41786</v>
      </c>
      <c r="P107" s="296">
        <v>370</v>
      </c>
      <c r="Q107" s="253">
        <v>23232</v>
      </c>
      <c r="R107" s="8">
        <f t="shared" si="19"/>
        <v>8595840</v>
      </c>
      <c r="S107" s="438"/>
      <c r="T107" s="724"/>
      <c r="U107" s="748"/>
      <c r="V107" s="748"/>
      <c r="W107" s="8">
        <f t="shared" si="20"/>
        <v>0</v>
      </c>
    </row>
    <row r="108" spans="1:23">
      <c r="A108" s="745">
        <f t="shared" si="25"/>
        <v>49</v>
      </c>
      <c r="B108" s="291" t="s">
        <v>537</v>
      </c>
      <c r="C108" s="722">
        <v>41789</v>
      </c>
      <c r="D108" s="723" t="s">
        <v>538</v>
      </c>
      <c r="E108" s="767">
        <f t="shared" si="17"/>
        <v>5864148</v>
      </c>
      <c r="F108" s="252">
        <f t="shared" si="26"/>
        <v>197289.17624075539</v>
      </c>
      <c r="G108" s="252">
        <f t="shared" si="26"/>
        <v>37151.030280478168</v>
      </c>
      <c r="H108" s="252">
        <f t="shared" si="26"/>
        <v>263689.47392901994</v>
      </c>
      <c r="I108" s="252">
        <f t="shared" si="26"/>
        <v>232592.21359132984</v>
      </c>
      <c r="J108" s="25">
        <f t="shared" si="23"/>
        <v>6594869.8940415829</v>
      </c>
      <c r="K108" s="252">
        <v>548</v>
      </c>
      <c r="L108" s="252">
        <f t="shared" si="18"/>
        <v>12034.434113214567</v>
      </c>
      <c r="M108" s="624"/>
      <c r="N108" s="189" t="s">
        <v>1141</v>
      </c>
      <c r="O108" s="722">
        <f t="shared" si="24"/>
        <v>41786</v>
      </c>
      <c r="P108" s="296">
        <f>K108</f>
        <v>548</v>
      </c>
      <c r="Q108" s="251">
        <v>10701</v>
      </c>
      <c r="R108" s="8">
        <f t="shared" si="19"/>
        <v>5864148</v>
      </c>
      <c r="S108" s="438"/>
      <c r="T108" s="724"/>
      <c r="U108" s="748"/>
      <c r="V108" s="748"/>
      <c r="W108" s="8">
        <f t="shared" si="20"/>
        <v>0</v>
      </c>
    </row>
    <row r="109" spans="1:23">
      <c r="A109" s="745">
        <f t="shared" si="25"/>
        <v>50</v>
      </c>
      <c r="B109" s="291" t="s">
        <v>421</v>
      </c>
      <c r="C109" s="722">
        <v>41792</v>
      </c>
      <c r="D109" s="723" t="s">
        <v>539</v>
      </c>
      <c r="E109" s="767">
        <f t="shared" si="17"/>
        <v>15616000</v>
      </c>
      <c r="F109" s="252">
        <f t="shared" si="26"/>
        <v>360016.74496488209</v>
      </c>
      <c r="G109" s="252">
        <f t="shared" si="26"/>
        <v>67793.850876784971</v>
      </c>
      <c r="H109" s="252">
        <f t="shared" si="26"/>
        <v>481185.17140332109</v>
      </c>
      <c r="I109" s="252">
        <f t="shared" si="26"/>
        <v>424438.34596958</v>
      </c>
      <c r="J109" s="25">
        <f t="shared" si="23"/>
        <v>16949434.113214567</v>
      </c>
      <c r="K109" s="252">
        <v>1000</v>
      </c>
      <c r="L109" s="252">
        <f t="shared" si="18"/>
        <v>16949.434113214567</v>
      </c>
      <c r="M109" s="624"/>
      <c r="N109" s="776" t="s">
        <v>1142</v>
      </c>
      <c r="O109" s="722">
        <f t="shared" si="24"/>
        <v>41789</v>
      </c>
      <c r="P109" s="296">
        <v>1000</v>
      </c>
      <c r="Q109" s="253">
        <v>15616</v>
      </c>
      <c r="R109" s="8">
        <f t="shared" si="19"/>
        <v>15616000</v>
      </c>
      <c r="S109" s="438"/>
      <c r="T109" s="724"/>
      <c r="U109" s="748"/>
      <c r="V109" s="748"/>
      <c r="W109" s="8">
        <f t="shared" si="20"/>
        <v>0</v>
      </c>
    </row>
    <row r="110" spans="1:23">
      <c r="A110" s="745">
        <f t="shared" si="25"/>
        <v>51</v>
      </c>
      <c r="B110" s="291" t="s">
        <v>540</v>
      </c>
      <c r="C110" s="722">
        <v>41792</v>
      </c>
      <c r="D110" s="723" t="s">
        <v>541</v>
      </c>
      <c r="E110" s="767">
        <f t="shared" si="17"/>
        <v>3777900</v>
      </c>
      <c r="F110" s="252">
        <f t="shared" si="26"/>
        <v>327615.23791804269</v>
      </c>
      <c r="G110" s="252">
        <f t="shared" si="26"/>
        <v>61692.404297874324</v>
      </c>
      <c r="H110" s="252">
        <f t="shared" si="26"/>
        <v>437878.50597702217</v>
      </c>
      <c r="I110" s="252">
        <f t="shared" si="26"/>
        <v>386238.89483231778</v>
      </c>
      <c r="J110" s="25">
        <f t="shared" si="23"/>
        <v>4991325.0430252571</v>
      </c>
      <c r="K110" s="252">
        <v>910</v>
      </c>
      <c r="L110" s="252">
        <f t="shared" si="18"/>
        <v>5484.9725747530301</v>
      </c>
      <c r="M110" s="624"/>
      <c r="N110" s="40" t="s">
        <v>1194</v>
      </c>
      <c r="O110" s="722">
        <f t="shared" si="24"/>
        <v>41789</v>
      </c>
      <c r="P110" s="296">
        <v>150</v>
      </c>
      <c r="Q110" s="253">
        <v>25186</v>
      </c>
      <c r="R110" s="8">
        <f t="shared" si="19"/>
        <v>3777900</v>
      </c>
      <c r="S110" s="438"/>
      <c r="T110" s="724"/>
      <c r="U110" s="748"/>
      <c r="V110" s="748"/>
      <c r="W110" s="8">
        <f t="shared" si="20"/>
        <v>0</v>
      </c>
    </row>
    <row r="111" spans="1:23">
      <c r="A111" s="745">
        <f t="shared" si="25"/>
        <v>52</v>
      </c>
      <c r="B111" s="291" t="s">
        <v>445</v>
      </c>
      <c r="C111" s="722">
        <v>41792</v>
      </c>
      <c r="D111" s="723" t="s">
        <v>542</v>
      </c>
      <c r="E111" s="767">
        <f t="shared" si="17"/>
        <v>366440</v>
      </c>
      <c r="F111" s="252">
        <f t="shared" si="26"/>
        <v>720033.48992976418</v>
      </c>
      <c r="G111" s="252">
        <f t="shared" si="26"/>
        <v>135587.70175356994</v>
      </c>
      <c r="H111" s="252">
        <f t="shared" si="26"/>
        <v>962370.34280664218</v>
      </c>
      <c r="I111" s="252">
        <f t="shared" si="26"/>
        <v>848876.69193915999</v>
      </c>
      <c r="J111" s="25">
        <f t="shared" si="23"/>
        <v>3033308.2264291365</v>
      </c>
      <c r="K111" s="252">
        <v>2000</v>
      </c>
      <c r="L111" s="252">
        <f t="shared" si="18"/>
        <v>1516.6541132145683</v>
      </c>
      <c r="M111" s="624"/>
      <c r="N111" s="40" t="s">
        <v>1175</v>
      </c>
      <c r="O111" s="722">
        <f t="shared" si="24"/>
        <v>41789</v>
      </c>
      <c r="P111" s="296">
        <v>40</v>
      </c>
      <c r="Q111" s="253">
        <v>9161</v>
      </c>
      <c r="R111" s="8">
        <f t="shared" si="19"/>
        <v>366440</v>
      </c>
      <c r="S111" s="438"/>
      <c r="T111" s="724"/>
      <c r="U111" s="748"/>
      <c r="V111" s="748"/>
      <c r="W111" s="8">
        <f t="shared" si="20"/>
        <v>0</v>
      </c>
    </row>
    <row r="112" spans="1:23">
      <c r="A112" s="745">
        <f t="shared" si="25"/>
        <v>53</v>
      </c>
      <c r="B112" s="291" t="s">
        <v>500</v>
      </c>
      <c r="C112" s="722">
        <v>41794</v>
      </c>
      <c r="D112" s="723" t="s">
        <v>543</v>
      </c>
      <c r="E112" s="767">
        <f t="shared" si="17"/>
        <v>2342400</v>
      </c>
      <c r="F112" s="252">
        <f t="shared" si="26"/>
        <v>180008.37248244105</v>
      </c>
      <c r="G112" s="252">
        <f t="shared" si="26"/>
        <v>33896.925438392485</v>
      </c>
      <c r="H112" s="252">
        <f t="shared" si="26"/>
        <v>240592.58570166054</v>
      </c>
      <c r="I112" s="252">
        <f t="shared" si="26"/>
        <v>212219.17298479</v>
      </c>
      <c r="J112" s="25">
        <f t="shared" si="23"/>
        <v>3009117.0566072841</v>
      </c>
      <c r="K112" s="252">
        <v>500</v>
      </c>
      <c r="L112" s="252">
        <f t="shared" si="18"/>
        <v>6018.2341132145684</v>
      </c>
      <c r="M112" s="624"/>
      <c r="N112" s="776" t="s">
        <v>1142</v>
      </c>
      <c r="O112" s="722">
        <f t="shared" si="24"/>
        <v>41791</v>
      </c>
      <c r="P112" s="296">
        <v>150</v>
      </c>
      <c r="Q112" s="937">
        <v>15616</v>
      </c>
      <c r="R112" s="8">
        <f t="shared" si="19"/>
        <v>2342400</v>
      </c>
      <c r="S112" s="438"/>
      <c r="T112" s="724"/>
      <c r="U112" s="748"/>
      <c r="V112" s="748"/>
      <c r="W112" s="8">
        <f t="shared" si="20"/>
        <v>0</v>
      </c>
    </row>
    <row r="113" spans="1:23">
      <c r="A113" s="745">
        <f t="shared" si="25"/>
        <v>54</v>
      </c>
      <c r="B113" s="291" t="s">
        <v>503</v>
      </c>
      <c r="C113" s="722">
        <v>41794</v>
      </c>
      <c r="D113" s="723" t="s">
        <v>543</v>
      </c>
      <c r="E113" s="767">
        <f t="shared" si="17"/>
        <v>2518600</v>
      </c>
      <c r="F113" s="252">
        <f t="shared" si="26"/>
        <v>142926.64775105819</v>
      </c>
      <c r="G113" s="252">
        <f t="shared" si="26"/>
        <v>26914.158798083634</v>
      </c>
      <c r="H113" s="252">
        <f t="shared" si="26"/>
        <v>191030.51304711847</v>
      </c>
      <c r="I113" s="252">
        <f t="shared" si="26"/>
        <v>168502.02334992326</v>
      </c>
      <c r="J113" s="25">
        <f t="shared" si="23"/>
        <v>3047973.3429461834</v>
      </c>
      <c r="K113" s="252">
        <v>397</v>
      </c>
      <c r="L113" s="252">
        <f t="shared" si="18"/>
        <v>7677.5147177485724</v>
      </c>
      <c r="M113" s="624"/>
      <c r="N113" s="40" t="s">
        <v>1194</v>
      </c>
      <c r="O113" s="722">
        <f t="shared" si="24"/>
        <v>41791</v>
      </c>
      <c r="P113" s="296">
        <v>100</v>
      </c>
      <c r="Q113" s="253">
        <v>25186</v>
      </c>
      <c r="R113" s="8">
        <f t="shared" si="19"/>
        <v>2518600</v>
      </c>
      <c r="S113" s="438"/>
      <c r="T113" s="724"/>
      <c r="U113" s="748"/>
      <c r="V113" s="748"/>
      <c r="W113" s="8">
        <f t="shared" si="20"/>
        <v>0</v>
      </c>
    </row>
    <row r="114" spans="1:23">
      <c r="A114" s="745">
        <f t="shared" si="25"/>
        <v>55</v>
      </c>
      <c r="B114" s="291" t="s">
        <v>504</v>
      </c>
      <c r="C114" s="722">
        <v>41794</v>
      </c>
      <c r="D114" s="723" t="s">
        <v>543</v>
      </c>
      <c r="E114" s="767">
        <f t="shared" si="17"/>
        <v>976800</v>
      </c>
      <c r="F114" s="252">
        <f t="shared" si="26"/>
        <v>72003.348992976418</v>
      </c>
      <c r="G114" s="252">
        <f t="shared" si="26"/>
        <v>13558.770175356995</v>
      </c>
      <c r="H114" s="252">
        <f t="shared" si="26"/>
        <v>96237.034280664215</v>
      </c>
      <c r="I114" s="252">
        <f t="shared" si="26"/>
        <v>84887.669193915994</v>
      </c>
      <c r="J114" s="25">
        <f t="shared" si="23"/>
        <v>1243486.8226429136</v>
      </c>
      <c r="K114" s="252">
        <v>200</v>
      </c>
      <c r="L114" s="252">
        <f t="shared" si="18"/>
        <v>6217.4341132145673</v>
      </c>
      <c r="M114" s="624"/>
      <c r="N114" s="40" t="s">
        <v>1176</v>
      </c>
      <c r="O114" s="722">
        <f t="shared" si="24"/>
        <v>41791</v>
      </c>
      <c r="P114" s="296">
        <v>60</v>
      </c>
      <c r="Q114" s="937">
        <v>16280</v>
      </c>
      <c r="R114" s="8">
        <f t="shared" si="19"/>
        <v>976800</v>
      </c>
      <c r="S114" s="438"/>
      <c r="T114" s="724"/>
      <c r="U114" s="748"/>
      <c r="V114" s="748"/>
      <c r="W114" s="8">
        <f t="shared" si="20"/>
        <v>0</v>
      </c>
    </row>
    <row r="115" spans="1:23">
      <c r="A115" s="745">
        <f t="shared" si="25"/>
        <v>56</v>
      </c>
      <c r="B115" s="291" t="s">
        <v>406</v>
      </c>
      <c r="C115" s="722">
        <v>41794</v>
      </c>
      <c r="D115" s="723" t="s">
        <v>543</v>
      </c>
      <c r="E115" s="767">
        <f t="shared" si="17"/>
        <v>1016400</v>
      </c>
      <c r="F115" s="252">
        <f t="shared" si="26"/>
        <v>72003.348992976418</v>
      </c>
      <c r="G115" s="252">
        <f t="shared" si="26"/>
        <v>13558.770175356995</v>
      </c>
      <c r="H115" s="252">
        <f t="shared" si="26"/>
        <v>96237.034280664215</v>
      </c>
      <c r="I115" s="252">
        <f t="shared" si="26"/>
        <v>84887.669193915994</v>
      </c>
      <c r="J115" s="25">
        <f t="shared" si="23"/>
        <v>1283086.8226429136</v>
      </c>
      <c r="K115" s="252">
        <v>200</v>
      </c>
      <c r="L115" s="252">
        <f t="shared" si="18"/>
        <v>6415.4341132145673</v>
      </c>
      <c r="M115" s="624"/>
      <c r="N115" s="189" t="s">
        <v>1100</v>
      </c>
      <c r="O115" s="722">
        <f t="shared" si="24"/>
        <v>41791</v>
      </c>
      <c r="P115" s="296">
        <v>50</v>
      </c>
      <c r="Q115" s="253">
        <v>20328</v>
      </c>
      <c r="R115" s="8">
        <f t="shared" si="19"/>
        <v>1016400</v>
      </c>
      <c r="S115" s="438"/>
      <c r="T115" s="724"/>
      <c r="U115" s="748"/>
      <c r="V115" s="748"/>
      <c r="W115" s="8">
        <f t="shared" si="20"/>
        <v>0</v>
      </c>
    </row>
    <row r="116" spans="1:23">
      <c r="A116" s="745">
        <f t="shared" si="25"/>
        <v>57</v>
      </c>
      <c r="B116" s="291" t="s">
        <v>544</v>
      </c>
      <c r="C116" s="722">
        <v>41795</v>
      </c>
      <c r="D116" s="723" t="s">
        <v>545</v>
      </c>
      <c r="E116" s="767">
        <f t="shared" si="17"/>
        <v>3955990</v>
      </c>
      <c r="F116" s="252">
        <f t="shared" si="26"/>
        <v>68403.181543327591</v>
      </c>
      <c r="G116" s="252">
        <f t="shared" si="26"/>
        <v>12880.831666589145</v>
      </c>
      <c r="H116" s="252">
        <f t="shared" si="26"/>
        <v>91425.182566631003</v>
      </c>
      <c r="I116" s="252">
        <f t="shared" si="26"/>
        <v>80643.285734220204</v>
      </c>
      <c r="J116" s="25">
        <f t="shared" si="23"/>
        <v>4209342.4815107677</v>
      </c>
      <c r="K116" s="252">
        <v>190</v>
      </c>
      <c r="L116" s="252">
        <f t="shared" si="18"/>
        <v>22154.434113214567</v>
      </c>
      <c r="M116" s="624"/>
      <c r="N116" s="189" t="s">
        <v>1099</v>
      </c>
      <c r="O116" s="722">
        <f t="shared" si="24"/>
        <v>41792</v>
      </c>
      <c r="P116" s="296">
        <v>190</v>
      </c>
      <c r="Q116" s="251">
        <v>20821</v>
      </c>
      <c r="R116" s="8">
        <f t="shared" si="19"/>
        <v>3955990</v>
      </c>
      <c r="S116" s="438"/>
      <c r="T116" s="724"/>
      <c r="U116" s="748"/>
      <c r="V116" s="748"/>
      <c r="W116" s="8">
        <f t="shared" si="20"/>
        <v>0</v>
      </c>
    </row>
    <row r="117" spans="1:23">
      <c r="A117" s="745">
        <f t="shared" si="25"/>
        <v>58</v>
      </c>
      <c r="B117" s="291" t="s">
        <v>547</v>
      </c>
      <c r="C117" s="722">
        <v>41795</v>
      </c>
      <c r="D117" s="723" t="s">
        <v>545</v>
      </c>
      <c r="E117" s="767">
        <f t="shared" si="17"/>
        <v>4593600</v>
      </c>
      <c r="F117" s="252">
        <f t="shared" si="26"/>
        <v>68403.181543327591</v>
      </c>
      <c r="G117" s="252">
        <f t="shared" si="26"/>
        <v>12880.831666589145</v>
      </c>
      <c r="H117" s="252">
        <f t="shared" si="26"/>
        <v>91425.182566631003</v>
      </c>
      <c r="I117" s="252">
        <f t="shared" si="26"/>
        <v>80643.285734220204</v>
      </c>
      <c r="J117" s="25">
        <f t="shared" si="23"/>
        <v>4846952.4815107677</v>
      </c>
      <c r="K117" s="252">
        <v>190</v>
      </c>
      <c r="L117" s="252">
        <f t="shared" si="18"/>
        <v>25510.276218477724</v>
      </c>
      <c r="M117" s="624"/>
      <c r="N117" s="192" t="s">
        <v>1162</v>
      </c>
      <c r="O117" s="722">
        <f t="shared" si="24"/>
        <v>41792</v>
      </c>
      <c r="P117" s="296">
        <v>200</v>
      </c>
      <c r="Q117" s="251">
        <v>22968</v>
      </c>
      <c r="R117" s="8">
        <f t="shared" si="19"/>
        <v>4593600</v>
      </c>
      <c r="S117" s="438"/>
      <c r="T117" s="724"/>
      <c r="U117" s="748"/>
      <c r="V117" s="748"/>
      <c r="W117" s="8">
        <f t="shared" si="20"/>
        <v>0</v>
      </c>
    </row>
    <row r="118" spans="1:23">
      <c r="A118" s="745">
        <f t="shared" si="25"/>
        <v>59</v>
      </c>
      <c r="B118" s="291" t="s">
        <v>548</v>
      </c>
      <c r="C118" s="722">
        <v>41795</v>
      </c>
      <c r="D118" s="723" t="s">
        <v>549</v>
      </c>
      <c r="E118" s="767">
        <f t="shared" si="17"/>
        <v>914700</v>
      </c>
      <c r="F118" s="252">
        <f t="shared" si="26"/>
        <v>36001.674496488209</v>
      </c>
      <c r="G118" s="252">
        <f t="shared" si="26"/>
        <v>6779.3850876784973</v>
      </c>
      <c r="H118" s="252">
        <f t="shared" si="26"/>
        <v>48118.517140332107</v>
      </c>
      <c r="I118" s="252">
        <f t="shared" si="26"/>
        <v>42443.834596957997</v>
      </c>
      <c r="J118" s="25">
        <f t="shared" si="23"/>
        <v>1048043.4113214568</v>
      </c>
      <c r="K118" s="252">
        <v>100</v>
      </c>
      <c r="L118" s="252">
        <f t="shared" si="18"/>
        <v>10480.434113214567</v>
      </c>
      <c r="M118" s="624"/>
      <c r="N118" s="189" t="s">
        <v>1153</v>
      </c>
      <c r="O118" s="722">
        <f t="shared" si="24"/>
        <v>41792</v>
      </c>
      <c r="P118" s="296">
        <v>100</v>
      </c>
      <c r="Q118" s="253">
        <v>9147</v>
      </c>
      <c r="R118" s="8">
        <f t="shared" si="19"/>
        <v>914700</v>
      </c>
      <c r="S118" s="438"/>
      <c r="T118" s="724"/>
      <c r="U118" s="748"/>
      <c r="V118" s="748"/>
      <c r="W118" s="8">
        <f t="shared" si="20"/>
        <v>0</v>
      </c>
    </row>
    <row r="119" spans="1:23">
      <c r="A119" s="745">
        <f t="shared" si="25"/>
        <v>60</v>
      </c>
      <c r="B119" s="291" t="s">
        <v>551</v>
      </c>
      <c r="C119" s="722">
        <v>41795</v>
      </c>
      <c r="D119" s="723" t="s">
        <v>549</v>
      </c>
      <c r="E119" s="767">
        <f t="shared" si="17"/>
        <v>887040</v>
      </c>
      <c r="F119" s="252">
        <f t="shared" si="26"/>
        <v>72003.348992976418</v>
      </c>
      <c r="G119" s="252">
        <f t="shared" si="26"/>
        <v>13558.770175356995</v>
      </c>
      <c r="H119" s="252">
        <f t="shared" si="26"/>
        <v>96237.034280664215</v>
      </c>
      <c r="I119" s="252">
        <f t="shared" si="26"/>
        <v>84887.669193915994</v>
      </c>
      <c r="J119" s="25">
        <f t="shared" si="23"/>
        <v>1153726.8226429136</v>
      </c>
      <c r="K119" s="252">
        <v>200</v>
      </c>
      <c r="L119" s="252">
        <f t="shared" si="18"/>
        <v>5768.6341132145681</v>
      </c>
      <c r="M119" s="624"/>
      <c r="N119" s="189" t="s">
        <v>1096</v>
      </c>
      <c r="O119" s="722">
        <f t="shared" si="24"/>
        <v>41792</v>
      </c>
      <c r="P119" s="296">
        <f>K119/5</f>
        <v>40</v>
      </c>
      <c r="Q119" s="253">
        <v>22176</v>
      </c>
      <c r="R119" s="8">
        <f t="shared" si="19"/>
        <v>887040</v>
      </c>
      <c r="S119" s="438"/>
      <c r="T119" s="724"/>
      <c r="U119" s="748"/>
      <c r="V119" s="748"/>
      <c r="W119" s="8">
        <f t="shared" si="20"/>
        <v>0</v>
      </c>
    </row>
    <row r="120" spans="1:23">
      <c r="A120" s="745">
        <f t="shared" si="25"/>
        <v>61</v>
      </c>
      <c r="B120" s="291" t="s">
        <v>552</v>
      </c>
      <c r="C120" s="722">
        <v>41799</v>
      </c>
      <c r="D120" s="723" t="s">
        <v>553</v>
      </c>
      <c r="E120" s="767">
        <f t="shared" si="17"/>
        <v>1575200</v>
      </c>
      <c r="F120" s="252">
        <f t="shared" ref="F120:I132" si="27">IF($K$134&lt;&gt;0,F$134/$K$134*$K120,0)</f>
        <v>54002.511744732314</v>
      </c>
      <c r="G120" s="252">
        <f t="shared" si="27"/>
        <v>10169.077631517746</v>
      </c>
      <c r="H120" s="252">
        <f t="shared" si="27"/>
        <v>72177.775710498157</v>
      </c>
      <c r="I120" s="252">
        <f t="shared" si="27"/>
        <v>63665.751895436995</v>
      </c>
      <c r="J120" s="25">
        <f t="shared" si="23"/>
        <v>1775215.1169821853</v>
      </c>
      <c r="K120" s="252">
        <v>150</v>
      </c>
      <c r="L120" s="252">
        <f t="shared" si="18"/>
        <v>11834.767446547901</v>
      </c>
      <c r="M120" s="624"/>
      <c r="N120" s="40" t="s">
        <v>1179</v>
      </c>
      <c r="O120" s="722">
        <f t="shared" si="24"/>
        <v>41796</v>
      </c>
      <c r="P120" s="296">
        <v>80</v>
      </c>
      <c r="Q120" s="253">
        <v>19690</v>
      </c>
      <c r="R120" s="8">
        <f t="shared" si="19"/>
        <v>1575200</v>
      </c>
      <c r="S120" s="438"/>
      <c r="T120" s="724"/>
      <c r="U120" s="748"/>
      <c r="V120" s="748"/>
      <c r="W120" s="8">
        <f t="shared" si="20"/>
        <v>0</v>
      </c>
    </row>
    <row r="121" spans="1:23">
      <c r="A121" s="745">
        <f t="shared" si="25"/>
        <v>62</v>
      </c>
      <c r="B121" s="291" t="s">
        <v>554</v>
      </c>
      <c r="C121" s="722">
        <v>41806</v>
      </c>
      <c r="D121" s="723" t="s">
        <v>555</v>
      </c>
      <c r="E121" s="767">
        <f t="shared" si="17"/>
        <v>9081600</v>
      </c>
      <c r="F121" s="252">
        <f t="shared" si="27"/>
        <v>143286.66449602306</v>
      </c>
      <c r="G121" s="252">
        <f t="shared" si="27"/>
        <v>26981.952648960418</v>
      </c>
      <c r="H121" s="252">
        <f t="shared" si="27"/>
        <v>191511.69821852178</v>
      </c>
      <c r="I121" s="252">
        <f t="shared" si="27"/>
        <v>168926.46169589282</v>
      </c>
      <c r="J121" s="25">
        <f t="shared" si="23"/>
        <v>9612306.7770593986</v>
      </c>
      <c r="K121" s="252">
        <v>398</v>
      </c>
      <c r="L121" s="252">
        <f t="shared" si="18"/>
        <v>24151.524565475876</v>
      </c>
      <c r="M121" s="624"/>
      <c r="N121" s="40" t="s">
        <v>1168</v>
      </c>
      <c r="O121" s="722">
        <f t="shared" si="24"/>
        <v>41803</v>
      </c>
      <c r="P121" s="296">
        <v>400</v>
      </c>
      <c r="Q121" s="253">
        <v>22704</v>
      </c>
      <c r="R121" s="8">
        <f t="shared" si="19"/>
        <v>9081600</v>
      </c>
      <c r="S121" s="438"/>
      <c r="T121" s="724"/>
      <c r="U121" s="748"/>
      <c r="V121" s="748"/>
      <c r="W121" s="8">
        <f t="shared" si="20"/>
        <v>0</v>
      </c>
    </row>
    <row r="122" spans="1:23">
      <c r="A122" s="745">
        <f t="shared" si="25"/>
        <v>63</v>
      </c>
      <c r="B122" s="291" t="s">
        <v>552</v>
      </c>
      <c r="C122" s="722">
        <v>41807</v>
      </c>
      <c r="D122" s="723" t="s">
        <v>556</v>
      </c>
      <c r="E122" s="767">
        <f t="shared" si="17"/>
        <v>1374150</v>
      </c>
      <c r="F122" s="252">
        <f t="shared" si="27"/>
        <v>54002.511744732314</v>
      </c>
      <c r="G122" s="252">
        <f t="shared" si="27"/>
        <v>10169.077631517746</v>
      </c>
      <c r="H122" s="252">
        <f t="shared" si="27"/>
        <v>72177.775710498157</v>
      </c>
      <c r="I122" s="252">
        <f t="shared" si="27"/>
        <v>63665.751895436995</v>
      </c>
      <c r="J122" s="25">
        <f t="shared" si="23"/>
        <v>1574165.1169821853</v>
      </c>
      <c r="K122" s="252">
        <v>150</v>
      </c>
      <c r="L122" s="252">
        <f t="shared" si="18"/>
        <v>10494.434113214569</v>
      </c>
      <c r="M122" s="624"/>
      <c r="N122" s="40" t="s">
        <v>1175</v>
      </c>
      <c r="O122" s="722">
        <f t="shared" si="24"/>
        <v>41804</v>
      </c>
      <c r="P122" s="296">
        <f>K122</f>
        <v>150</v>
      </c>
      <c r="Q122" s="253">
        <v>9161</v>
      </c>
      <c r="R122" s="8">
        <f t="shared" si="19"/>
        <v>1374150</v>
      </c>
      <c r="S122" s="438"/>
      <c r="T122" s="724"/>
      <c r="U122" s="748"/>
      <c r="V122" s="748"/>
      <c r="W122" s="8">
        <f t="shared" si="20"/>
        <v>0</v>
      </c>
    </row>
    <row r="123" spans="1:23">
      <c r="A123" s="745">
        <f t="shared" si="25"/>
        <v>64</v>
      </c>
      <c r="B123" s="291" t="s">
        <v>494</v>
      </c>
      <c r="C123" s="722">
        <v>41810</v>
      </c>
      <c r="D123" s="723" t="s">
        <v>557</v>
      </c>
      <c r="E123" s="767">
        <f t="shared" si="17"/>
        <v>3290420</v>
      </c>
      <c r="F123" s="252">
        <f t="shared" si="27"/>
        <v>195129.0757709661</v>
      </c>
      <c r="G123" s="252">
        <f t="shared" si="27"/>
        <v>36744.267175217457</v>
      </c>
      <c r="H123" s="252">
        <f t="shared" si="27"/>
        <v>260802.36290060001</v>
      </c>
      <c r="I123" s="252">
        <f t="shared" si="27"/>
        <v>230045.58351551235</v>
      </c>
      <c r="J123" s="25">
        <f t="shared" si="23"/>
        <v>4013141.289362296</v>
      </c>
      <c r="K123" s="252">
        <v>542</v>
      </c>
      <c r="L123" s="252">
        <f t="shared" si="18"/>
        <v>7404.319722070657</v>
      </c>
      <c r="M123" s="624"/>
      <c r="N123" s="192" t="s">
        <v>1071</v>
      </c>
      <c r="O123" s="722">
        <f t="shared" si="24"/>
        <v>41807</v>
      </c>
      <c r="P123" s="296">
        <v>190</v>
      </c>
      <c r="Q123" s="253">
        <v>17318</v>
      </c>
      <c r="R123" s="8">
        <f t="shared" si="19"/>
        <v>3290420</v>
      </c>
      <c r="S123" s="438"/>
      <c r="T123" s="724"/>
      <c r="U123" s="748"/>
      <c r="V123" s="748"/>
      <c r="W123" s="8">
        <f t="shared" si="20"/>
        <v>0</v>
      </c>
    </row>
    <row r="124" spans="1:23">
      <c r="A124" s="745">
        <f t="shared" si="25"/>
        <v>65</v>
      </c>
      <c r="B124" s="291" t="s">
        <v>459</v>
      </c>
      <c r="C124" s="722">
        <v>41813</v>
      </c>
      <c r="D124" s="723" t="s">
        <v>558</v>
      </c>
      <c r="E124" s="767">
        <f t="shared" si="17"/>
        <v>6296500</v>
      </c>
      <c r="F124" s="252">
        <f t="shared" si="27"/>
        <v>354256.47704544396</v>
      </c>
      <c r="G124" s="252">
        <f t="shared" si="27"/>
        <v>66709.149262756415</v>
      </c>
      <c r="H124" s="252">
        <f t="shared" si="27"/>
        <v>473486.20866086794</v>
      </c>
      <c r="I124" s="252">
        <f t="shared" si="27"/>
        <v>417647.33243406669</v>
      </c>
      <c r="J124" s="25">
        <f t="shared" ref="J124:J132" si="28">SUM(E124:I124)</f>
        <v>7608599.1674031345</v>
      </c>
      <c r="K124" s="252">
        <v>984</v>
      </c>
      <c r="L124" s="252">
        <f t="shared" si="18"/>
        <v>7732.3162270357061</v>
      </c>
      <c r="M124" s="624"/>
      <c r="N124" s="192" t="s">
        <v>1161</v>
      </c>
      <c r="O124" s="722">
        <f t="shared" ref="O124:O132" si="29">C124-3</f>
        <v>41810</v>
      </c>
      <c r="P124" s="296">
        <v>250</v>
      </c>
      <c r="Q124" s="251">
        <v>25186</v>
      </c>
      <c r="R124" s="8">
        <f t="shared" si="19"/>
        <v>6296500</v>
      </c>
      <c r="S124" s="438"/>
      <c r="T124" s="724"/>
      <c r="U124" s="748"/>
      <c r="V124" s="748"/>
      <c r="W124" s="8">
        <f t="shared" si="20"/>
        <v>0</v>
      </c>
    </row>
    <row r="125" spans="1:23">
      <c r="A125" s="745">
        <f t="shared" si="25"/>
        <v>66</v>
      </c>
      <c r="B125" s="291" t="s">
        <v>559</v>
      </c>
      <c r="C125" s="722">
        <v>41814</v>
      </c>
      <c r="D125" s="723" t="s">
        <v>560</v>
      </c>
      <c r="E125" s="767">
        <f t="shared" ref="E125:E132" si="30">R125</f>
        <v>6135360</v>
      </c>
      <c r="F125" s="252">
        <f t="shared" si="27"/>
        <v>142566.63100609332</v>
      </c>
      <c r="G125" s="252">
        <f t="shared" si="27"/>
        <v>26846.36494720685</v>
      </c>
      <c r="H125" s="252">
        <f t="shared" si="27"/>
        <v>190549.32787571516</v>
      </c>
      <c r="I125" s="252">
        <f t="shared" si="27"/>
        <v>168077.58500395366</v>
      </c>
      <c r="J125" s="25">
        <f t="shared" si="28"/>
        <v>6663399.9088329691</v>
      </c>
      <c r="K125" s="252">
        <v>396</v>
      </c>
      <c r="L125" s="252">
        <f t="shared" ref="L125:L132" si="31">IF(K125&lt;&gt;"",J125/K125,"")</f>
        <v>16826.767446547903</v>
      </c>
      <c r="M125" s="624"/>
      <c r="N125" s="189" t="s">
        <v>1097</v>
      </c>
      <c r="O125" s="722">
        <f t="shared" si="29"/>
        <v>41811</v>
      </c>
      <c r="P125" s="296">
        <v>415</v>
      </c>
      <c r="Q125" s="253">
        <v>14784</v>
      </c>
      <c r="R125" s="8">
        <f t="shared" ref="R125:R132" si="32">P125*Q125</f>
        <v>6135360</v>
      </c>
      <c r="S125" s="438"/>
      <c r="T125" s="724"/>
      <c r="U125" s="748"/>
      <c r="V125" s="748"/>
      <c r="W125" s="8">
        <f t="shared" ref="W125:W132" si="33">U125*V125</f>
        <v>0</v>
      </c>
    </row>
    <row r="126" spans="1:23">
      <c r="A126" s="745">
        <f t="shared" si="25"/>
        <v>67</v>
      </c>
      <c r="B126" s="291" t="s">
        <v>562</v>
      </c>
      <c r="C126" s="722">
        <v>41814</v>
      </c>
      <c r="D126" s="723" t="s">
        <v>560</v>
      </c>
      <c r="E126" s="767">
        <f t="shared" si="30"/>
        <v>1478400</v>
      </c>
      <c r="F126" s="252">
        <f t="shared" si="27"/>
        <v>36001.674496488209</v>
      </c>
      <c r="G126" s="252">
        <f t="shared" si="27"/>
        <v>6779.3850876784973</v>
      </c>
      <c r="H126" s="252">
        <f t="shared" si="27"/>
        <v>48118.517140332107</v>
      </c>
      <c r="I126" s="252">
        <f t="shared" si="27"/>
        <v>42443.834596957997</v>
      </c>
      <c r="J126" s="25">
        <f t="shared" si="28"/>
        <v>1611743.4113214568</v>
      </c>
      <c r="K126" s="252">
        <v>100</v>
      </c>
      <c r="L126" s="252">
        <f t="shared" si="31"/>
        <v>16117.434113214567</v>
      </c>
      <c r="M126" s="624"/>
      <c r="N126" s="192" t="s">
        <v>1155</v>
      </c>
      <c r="O126" s="722">
        <f t="shared" si="29"/>
        <v>41811</v>
      </c>
      <c r="P126" s="296">
        <v>100</v>
      </c>
      <c r="Q126" s="253">
        <v>14784</v>
      </c>
      <c r="R126" s="8">
        <f t="shared" si="32"/>
        <v>1478400</v>
      </c>
      <c r="S126" s="438"/>
      <c r="T126" s="724"/>
      <c r="U126" s="748"/>
      <c r="V126" s="748"/>
      <c r="W126" s="8">
        <f t="shared" si="33"/>
        <v>0</v>
      </c>
    </row>
    <row r="127" spans="1:23">
      <c r="A127" s="745">
        <f t="shared" si="25"/>
        <v>68</v>
      </c>
      <c r="B127" s="291" t="s">
        <v>563</v>
      </c>
      <c r="C127" s="722">
        <v>41815</v>
      </c>
      <c r="D127" s="723" t="s">
        <v>564</v>
      </c>
      <c r="E127" s="767">
        <f t="shared" si="30"/>
        <v>5789241</v>
      </c>
      <c r="F127" s="252">
        <f t="shared" si="27"/>
        <v>194769.05902600122</v>
      </c>
      <c r="G127" s="252">
        <f t="shared" si="27"/>
        <v>36676.473324340674</v>
      </c>
      <c r="H127" s="252">
        <f t="shared" si="27"/>
        <v>260321.1777291967</v>
      </c>
      <c r="I127" s="252">
        <f t="shared" si="27"/>
        <v>229621.14516954278</v>
      </c>
      <c r="J127" s="25">
        <f t="shared" si="28"/>
        <v>6510628.8552490817</v>
      </c>
      <c r="K127" s="252">
        <v>541</v>
      </c>
      <c r="L127" s="252">
        <f t="shared" si="31"/>
        <v>12034.434113214569</v>
      </c>
      <c r="M127" s="624"/>
      <c r="N127" s="189" t="s">
        <v>1141</v>
      </c>
      <c r="O127" s="722">
        <f t="shared" si="29"/>
        <v>41812</v>
      </c>
      <c r="P127" s="296">
        <f>K127</f>
        <v>541</v>
      </c>
      <c r="Q127" s="251">
        <v>10701</v>
      </c>
      <c r="R127" s="8">
        <f t="shared" si="32"/>
        <v>5789241</v>
      </c>
      <c r="S127" s="438"/>
      <c r="T127" s="724"/>
      <c r="U127" s="748"/>
      <c r="V127" s="748"/>
      <c r="W127" s="8">
        <f t="shared" si="33"/>
        <v>0</v>
      </c>
    </row>
    <row r="128" spans="1:23">
      <c r="A128" s="745">
        <f t="shared" si="25"/>
        <v>69</v>
      </c>
      <c r="B128" s="291" t="s">
        <v>417</v>
      </c>
      <c r="C128" s="722">
        <v>41818</v>
      </c>
      <c r="D128" s="723" t="s">
        <v>565</v>
      </c>
      <c r="E128" s="767">
        <f t="shared" si="30"/>
        <v>15028500</v>
      </c>
      <c r="F128" s="252">
        <f t="shared" si="27"/>
        <v>1050168.8450625611</v>
      </c>
      <c r="G128" s="252">
        <f t="shared" si="27"/>
        <v>197754.66300758175</v>
      </c>
      <c r="H128" s="252">
        <f t="shared" si="27"/>
        <v>1403617.1449834877</v>
      </c>
      <c r="I128" s="252">
        <f t="shared" si="27"/>
        <v>1238086.6551932648</v>
      </c>
      <c r="J128" s="25">
        <f t="shared" si="28"/>
        <v>18918127.308246896</v>
      </c>
      <c r="K128" s="252">
        <v>2917</v>
      </c>
      <c r="L128" s="252">
        <f t="shared" si="31"/>
        <v>6485.4738800983532</v>
      </c>
      <c r="M128" s="624"/>
      <c r="N128" s="192" t="s">
        <v>1070</v>
      </c>
      <c r="O128" s="722">
        <f t="shared" si="29"/>
        <v>41815</v>
      </c>
      <c r="P128" s="296">
        <v>750</v>
      </c>
      <c r="Q128" s="253">
        <v>20038</v>
      </c>
      <c r="R128" s="8">
        <f t="shared" si="32"/>
        <v>15028500</v>
      </c>
      <c r="S128" s="438"/>
      <c r="T128" s="724"/>
      <c r="U128" s="748"/>
      <c r="V128" s="748"/>
      <c r="W128" s="8">
        <f t="shared" si="33"/>
        <v>0</v>
      </c>
    </row>
    <row r="129" spans="1:29">
      <c r="A129" s="745">
        <f t="shared" si="25"/>
        <v>70</v>
      </c>
      <c r="B129" s="291" t="s">
        <v>566</v>
      </c>
      <c r="C129" s="722">
        <v>41820</v>
      </c>
      <c r="D129" s="723" t="s">
        <v>567</v>
      </c>
      <c r="E129" s="767">
        <f t="shared" si="30"/>
        <v>4868312</v>
      </c>
      <c r="F129" s="252">
        <f t="shared" si="27"/>
        <v>198009.20973068516</v>
      </c>
      <c r="G129" s="252">
        <f t="shared" si="27"/>
        <v>37286.617982231735</v>
      </c>
      <c r="H129" s="252">
        <f t="shared" si="27"/>
        <v>264651.84427182662</v>
      </c>
      <c r="I129" s="252">
        <f t="shared" si="27"/>
        <v>233441.090283269</v>
      </c>
      <c r="J129" s="25">
        <f t="shared" si="28"/>
        <v>5601700.7622680124</v>
      </c>
      <c r="K129" s="252">
        <v>550</v>
      </c>
      <c r="L129" s="252">
        <f t="shared" si="31"/>
        <v>10184.910476850931</v>
      </c>
      <c r="M129" s="624"/>
      <c r="N129" s="192" t="s">
        <v>1068</v>
      </c>
      <c r="O129" s="722">
        <f t="shared" si="29"/>
        <v>41817</v>
      </c>
      <c r="P129" s="296">
        <v>296</v>
      </c>
      <c r="Q129" s="253">
        <v>16447</v>
      </c>
      <c r="R129" s="8">
        <f t="shared" si="32"/>
        <v>4868312</v>
      </c>
      <c r="S129" s="438"/>
      <c r="T129" s="724"/>
      <c r="U129" s="748"/>
      <c r="V129" s="748"/>
      <c r="W129" s="8">
        <f t="shared" si="33"/>
        <v>0</v>
      </c>
    </row>
    <row r="130" spans="1:29">
      <c r="A130" s="745">
        <f t="shared" si="25"/>
        <v>71</v>
      </c>
      <c r="B130" s="291" t="s">
        <v>436</v>
      </c>
      <c r="C130" s="722">
        <v>41820</v>
      </c>
      <c r="D130" s="723" t="s">
        <v>567</v>
      </c>
      <c r="E130" s="767">
        <f t="shared" si="30"/>
        <v>4065500</v>
      </c>
      <c r="F130" s="252">
        <f t="shared" si="27"/>
        <v>180008.37248244105</v>
      </c>
      <c r="G130" s="252">
        <f t="shared" si="27"/>
        <v>33896.925438392485</v>
      </c>
      <c r="H130" s="252">
        <f t="shared" si="27"/>
        <v>240592.58570166054</v>
      </c>
      <c r="I130" s="252">
        <f t="shared" si="27"/>
        <v>212219.17298479</v>
      </c>
      <c r="J130" s="25">
        <f t="shared" si="28"/>
        <v>4732217.0566072846</v>
      </c>
      <c r="K130" s="252">
        <v>500</v>
      </c>
      <c r="L130" s="252">
        <f t="shared" si="31"/>
        <v>9464.4341132145692</v>
      </c>
      <c r="M130" s="624"/>
      <c r="N130" s="40" t="s">
        <v>1167</v>
      </c>
      <c r="O130" s="722">
        <f t="shared" si="29"/>
        <v>41817</v>
      </c>
      <c r="P130" s="296">
        <v>250</v>
      </c>
      <c r="Q130" s="253">
        <v>16262</v>
      </c>
      <c r="R130" s="8">
        <f t="shared" si="32"/>
        <v>4065500</v>
      </c>
      <c r="S130" s="438"/>
      <c r="T130" s="724"/>
      <c r="U130" s="748"/>
      <c r="V130" s="748"/>
      <c r="W130" s="8">
        <f t="shared" si="33"/>
        <v>0</v>
      </c>
    </row>
    <row r="131" spans="1:29">
      <c r="A131" s="745">
        <f t="shared" si="25"/>
        <v>72</v>
      </c>
      <c r="B131" s="291" t="s">
        <v>568</v>
      </c>
      <c r="C131" s="722">
        <v>41820</v>
      </c>
      <c r="D131" s="723" t="s">
        <v>569</v>
      </c>
      <c r="E131" s="767">
        <f t="shared" si="30"/>
        <v>1727900</v>
      </c>
      <c r="F131" s="252">
        <f t="shared" si="27"/>
        <v>73083.399227871065</v>
      </c>
      <c r="G131" s="252">
        <f t="shared" si="27"/>
        <v>13762.15172798735</v>
      </c>
      <c r="H131" s="252">
        <f t="shared" si="27"/>
        <v>97680.589794874177</v>
      </c>
      <c r="I131" s="252">
        <f t="shared" si="27"/>
        <v>86160.984231824739</v>
      </c>
      <c r="J131" s="25">
        <f t="shared" si="28"/>
        <v>1998587.1249825575</v>
      </c>
      <c r="K131" s="252">
        <v>203</v>
      </c>
      <c r="L131" s="252">
        <f t="shared" si="31"/>
        <v>9845.2567733130909</v>
      </c>
      <c r="M131" s="624"/>
      <c r="N131" s="189" t="s">
        <v>1098</v>
      </c>
      <c r="O131" s="722">
        <f t="shared" si="29"/>
        <v>41817</v>
      </c>
      <c r="P131" s="296">
        <v>100</v>
      </c>
      <c r="Q131" s="253">
        <v>17279</v>
      </c>
      <c r="R131" s="8">
        <f t="shared" si="32"/>
        <v>1727900</v>
      </c>
      <c r="S131" s="438"/>
      <c r="T131" s="724"/>
      <c r="U131" s="748"/>
      <c r="V131" s="748"/>
      <c r="W131" s="8">
        <f t="shared" si="33"/>
        <v>0</v>
      </c>
    </row>
    <row r="132" spans="1:29">
      <c r="A132" s="745">
        <f t="shared" si="25"/>
        <v>73</v>
      </c>
      <c r="B132" s="291" t="s">
        <v>487</v>
      </c>
      <c r="C132" s="722">
        <v>41820</v>
      </c>
      <c r="D132" s="723" t="s">
        <v>569</v>
      </c>
      <c r="E132" s="767">
        <f t="shared" si="30"/>
        <v>887040</v>
      </c>
      <c r="F132" s="252">
        <f t="shared" si="27"/>
        <v>73803.432717800824</v>
      </c>
      <c r="G132" s="252">
        <f t="shared" si="27"/>
        <v>13897.739429740919</v>
      </c>
      <c r="H132" s="252">
        <f t="shared" si="27"/>
        <v>98642.960137680828</v>
      </c>
      <c r="I132" s="252">
        <f t="shared" si="27"/>
        <v>87009.860923763903</v>
      </c>
      <c r="J132" s="25">
        <f t="shared" si="28"/>
        <v>1160393.9932089865</v>
      </c>
      <c r="K132" s="252">
        <v>205</v>
      </c>
      <c r="L132" s="252">
        <f t="shared" si="31"/>
        <v>5660.4585034584707</v>
      </c>
      <c r="M132" s="624"/>
      <c r="N132" s="189" t="s">
        <v>1096</v>
      </c>
      <c r="O132" s="722">
        <f t="shared" si="29"/>
        <v>41817</v>
      </c>
      <c r="P132" s="296">
        <v>40</v>
      </c>
      <c r="Q132" s="253">
        <v>22176</v>
      </c>
      <c r="R132" s="8">
        <f t="shared" si="32"/>
        <v>887040</v>
      </c>
      <c r="S132" s="438"/>
      <c r="T132" s="724"/>
      <c r="U132" s="748"/>
      <c r="V132" s="748"/>
      <c r="W132" s="8">
        <f t="shared" si="33"/>
        <v>0</v>
      </c>
    </row>
    <row r="133" spans="1:29" s="727" customFormat="1">
      <c r="A133" s="825"/>
      <c r="B133" s="735"/>
      <c r="C133" s="722"/>
      <c r="D133" s="723"/>
      <c r="E133" s="736"/>
      <c r="F133" s="737"/>
      <c r="G133" s="738"/>
      <c r="H133" s="738"/>
      <c r="I133" s="738"/>
      <c r="J133" s="737"/>
      <c r="K133" s="739"/>
      <c r="L133" s="738"/>
      <c r="M133" s="624"/>
      <c r="N133" s="438"/>
      <c r="O133" s="724"/>
      <c r="P133" s="770"/>
      <c r="Q133" s="750"/>
      <c r="R133" s="25"/>
      <c r="S133" s="438"/>
      <c r="T133" s="724"/>
      <c r="U133" s="750"/>
      <c r="V133" s="750"/>
      <c r="W133" s="740"/>
    </row>
    <row r="134" spans="1:29" s="704" customFormat="1">
      <c r="A134" s="709"/>
      <c r="B134" s="710" t="s">
        <v>251</v>
      </c>
      <c r="C134" s="822"/>
      <c r="D134" s="730"/>
      <c r="E134" s="511">
        <f>SUM(E60:E133)</f>
        <v>276136210</v>
      </c>
      <c r="F134" s="511">
        <v>15480000</v>
      </c>
      <c r="G134" s="511">
        <f>W134</f>
        <v>2915000</v>
      </c>
      <c r="H134" s="511">
        <v>20690000</v>
      </c>
      <c r="I134" s="511">
        <v>18250000</v>
      </c>
      <c r="J134" s="511">
        <f>ROUND(SUM(J60:J133),0)</f>
        <v>333471210</v>
      </c>
      <c r="K134" s="511">
        <f>ROUND(SUM(K60:K133),0)</f>
        <v>42998</v>
      </c>
      <c r="L134" s="511"/>
      <c r="M134" s="718"/>
      <c r="N134" s="728"/>
      <c r="O134" s="729"/>
      <c r="P134" s="766"/>
      <c r="Q134" s="27"/>
      <c r="R134" s="47">
        <f>SUM(R60:R133)</f>
        <v>276136210</v>
      </c>
      <c r="S134" s="728"/>
      <c r="T134" s="729"/>
      <c r="U134" s="741"/>
      <c r="V134" s="27"/>
      <c r="W134" s="47">
        <f>SUM(W60:W133)</f>
        <v>2915000</v>
      </c>
    </row>
    <row r="135" spans="1:29" s="704" customFormat="1">
      <c r="A135" s="711"/>
      <c r="B135" s="712"/>
      <c r="C135" s="823"/>
      <c r="D135" s="732"/>
      <c r="E135" s="705"/>
      <c r="F135" s="705"/>
      <c r="G135" s="705"/>
      <c r="H135" s="705"/>
      <c r="I135" s="705"/>
      <c r="J135" s="705"/>
      <c r="K135" s="705"/>
      <c r="L135" s="705"/>
      <c r="M135" s="718"/>
      <c r="N135" s="439"/>
      <c r="O135" s="731"/>
      <c r="P135" s="764"/>
      <c r="Q135" s="721"/>
      <c r="R135" s="733"/>
      <c r="S135" s="439"/>
      <c r="T135" s="731"/>
      <c r="U135" s="721"/>
      <c r="V135" s="721"/>
      <c r="W135" s="742"/>
    </row>
    <row r="136" spans="1:29" s="704" customFormat="1">
      <c r="A136"/>
      <c r="B136"/>
      <c r="C136"/>
      <c r="D136"/>
      <c r="E136"/>
      <c r="F136"/>
      <c r="G136"/>
      <c r="H136"/>
      <c r="I136"/>
      <c r="J136" s="934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703" customWidth="1"/>
    <col min="2" max="2" width="29.28515625" style="703" customWidth="1"/>
    <col min="3" max="3" width="8.85546875" style="717" customWidth="1"/>
    <col min="4" max="4" width="8.85546875" style="818" customWidth="1"/>
    <col min="5" max="7" width="6.5703125" style="703" customWidth="1"/>
    <col min="8" max="8" width="9" style="703" customWidth="1"/>
    <col min="9" max="10" width="8.42578125" style="703" customWidth="1"/>
    <col min="11" max="11" width="7.42578125" style="703" customWidth="1"/>
    <col min="12" max="12" width="2" style="715" customWidth="1"/>
    <col min="13" max="13" width="28.42578125" style="703" customWidth="1"/>
    <col min="14" max="14" width="10.140625" style="716" customWidth="1"/>
    <col min="15" max="15" width="7" style="758" customWidth="1"/>
    <col min="16" max="16" width="7.5703125" style="288" customWidth="1"/>
    <col min="17" max="17" width="12.42578125" style="703" customWidth="1"/>
    <col min="18" max="16384" width="10.28515625" style="703"/>
  </cols>
  <sheetData>
    <row r="1" spans="1:17" ht="18" customHeight="1">
      <c r="A1" s="547" t="str">
        <f>TH!$A$1</f>
        <v>Đơn vị: CÔNG TY TNHH SX TM KIM DUNG PHÁT</v>
      </c>
      <c r="B1" s="704"/>
      <c r="E1" s="288"/>
      <c r="F1" s="288"/>
      <c r="G1" s="288"/>
      <c r="H1" s="288"/>
      <c r="I1" s="561"/>
      <c r="J1" s="561"/>
      <c r="K1" s="288"/>
      <c r="L1" s="718"/>
      <c r="M1" s="439"/>
      <c r="N1" s="731"/>
      <c r="O1" s="764"/>
      <c r="P1" s="721"/>
      <c r="Q1" s="733"/>
    </row>
    <row r="2" spans="1:17" ht="18.75" customHeight="1">
      <c r="A2" s="705" t="s">
        <v>1260</v>
      </c>
      <c r="B2" s="705"/>
      <c r="E2" s="705"/>
      <c r="F2" s="705"/>
      <c r="G2" s="705"/>
      <c r="H2" s="705"/>
      <c r="I2" s="705"/>
      <c r="J2" s="705"/>
      <c r="K2" s="705"/>
      <c r="L2" s="718"/>
      <c r="M2" s="439"/>
      <c r="N2" s="731"/>
      <c r="O2" s="764"/>
      <c r="P2" s="721"/>
      <c r="Q2" s="733"/>
    </row>
    <row r="3" spans="1:17" ht="13.5" customHeight="1">
      <c r="A3" s="705"/>
      <c r="B3" s="706"/>
      <c r="E3" s="706"/>
      <c r="F3" s="706"/>
      <c r="G3" s="706"/>
      <c r="H3" s="706"/>
      <c r="I3" s="719"/>
      <c r="J3" s="719"/>
      <c r="K3" s="706"/>
      <c r="L3" s="718"/>
      <c r="M3" s="439"/>
      <c r="N3" s="731"/>
      <c r="O3" s="764"/>
      <c r="P3" s="721"/>
      <c r="Q3" s="733"/>
    </row>
    <row r="4" spans="1:17" s="436" customFormat="1" ht="21" customHeight="1">
      <c r="A4" s="1122" t="s">
        <v>35</v>
      </c>
      <c r="B4" s="1122" t="s">
        <v>242</v>
      </c>
      <c r="C4" s="1122" t="s">
        <v>1241</v>
      </c>
      <c r="D4" s="1122" t="s">
        <v>1242</v>
      </c>
      <c r="E4" s="1126" t="s">
        <v>1243</v>
      </c>
      <c r="F4" s="1127"/>
      <c r="G4" s="1127"/>
      <c r="H4" s="1128"/>
      <c r="I4" s="1122" t="s">
        <v>243</v>
      </c>
      <c r="J4" s="1129" t="s">
        <v>1244</v>
      </c>
      <c r="K4" s="1122" t="s">
        <v>1245</v>
      </c>
      <c r="L4" s="435"/>
      <c r="M4" s="1122" t="s">
        <v>242</v>
      </c>
      <c r="N4" s="1122" t="s">
        <v>1246</v>
      </c>
      <c r="O4" s="1122" t="s">
        <v>201</v>
      </c>
      <c r="P4" s="1122" t="s">
        <v>244</v>
      </c>
      <c r="Q4" s="1122" t="s">
        <v>250</v>
      </c>
    </row>
    <row r="5" spans="1:17" s="436" customFormat="1" ht="26.25" customHeight="1">
      <c r="A5" s="1122"/>
      <c r="B5" s="1122"/>
      <c r="C5" s="1122"/>
      <c r="D5" s="1122"/>
      <c r="E5" s="760" t="s">
        <v>1247</v>
      </c>
      <c r="F5" s="760" t="s">
        <v>1248</v>
      </c>
      <c r="G5" s="760" t="s">
        <v>1249</v>
      </c>
      <c r="H5" s="432" t="s">
        <v>1250</v>
      </c>
      <c r="I5" s="1122"/>
      <c r="J5" s="1130"/>
      <c r="K5" s="1122"/>
      <c r="L5" s="435"/>
      <c r="M5" s="1122"/>
      <c r="N5" s="1122"/>
      <c r="O5" s="1122"/>
      <c r="P5" s="1122"/>
      <c r="Q5" s="1122"/>
    </row>
    <row r="6" spans="1:17" ht="16.5" customHeight="1">
      <c r="A6" s="707">
        <v>1</v>
      </c>
      <c r="B6" s="291" t="s">
        <v>515</v>
      </c>
      <c r="C6" s="722">
        <v>41831</v>
      </c>
      <c r="D6" s="722" t="s">
        <v>570</v>
      </c>
      <c r="E6" s="904">
        <v>59</v>
      </c>
      <c r="F6" s="905">
        <v>38</v>
      </c>
      <c r="G6" s="905">
        <v>17</v>
      </c>
      <c r="H6" s="826">
        <f>IF(G6&lt;&gt;"",ROUND(((E6+F6)*2+5)*(F6+G6+3)/10000,2),ROUND(E6*F6/10000,2))</f>
        <v>1.1499999999999999</v>
      </c>
      <c r="I6" s="708">
        <v>570</v>
      </c>
      <c r="J6" s="708">
        <f t="shared" ref="J6:J69" si="0">H6*I6</f>
        <v>655.5</v>
      </c>
      <c r="K6" s="708">
        <f t="shared" ref="K6:K37" si="1">H6*$Q$35</f>
        <v>9387.4086014726599</v>
      </c>
      <c r="L6" s="624"/>
      <c r="M6" s="189" t="s">
        <v>1145</v>
      </c>
      <c r="N6" s="184">
        <v>41821</v>
      </c>
      <c r="O6" s="251">
        <v>4801</v>
      </c>
      <c r="P6" s="251">
        <v>9500</v>
      </c>
      <c r="Q6" s="8">
        <f t="shared" ref="Q6:Q13" si="2">ROUND(O6*P6,0)</f>
        <v>45609500</v>
      </c>
    </row>
    <row r="7" spans="1:17" ht="16.5" customHeight="1">
      <c r="A7" s="707">
        <f t="shared" ref="A7:A70" si="3">IF(B7&lt;&gt;"",A6+1,"")</f>
        <v>2</v>
      </c>
      <c r="B7" s="291" t="s">
        <v>515</v>
      </c>
      <c r="C7" s="722">
        <v>41831</v>
      </c>
      <c r="D7" s="722" t="s">
        <v>570</v>
      </c>
      <c r="E7" s="904">
        <v>59</v>
      </c>
      <c r="F7" s="905">
        <v>38</v>
      </c>
      <c r="G7" s="905">
        <v>17</v>
      </c>
      <c r="H7" s="826">
        <f t="shared" ref="H7:H70" si="4">IF(G7&lt;&gt;"",ROUND(((E7+F7)*2+5)*(F7+G7+3)/10000,2),ROUND(E7*F7/10000,2))</f>
        <v>1.1499999999999999</v>
      </c>
      <c r="I7" s="708">
        <v>564</v>
      </c>
      <c r="J7" s="708">
        <f t="shared" si="0"/>
        <v>648.59999999999991</v>
      </c>
      <c r="K7" s="708">
        <f t="shared" si="1"/>
        <v>9387.4086014726599</v>
      </c>
      <c r="L7" s="624"/>
      <c r="M7" s="291" t="s">
        <v>1075</v>
      </c>
      <c r="N7" s="37">
        <v>41835</v>
      </c>
      <c r="O7" s="251">
        <v>10230</v>
      </c>
      <c r="P7" s="251">
        <v>8500</v>
      </c>
      <c r="Q7" s="8">
        <f t="shared" si="2"/>
        <v>86955000</v>
      </c>
    </row>
    <row r="8" spans="1:17" ht="16.5" customHeight="1">
      <c r="A8" s="707">
        <f t="shared" si="3"/>
        <v>3</v>
      </c>
      <c r="B8" s="291" t="s">
        <v>571</v>
      </c>
      <c r="C8" s="722">
        <v>41832</v>
      </c>
      <c r="D8" s="722" t="s">
        <v>572</v>
      </c>
      <c r="E8" s="904">
        <v>47</v>
      </c>
      <c r="F8" s="905">
        <v>24</v>
      </c>
      <c r="G8" s="905">
        <v>25</v>
      </c>
      <c r="H8" s="826">
        <f t="shared" si="4"/>
        <v>0.76</v>
      </c>
      <c r="I8" s="708">
        <v>393</v>
      </c>
      <c r="J8" s="708">
        <f t="shared" si="0"/>
        <v>298.68</v>
      </c>
      <c r="K8" s="708">
        <f t="shared" si="1"/>
        <v>6203.8526409732367</v>
      </c>
      <c r="L8" s="624"/>
      <c r="M8" s="192" t="s">
        <v>1075</v>
      </c>
      <c r="N8" s="37">
        <v>41848</v>
      </c>
      <c r="O8" s="251">
        <v>7379</v>
      </c>
      <c r="P8" s="251">
        <v>7500</v>
      </c>
      <c r="Q8" s="8">
        <f t="shared" si="2"/>
        <v>55342500</v>
      </c>
    </row>
    <row r="9" spans="1:17" ht="16.5" customHeight="1">
      <c r="A9" s="707">
        <f t="shared" si="3"/>
        <v>4</v>
      </c>
      <c r="B9" s="291" t="s">
        <v>573</v>
      </c>
      <c r="C9" s="722">
        <v>41832</v>
      </c>
      <c r="D9" s="722" t="s">
        <v>572</v>
      </c>
      <c r="E9" s="904">
        <v>51</v>
      </c>
      <c r="F9" s="905">
        <v>38</v>
      </c>
      <c r="G9" s="905">
        <v>25</v>
      </c>
      <c r="H9" s="826">
        <f t="shared" si="4"/>
        <v>1.21</v>
      </c>
      <c r="I9" s="708">
        <v>480</v>
      </c>
      <c r="J9" s="708">
        <f t="shared" si="0"/>
        <v>580.79999999999995</v>
      </c>
      <c r="K9" s="708">
        <f t="shared" si="1"/>
        <v>9877.1864415494947</v>
      </c>
      <c r="L9" s="624"/>
      <c r="M9" s="192" t="s">
        <v>1075</v>
      </c>
      <c r="N9" s="37">
        <v>41852</v>
      </c>
      <c r="O9" s="251">
        <v>5973</v>
      </c>
      <c r="P9" s="251">
        <v>7200</v>
      </c>
      <c r="Q9" s="8">
        <f t="shared" si="2"/>
        <v>43005600</v>
      </c>
    </row>
    <row r="10" spans="1:17" ht="16.5" customHeight="1">
      <c r="A10" s="707">
        <f t="shared" si="3"/>
        <v>5</v>
      </c>
      <c r="B10" s="291" t="s">
        <v>574</v>
      </c>
      <c r="C10" s="722">
        <v>41832</v>
      </c>
      <c r="D10" s="722" t="s">
        <v>572</v>
      </c>
      <c r="E10" s="904">
        <v>45</v>
      </c>
      <c r="F10" s="905">
        <v>42</v>
      </c>
      <c r="G10" s="905">
        <v>22</v>
      </c>
      <c r="H10" s="826">
        <f t="shared" si="4"/>
        <v>1.2</v>
      </c>
      <c r="I10" s="708">
        <v>219</v>
      </c>
      <c r="J10" s="708">
        <f t="shared" si="0"/>
        <v>262.8</v>
      </c>
      <c r="K10" s="708">
        <f t="shared" si="1"/>
        <v>9795.5568015366898</v>
      </c>
      <c r="L10" s="624"/>
      <c r="M10" s="192" t="s">
        <v>1075</v>
      </c>
      <c r="N10" s="184">
        <v>41866</v>
      </c>
      <c r="O10" s="251">
        <v>9665</v>
      </c>
      <c r="P10" s="251">
        <v>8500</v>
      </c>
      <c r="Q10" s="8">
        <f t="shared" si="2"/>
        <v>82152500</v>
      </c>
    </row>
    <row r="11" spans="1:17" ht="16.5" customHeight="1">
      <c r="A11" s="707">
        <f t="shared" si="3"/>
        <v>6</v>
      </c>
      <c r="B11" s="291" t="s">
        <v>575</v>
      </c>
      <c r="C11" s="722">
        <v>41834</v>
      </c>
      <c r="D11" s="722" t="s">
        <v>576</v>
      </c>
      <c r="E11" s="904">
        <v>34</v>
      </c>
      <c r="F11" s="905">
        <v>34</v>
      </c>
      <c r="G11" s="905">
        <v>40</v>
      </c>
      <c r="H11" s="826">
        <f t="shared" si="4"/>
        <v>1.0900000000000001</v>
      </c>
      <c r="I11" s="708">
        <v>300</v>
      </c>
      <c r="J11" s="708">
        <f t="shared" si="0"/>
        <v>327</v>
      </c>
      <c r="K11" s="708">
        <f t="shared" si="1"/>
        <v>8897.630761395827</v>
      </c>
      <c r="L11" s="624"/>
      <c r="M11" s="192" t="s">
        <v>1079</v>
      </c>
      <c r="N11" s="184">
        <v>41883</v>
      </c>
      <c r="O11" s="251">
        <v>10578</v>
      </c>
      <c r="P11" s="251">
        <v>9500</v>
      </c>
      <c r="Q11" s="8">
        <f t="shared" si="2"/>
        <v>100491000</v>
      </c>
    </row>
    <row r="12" spans="1:17" ht="16.5" customHeight="1">
      <c r="A12" s="707">
        <f t="shared" si="3"/>
        <v>7</v>
      </c>
      <c r="B12" s="291" t="s">
        <v>577</v>
      </c>
      <c r="C12" s="722">
        <v>41834</v>
      </c>
      <c r="D12" s="722" t="s">
        <v>576</v>
      </c>
      <c r="E12" s="904">
        <v>34</v>
      </c>
      <c r="F12" s="905">
        <v>34</v>
      </c>
      <c r="G12" s="905">
        <v>43</v>
      </c>
      <c r="H12" s="826">
        <f t="shared" si="4"/>
        <v>1.1299999999999999</v>
      </c>
      <c r="I12" s="708">
        <v>720</v>
      </c>
      <c r="J12" s="708">
        <f t="shared" si="0"/>
        <v>813.59999999999991</v>
      </c>
      <c r="K12" s="708">
        <f t="shared" si="1"/>
        <v>9224.1493214470484</v>
      </c>
      <c r="L12" s="624"/>
      <c r="M12" s="192" t="s">
        <v>1075</v>
      </c>
      <c r="N12" s="184">
        <v>41892</v>
      </c>
      <c r="O12" s="251">
        <v>7247</v>
      </c>
      <c r="P12" s="251">
        <v>8500</v>
      </c>
      <c r="Q12" s="8">
        <f t="shared" si="2"/>
        <v>61599500</v>
      </c>
    </row>
    <row r="13" spans="1:17" ht="16.5" customHeight="1">
      <c r="A13" s="707">
        <f t="shared" si="3"/>
        <v>8</v>
      </c>
      <c r="B13" s="291" t="s">
        <v>436</v>
      </c>
      <c r="C13" s="722">
        <v>41834</v>
      </c>
      <c r="D13" s="722" t="s">
        <v>578</v>
      </c>
      <c r="E13" s="904">
        <v>49</v>
      </c>
      <c r="F13" s="905">
        <v>38</v>
      </c>
      <c r="G13" s="905">
        <v>12</v>
      </c>
      <c r="H13" s="826">
        <f t="shared" si="4"/>
        <v>0.95</v>
      </c>
      <c r="I13" s="708">
        <v>522</v>
      </c>
      <c r="J13" s="708">
        <f t="shared" si="0"/>
        <v>495.9</v>
      </c>
      <c r="K13" s="708">
        <f t="shared" si="1"/>
        <v>7754.8158012165459</v>
      </c>
      <c r="L13" s="624"/>
      <c r="M13" s="291"/>
      <c r="N13" s="724"/>
      <c r="O13" s="251"/>
      <c r="P13" s="251"/>
      <c r="Q13" s="8">
        <f t="shared" si="2"/>
        <v>0</v>
      </c>
    </row>
    <row r="14" spans="1:17" ht="16.5" customHeight="1">
      <c r="A14" s="707">
        <f t="shared" si="3"/>
        <v>9</v>
      </c>
      <c r="B14" s="291" t="s">
        <v>574</v>
      </c>
      <c r="C14" s="722">
        <v>41834</v>
      </c>
      <c r="D14" s="722" t="s">
        <v>578</v>
      </c>
      <c r="E14" s="904">
        <v>45</v>
      </c>
      <c r="F14" s="905">
        <v>42</v>
      </c>
      <c r="G14" s="905">
        <v>22</v>
      </c>
      <c r="H14" s="826">
        <f t="shared" si="4"/>
        <v>1.2</v>
      </c>
      <c r="I14" s="708">
        <v>525</v>
      </c>
      <c r="J14" s="708">
        <f t="shared" si="0"/>
        <v>630</v>
      </c>
      <c r="K14" s="708">
        <f t="shared" si="1"/>
        <v>9795.5568015366898</v>
      </c>
      <c r="L14" s="624"/>
      <c r="M14" s="438"/>
      <c r="N14" s="722"/>
      <c r="O14" s="761"/>
      <c r="P14" s="748"/>
      <c r="Q14" s="8"/>
    </row>
    <row r="15" spans="1:17" ht="16.5" customHeight="1">
      <c r="A15" s="707">
        <f t="shared" si="3"/>
        <v>10</v>
      </c>
      <c r="B15" s="291" t="s">
        <v>508</v>
      </c>
      <c r="C15" s="722">
        <v>41834</v>
      </c>
      <c r="D15" s="722" t="s">
        <v>579</v>
      </c>
      <c r="E15" s="904">
        <v>39.5</v>
      </c>
      <c r="F15" s="905">
        <v>32.299999999999997</v>
      </c>
      <c r="G15" s="905">
        <v>27.7</v>
      </c>
      <c r="H15" s="826">
        <f t="shared" si="4"/>
        <v>0.94</v>
      </c>
      <c r="I15" s="708">
        <v>214</v>
      </c>
      <c r="J15" s="708">
        <f t="shared" si="0"/>
        <v>201.16</v>
      </c>
      <c r="K15" s="708">
        <f t="shared" si="1"/>
        <v>7673.1861612037401</v>
      </c>
      <c r="L15" s="624"/>
      <c r="M15" s="827" t="s">
        <v>1251</v>
      </c>
      <c r="N15" s="828"/>
      <c r="O15" s="829"/>
      <c r="P15" s="511"/>
      <c r="Q15" s="511">
        <f>SUM(Q6:Q14)</f>
        <v>475155600</v>
      </c>
    </row>
    <row r="16" spans="1:17" ht="16.5" customHeight="1">
      <c r="A16" s="707">
        <f t="shared" si="3"/>
        <v>11</v>
      </c>
      <c r="B16" s="291" t="s">
        <v>486</v>
      </c>
      <c r="C16" s="722">
        <v>41834</v>
      </c>
      <c r="D16" s="722" t="s">
        <v>579</v>
      </c>
      <c r="E16" s="904">
        <v>41</v>
      </c>
      <c r="F16" s="905">
        <v>31</v>
      </c>
      <c r="G16" s="905">
        <v>25.5</v>
      </c>
      <c r="H16" s="826">
        <f t="shared" si="4"/>
        <v>0.89</v>
      </c>
      <c r="I16" s="708">
        <v>133</v>
      </c>
      <c r="J16" s="708">
        <f t="shared" si="0"/>
        <v>118.37</v>
      </c>
      <c r="K16" s="708">
        <f t="shared" si="1"/>
        <v>7265.037961139712</v>
      </c>
      <c r="L16" s="624"/>
      <c r="M16" s="189" t="s">
        <v>330</v>
      </c>
      <c r="N16" s="37">
        <v>41821</v>
      </c>
      <c r="O16" s="748">
        <v>24</v>
      </c>
      <c r="P16" s="748">
        <v>45000</v>
      </c>
      <c r="Q16" s="8">
        <f t="shared" ref="Q16:Q23" si="5">ROUND(O16*P16,0)</f>
        <v>1080000</v>
      </c>
    </row>
    <row r="17" spans="1:17" ht="16.5" customHeight="1">
      <c r="A17" s="707">
        <f t="shared" si="3"/>
        <v>12</v>
      </c>
      <c r="B17" s="291" t="s">
        <v>580</v>
      </c>
      <c r="C17" s="722">
        <v>41837</v>
      </c>
      <c r="D17" s="722" t="s">
        <v>581</v>
      </c>
      <c r="E17" s="904">
        <v>46.5</v>
      </c>
      <c r="F17" s="905">
        <v>41.5</v>
      </c>
      <c r="G17" s="905">
        <v>31</v>
      </c>
      <c r="H17" s="826">
        <f t="shared" si="4"/>
        <v>1.37</v>
      </c>
      <c r="I17" s="708">
        <v>115</v>
      </c>
      <c r="J17" s="708">
        <f t="shared" si="0"/>
        <v>157.55000000000001</v>
      </c>
      <c r="K17" s="708">
        <f t="shared" si="1"/>
        <v>11183.260681754389</v>
      </c>
      <c r="L17" s="624"/>
      <c r="M17" s="189" t="s">
        <v>1017</v>
      </c>
      <c r="N17" s="37">
        <v>41842</v>
      </c>
      <c r="O17" s="748">
        <v>1500</v>
      </c>
      <c r="P17" s="748">
        <v>11000</v>
      </c>
      <c r="Q17" s="8">
        <f t="shared" si="5"/>
        <v>16500000</v>
      </c>
    </row>
    <row r="18" spans="1:17" ht="16.5" customHeight="1">
      <c r="A18" s="707">
        <f t="shared" si="3"/>
        <v>13</v>
      </c>
      <c r="B18" s="291" t="s">
        <v>583</v>
      </c>
      <c r="C18" s="722">
        <v>41837</v>
      </c>
      <c r="D18" s="722" t="s">
        <v>581</v>
      </c>
      <c r="E18" s="904">
        <v>62</v>
      </c>
      <c r="F18" s="905">
        <v>42</v>
      </c>
      <c r="G18" s="905">
        <v>36</v>
      </c>
      <c r="H18" s="826">
        <f t="shared" si="4"/>
        <v>1.73</v>
      </c>
      <c r="I18" s="708">
        <v>15</v>
      </c>
      <c r="J18" s="708">
        <f t="shared" si="0"/>
        <v>25.95</v>
      </c>
      <c r="K18" s="708">
        <f t="shared" si="1"/>
        <v>14121.927722215394</v>
      </c>
      <c r="L18" s="624"/>
      <c r="M18" s="189" t="s">
        <v>1022</v>
      </c>
      <c r="N18" s="37">
        <v>41851</v>
      </c>
      <c r="O18" s="748">
        <v>25</v>
      </c>
      <c r="P18" s="748">
        <v>20000</v>
      </c>
      <c r="Q18" s="8">
        <f t="shared" si="5"/>
        <v>500000</v>
      </c>
    </row>
    <row r="19" spans="1:17" ht="16.5" customHeight="1">
      <c r="A19" s="707">
        <f t="shared" si="3"/>
        <v>14</v>
      </c>
      <c r="B19" s="291" t="s">
        <v>584</v>
      </c>
      <c r="C19" s="722">
        <v>41837</v>
      </c>
      <c r="D19" s="722" t="s">
        <v>581</v>
      </c>
      <c r="E19" s="904">
        <v>39.5</v>
      </c>
      <c r="F19" s="905">
        <v>39.5</v>
      </c>
      <c r="G19" s="905">
        <v>25</v>
      </c>
      <c r="H19" s="826">
        <f t="shared" si="4"/>
        <v>1.1000000000000001</v>
      </c>
      <c r="I19" s="708">
        <v>40</v>
      </c>
      <c r="J19" s="708">
        <f t="shared" si="0"/>
        <v>44</v>
      </c>
      <c r="K19" s="708">
        <f t="shared" si="1"/>
        <v>8979.2604014086337</v>
      </c>
      <c r="L19" s="624"/>
      <c r="M19" s="189" t="s">
        <v>1023</v>
      </c>
      <c r="N19" s="37">
        <v>41851</v>
      </c>
      <c r="O19" s="748">
        <v>100</v>
      </c>
      <c r="P19" s="748">
        <v>20000</v>
      </c>
      <c r="Q19" s="8">
        <f t="shared" si="5"/>
        <v>2000000</v>
      </c>
    </row>
    <row r="20" spans="1:17" ht="16.5" customHeight="1">
      <c r="A20" s="707">
        <f t="shared" si="3"/>
        <v>15</v>
      </c>
      <c r="B20" s="291" t="s">
        <v>585</v>
      </c>
      <c r="C20" s="722">
        <v>41837</v>
      </c>
      <c r="D20" s="722" t="s">
        <v>581</v>
      </c>
      <c r="E20" s="904">
        <v>46.5</v>
      </c>
      <c r="F20" s="905">
        <v>41.5</v>
      </c>
      <c r="G20" s="905">
        <v>31</v>
      </c>
      <c r="H20" s="826">
        <f t="shared" si="4"/>
        <v>1.37</v>
      </c>
      <c r="I20" s="708">
        <v>720</v>
      </c>
      <c r="J20" s="708">
        <f t="shared" si="0"/>
        <v>986.40000000000009</v>
      </c>
      <c r="K20" s="708">
        <f t="shared" si="1"/>
        <v>11183.260681754389</v>
      </c>
      <c r="L20" s="624"/>
      <c r="M20" s="189" t="s">
        <v>1127</v>
      </c>
      <c r="N20" s="37">
        <v>41858</v>
      </c>
      <c r="O20" s="748">
        <v>55</v>
      </c>
      <c r="P20" s="748">
        <v>360000</v>
      </c>
      <c r="Q20" s="8">
        <f t="shared" si="5"/>
        <v>19800000</v>
      </c>
    </row>
    <row r="21" spans="1:17" ht="16.5" customHeight="1">
      <c r="A21" s="707">
        <f t="shared" si="3"/>
        <v>16</v>
      </c>
      <c r="B21" s="291" t="s">
        <v>586</v>
      </c>
      <c r="C21" s="722">
        <v>41837</v>
      </c>
      <c r="D21" s="722" t="s">
        <v>581</v>
      </c>
      <c r="E21" s="904">
        <v>45.5</v>
      </c>
      <c r="F21" s="905">
        <v>41.5</v>
      </c>
      <c r="G21" s="905">
        <v>25</v>
      </c>
      <c r="H21" s="826">
        <f t="shared" si="4"/>
        <v>1.24</v>
      </c>
      <c r="I21" s="708">
        <v>370</v>
      </c>
      <c r="J21" s="708">
        <f t="shared" si="0"/>
        <v>458.8</v>
      </c>
      <c r="K21" s="708">
        <f t="shared" si="1"/>
        <v>10122.075361587913</v>
      </c>
      <c r="L21" s="624"/>
      <c r="M21" s="189" t="s">
        <v>330</v>
      </c>
      <c r="N21" s="37">
        <v>41870</v>
      </c>
      <c r="O21" s="748">
        <v>24</v>
      </c>
      <c r="P21" s="748">
        <v>45000</v>
      </c>
      <c r="Q21" s="8">
        <f t="shared" si="5"/>
        <v>1080000</v>
      </c>
    </row>
    <row r="22" spans="1:17" ht="16.5" customHeight="1">
      <c r="A22" s="707">
        <f t="shared" si="3"/>
        <v>17</v>
      </c>
      <c r="B22" s="291" t="s">
        <v>494</v>
      </c>
      <c r="C22" s="722">
        <v>41837</v>
      </c>
      <c r="D22" s="722" t="s">
        <v>587</v>
      </c>
      <c r="E22" s="904">
        <v>42</v>
      </c>
      <c r="F22" s="905">
        <v>26</v>
      </c>
      <c r="G22" s="905">
        <v>33</v>
      </c>
      <c r="H22" s="826">
        <f t="shared" si="4"/>
        <v>0.87</v>
      </c>
      <c r="I22" s="708">
        <v>500</v>
      </c>
      <c r="J22" s="708">
        <f t="shared" si="0"/>
        <v>435</v>
      </c>
      <c r="K22" s="708">
        <f t="shared" si="1"/>
        <v>7101.7786811141004</v>
      </c>
      <c r="L22" s="624"/>
      <c r="M22" s="189" t="s">
        <v>1127</v>
      </c>
      <c r="N22" s="37">
        <v>41901</v>
      </c>
      <c r="O22" s="748">
        <v>110</v>
      </c>
      <c r="P22" s="748">
        <v>360000</v>
      </c>
      <c r="Q22" s="8">
        <f t="shared" si="5"/>
        <v>39600000</v>
      </c>
    </row>
    <row r="23" spans="1:17" ht="16.5" customHeight="1">
      <c r="A23" s="707">
        <f t="shared" si="3"/>
        <v>18</v>
      </c>
      <c r="B23" s="291" t="s">
        <v>512</v>
      </c>
      <c r="C23" s="722">
        <v>41837</v>
      </c>
      <c r="D23" s="722" t="s">
        <v>587</v>
      </c>
      <c r="E23" s="904">
        <v>32.5</v>
      </c>
      <c r="F23" s="905">
        <v>32.5</v>
      </c>
      <c r="G23" s="905">
        <v>16</v>
      </c>
      <c r="H23" s="826">
        <f t="shared" si="4"/>
        <v>0.7</v>
      </c>
      <c r="I23" s="708">
        <v>410</v>
      </c>
      <c r="J23" s="708">
        <f t="shared" si="0"/>
        <v>287</v>
      </c>
      <c r="K23" s="708">
        <f t="shared" si="1"/>
        <v>5714.0748008964019</v>
      </c>
      <c r="L23" s="624"/>
      <c r="M23" s="189" t="s">
        <v>330</v>
      </c>
      <c r="N23" s="37">
        <v>41902</v>
      </c>
      <c r="O23" s="251">
        <v>24</v>
      </c>
      <c r="P23" s="251">
        <v>45000</v>
      </c>
      <c r="Q23" s="8">
        <f t="shared" si="5"/>
        <v>1080000</v>
      </c>
    </row>
    <row r="24" spans="1:17" ht="16.5" customHeight="1">
      <c r="A24" s="707">
        <f t="shared" si="3"/>
        <v>19</v>
      </c>
      <c r="B24" s="291" t="s">
        <v>483</v>
      </c>
      <c r="C24" s="722">
        <v>41837</v>
      </c>
      <c r="D24" s="722" t="s">
        <v>587</v>
      </c>
      <c r="E24" s="904">
        <v>49.5</v>
      </c>
      <c r="F24" s="905">
        <v>38.5</v>
      </c>
      <c r="G24" s="905">
        <v>32.5</v>
      </c>
      <c r="H24" s="826">
        <f t="shared" si="4"/>
        <v>1.34</v>
      </c>
      <c r="I24" s="708">
        <v>280</v>
      </c>
      <c r="J24" s="708">
        <f t="shared" si="0"/>
        <v>375.20000000000005</v>
      </c>
      <c r="K24" s="708">
        <f t="shared" si="1"/>
        <v>10938.371761715971</v>
      </c>
      <c r="L24" s="624"/>
      <c r="M24" s="438"/>
      <c r="N24" s="722"/>
      <c r="O24" s="761"/>
      <c r="P24" s="748"/>
      <c r="Q24" s="8"/>
    </row>
    <row r="25" spans="1:17" ht="16.5" customHeight="1">
      <c r="A25" s="707">
        <f t="shared" si="3"/>
        <v>20</v>
      </c>
      <c r="B25" s="291" t="s">
        <v>421</v>
      </c>
      <c r="C25" s="722">
        <v>41842</v>
      </c>
      <c r="D25" s="722" t="s">
        <v>588</v>
      </c>
      <c r="E25" s="904">
        <v>56</v>
      </c>
      <c r="F25" s="905">
        <v>48</v>
      </c>
      <c r="G25" s="905">
        <v>17</v>
      </c>
      <c r="H25" s="826">
        <f t="shared" si="4"/>
        <v>1.45</v>
      </c>
      <c r="I25" s="708">
        <v>513</v>
      </c>
      <c r="J25" s="708">
        <f t="shared" si="0"/>
        <v>743.85</v>
      </c>
      <c r="K25" s="708">
        <f t="shared" si="1"/>
        <v>11836.297801856834</v>
      </c>
      <c r="L25" s="624"/>
      <c r="M25" s="827" t="s">
        <v>1252</v>
      </c>
      <c r="N25" s="828"/>
      <c r="O25" s="829"/>
      <c r="P25" s="511"/>
      <c r="Q25" s="511">
        <f>SUM(Q16:Q24)</f>
        <v>81640000</v>
      </c>
    </row>
    <row r="26" spans="1:17" ht="16.5" customHeight="1">
      <c r="A26" s="707">
        <f t="shared" si="3"/>
        <v>21</v>
      </c>
      <c r="B26" s="291" t="s">
        <v>445</v>
      </c>
      <c r="C26" s="722">
        <v>41842</v>
      </c>
      <c r="D26" s="722" t="s">
        <v>588</v>
      </c>
      <c r="E26" s="904">
        <v>50</v>
      </c>
      <c r="F26" s="905">
        <v>20</v>
      </c>
      <c r="G26" s="905"/>
      <c r="H26" s="826">
        <f t="shared" si="4"/>
        <v>0.1</v>
      </c>
      <c r="I26" s="708">
        <v>1026</v>
      </c>
      <c r="J26" s="708">
        <f t="shared" si="0"/>
        <v>102.60000000000001</v>
      </c>
      <c r="K26" s="708">
        <f t="shared" si="1"/>
        <v>816.29640012805748</v>
      </c>
      <c r="L26" s="624"/>
      <c r="M26" s="438" t="s">
        <v>1253</v>
      </c>
      <c r="N26" s="722"/>
      <c r="O26" s="761"/>
      <c r="P26" s="748"/>
      <c r="Q26" s="8">
        <f>Q15</f>
        <v>475155600</v>
      </c>
    </row>
    <row r="27" spans="1:17" ht="16.5" customHeight="1">
      <c r="A27" s="707">
        <f t="shared" si="3"/>
        <v>22</v>
      </c>
      <c r="B27" s="291" t="s">
        <v>480</v>
      </c>
      <c r="C27" s="722">
        <v>41842</v>
      </c>
      <c r="D27" s="722" t="s">
        <v>589</v>
      </c>
      <c r="E27" s="904">
        <v>34</v>
      </c>
      <c r="F27" s="905">
        <v>24</v>
      </c>
      <c r="G27" s="905">
        <v>30</v>
      </c>
      <c r="H27" s="826">
        <f t="shared" si="4"/>
        <v>0.69</v>
      </c>
      <c r="I27" s="708">
        <v>1600</v>
      </c>
      <c r="J27" s="708">
        <f t="shared" si="0"/>
        <v>1104</v>
      </c>
      <c r="K27" s="708">
        <f t="shared" si="1"/>
        <v>5632.4451608835961</v>
      </c>
      <c r="L27" s="624"/>
      <c r="M27" s="438" t="s">
        <v>1254</v>
      </c>
      <c r="N27" s="722"/>
      <c r="O27" s="761"/>
      <c r="P27" s="748"/>
      <c r="Q27" s="8">
        <f>Q25</f>
        <v>81640000</v>
      </c>
    </row>
    <row r="28" spans="1:17" ht="16.5" customHeight="1">
      <c r="A28" s="707">
        <f t="shared" si="3"/>
        <v>23</v>
      </c>
      <c r="B28" s="291" t="s">
        <v>500</v>
      </c>
      <c r="C28" s="722">
        <v>41843</v>
      </c>
      <c r="D28" s="722" t="s">
        <v>590</v>
      </c>
      <c r="E28" s="904">
        <v>51.5</v>
      </c>
      <c r="F28" s="905">
        <v>25</v>
      </c>
      <c r="G28" s="905">
        <v>25.2</v>
      </c>
      <c r="H28" s="826">
        <f t="shared" si="4"/>
        <v>0.84</v>
      </c>
      <c r="I28" s="708">
        <v>563</v>
      </c>
      <c r="J28" s="708">
        <f t="shared" si="0"/>
        <v>472.91999999999996</v>
      </c>
      <c r="K28" s="708">
        <f t="shared" si="1"/>
        <v>6856.8897610756831</v>
      </c>
      <c r="L28" s="624"/>
      <c r="M28" s="438" t="s">
        <v>1255</v>
      </c>
      <c r="N28" s="722"/>
      <c r="O28" s="761"/>
      <c r="P28" s="748"/>
      <c r="Q28" s="8">
        <v>14690000</v>
      </c>
    </row>
    <row r="29" spans="1:17" ht="16.5" customHeight="1">
      <c r="A29" s="707">
        <f t="shared" si="3"/>
        <v>24</v>
      </c>
      <c r="B29" s="291" t="s">
        <v>503</v>
      </c>
      <c r="C29" s="722">
        <v>41843</v>
      </c>
      <c r="D29" s="722" t="s">
        <v>590</v>
      </c>
      <c r="E29" s="904">
        <v>51.5</v>
      </c>
      <c r="F29" s="905">
        <v>26</v>
      </c>
      <c r="G29" s="905">
        <v>27</v>
      </c>
      <c r="H29" s="826">
        <f t="shared" si="4"/>
        <v>0.9</v>
      </c>
      <c r="I29" s="708">
        <v>212</v>
      </c>
      <c r="J29" s="708">
        <f t="shared" si="0"/>
        <v>190.8</v>
      </c>
      <c r="K29" s="708">
        <f t="shared" si="1"/>
        <v>7346.6676011525178</v>
      </c>
      <c r="L29" s="624"/>
      <c r="M29" s="438" t="s">
        <v>1256</v>
      </c>
      <c r="N29" s="722"/>
      <c r="O29" s="761"/>
      <c r="P29" s="748"/>
      <c r="Q29" s="8">
        <v>30750000</v>
      </c>
    </row>
    <row r="30" spans="1:17" ht="16.5" customHeight="1">
      <c r="A30" s="707">
        <f t="shared" si="3"/>
        <v>25</v>
      </c>
      <c r="B30" s="291" t="s">
        <v>406</v>
      </c>
      <c r="C30" s="722">
        <v>41843</v>
      </c>
      <c r="D30" s="722" t="s">
        <v>590</v>
      </c>
      <c r="E30" s="904">
        <v>52</v>
      </c>
      <c r="F30" s="905">
        <v>32</v>
      </c>
      <c r="G30" s="905">
        <v>22</v>
      </c>
      <c r="H30" s="826">
        <f t="shared" si="4"/>
        <v>0.99</v>
      </c>
      <c r="I30" s="708">
        <v>197</v>
      </c>
      <c r="J30" s="708">
        <f t="shared" si="0"/>
        <v>195.03</v>
      </c>
      <c r="K30" s="708">
        <f t="shared" si="1"/>
        <v>8081.3343612677691</v>
      </c>
      <c r="L30" s="624"/>
      <c r="M30" s="438" t="s">
        <v>1257</v>
      </c>
      <c r="N30" s="722"/>
      <c r="O30" s="761"/>
      <c r="P30" s="748"/>
      <c r="Q30" s="8">
        <v>93090000</v>
      </c>
    </row>
    <row r="31" spans="1:17" ht="16.5" customHeight="1">
      <c r="A31" s="707">
        <f t="shared" si="3"/>
        <v>26</v>
      </c>
      <c r="B31" s="291" t="s">
        <v>504</v>
      </c>
      <c r="C31" s="722">
        <v>41843</v>
      </c>
      <c r="D31" s="722" t="s">
        <v>590</v>
      </c>
      <c r="E31" s="904">
        <v>51.5</v>
      </c>
      <c r="F31" s="905">
        <v>27.5</v>
      </c>
      <c r="G31" s="905">
        <v>27.5</v>
      </c>
      <c r="H31" s="826">
        <f t="shared" si="4"/>
        <v>0.95</v>
      </c>
      <c r="I31" s="708">
        <v>216</v>
      </c>
      <c r="J31" s="708">
        <f t="shared" si="0"/>
        <v>205.2</v>
      </c>
      <c r="K31" s="708">
        <f t="shared" si="1"/>
        <v>7754.8158012165459</v>
      </c>
      <c r="L31" s="624"/>
      <c r="M31" s="438"/>
      <c r="N31" s="722"/>
      <c r="O31" s="761"/>
      <c r="P31" s="748"/>
      <c r="Q31" s="8"/>
    </row>
    <row r="32" spans="1:17" ht="16.5" customHeight="1">
      <c r="A32" s="707">
        <f t="shared" si="3"/>
        <v>27</v>
      </c>
      <c r="B32" s="291" t="s">
        <v>591</v>
      </c>
      <c r="C32" s="722">
        <v>41843</v>
      </c>
      <c r="D32" s="722" t="s">
        <v>592</v>
      </c>
      <c r="E32" s="904">
        <v>69</v>
      </c>
      <c r="F32" s="905">
        <v>39</v>
      </c>
      <c r="G32" s="905">
        <v>54</v>
      </c>
      <c r="H32" s="826">
        <f t="shared" si="4"/>
        <v>2.12</v>
      </c>
      <c r="I32" s="708">
        <v>413</v>
      </c>
      <c r="J32" s="708">
        <f t="shared" si="0"/>
        <v>875.56000000000006</v>
      </c>
      <c r="K32" s="708">
        <f t="shared" si="1"/>
        <v>17305.483682714821</v>
      </c>
      <c r="L32" s="624"/>
      <c r="M32" s="827" t="s">
        <v>1258</v>
      </c>
      <c r="N32" s="828"/>
      <c r="O32" s="829"/>
      <c r="P32" s="511"/>
      <c r="Q32" s="511">
        <f>SUM(Q26:Q31)</f>
        <v>695325600</v>
      </c>
    </row>
    <row r="33" spans="1:17" ht="16.5" customHeight="1">
      <c r="A33" s="707">
        <f t="shared" si="3"/>
        <v>28</v>
      </c>
      <c r="B33" s="291" t="s">
        <v>593</v>
      </c>
      <c r="C33" s="722">
        <v>41843</v>
      </c>
      <c r="D33" s="722" t="s">
        <v>594</v>
      </c>
      <c r="E33" s="904">
        <v>55</v>
      </c>
      <c r="F33" s="905">
        <v>55</v>
      </c>
      <c r="G33" s="905">
        <v>75</v>
      </c>
      <c r="H33" s="826">
        <f t="shared" si="4"/>
        <v>2.99</v>
      </c>
      <c r="I33" s="708">
        <v>190</v>
      </c>
      <c r="J33" s="708">
        <f t="shared" si="0"/>
        <v>568.1</v>
      </c>
      <c r="K33" s="708">
        <f t="shared" si="1"/>
        <v>24407.262363828919</v>
      </c>
      <c r="L33" s="624"/>
      <c r="M33" s="439"/>
      <c r="N33" s="731"/>
      <c r="O33" s="764"/>
      <c r="P33" s="721"/>
      <c r="Q33" s="733"/>
    </row>
    <row r="34" spans="1:17" ht="16.5" customHeight="1">
      <c r="A34" s="707">
        <f t="shared" si="3"/>
        <v>29</v>
      </c>
      <c r="B34" s="291" t="s">
        <v>595</v>
      </c>
      <c r="C34" s="722">
        <v>41843</v>
      </c>
      <c r="D34" s="722" t="s">
        <v>596</v>
      </c>
      <c r="E34" s="904">
        <v>43</v>
      </c>
      <c r="F34" s="905">
        <v>27</v>
      </c>
      <c r="G34" s="905">
        <v>33</v>
      </c>
      <c r="H34" s="826">
        <f t="shared" si="4"/>
        <v>0.91</v>
      </c>
      <c r="I34" s="708">
        <v>202</v>
      </c>
      <c r="J34" s="708">
        <f t="shared" si="0"/>
        <v>183.82</v>
      </c>
      <c r="K34" s="708">
        <f t="shared" si="1"/>
        <v>7428.2972411653236</v>
      </c>
      <c r="L34" s="624"/>
      <c r="M34" s="439"/>
      <c r="N34" s="731"/>
      <c r="O34" s="764"/>
      <c r="P34" s="721"/>
      <c r="Q34" s="733"/>
    </row>
    <row r="35" spans="1:17" ht="16.5" customHeight="1">
      <c r="A35" s="707">
        <f t="shared" si="3"/>
        <v>30</v>
      </c>
      <c r="B35" s="291" t="s">
        <v>597</v>
      </c>
      <c r="C35" s="722">
        <v>41843</v>
      </c>
      <c r="D35" s="722" t="s">
        <v>596</v>
      </c>
      <c r="E35" s="904">
        <v>48</v>
      </c>
      <c r="F35" s="905">
        <v>47</v>
      </c>
      <c r="G35" s="905">
        <v>54.5</v>
      </c>
      <c r="H35" s="826">
        <f t="shared" si="4"/>
        <v>2.04</v>
      </c>
      <c r="I35" s="708">
        <v>103</v>
      </c>
      <c r="J35" s="708">
        <f t="shared" si="0"/>
        <v>210.12</v>
      </c>
      <c r="K35" s="708">
        <f t="shared" si="1"/>
        <v>16652.446562612375</v>
      </c>
      <c r="L35" s="624"/>
      <c r="M35" s="1123" t="s">
        <v>1259</v>
      </c>
      <c r="N35" s="1124"/>
      <c r="O35" s="1124"/>
      <c r="P35" s="1125"/>
      <c r="Q35" s="830">
        <f>Q32/J157</f>
        <v>8162.9640012805748</v>
      </c>
    </row>
    <row r="36" spans="1:17" ht="16.5" customHeight="1">
      <c r="A36" s="707">
        <f t="shared" si="3"/>
        <v>31</v>
      </c>
      <c r="B36" s="291" t="s">
        <v>598</v>
      </c>
      <c r="C36" s="722">
        <v>41845</v>
      </c>
      <c r="D36" s="722" t="s">
        <v>599</v>
      </c>
      <c r="E36" s="904">
        <v>45</v>
      </c>
      <c r="F36" s="905">
        <v>24</v>
      </c>
      <c r="G36" s="905">
        <v>20</v>
      </c>
      <c r="H36" s="826">
        <f t="shared" si="4"/>
        <v>0.67</v>
      </c>
      <c r="I36" s="708">
        <v>100</v>
      </c>
      <c r="J36" s="708">
        <f t="shared" si="0"/>
        <v>67</v>
      </c>
      <c r="K36" s="708">
        <f t="shared" si="1"/>
        <v>5469.1858808579855</v>
      </c>
      <c r="L36" s="624"/>
      <c r="M36" s="439"/>
      <c r="N36" s="731"/>
      <c r="O36" s="764"/>
      <c r="P36" s="721"/>
      <c r="Q36" s="733"/>
    </row>
    <row r="37" spans="1:17" ht="16.5" customHeight="1">
      <c r="A37" s="707">
        <f t="shared" si="3"/>
        <v>32</v>
      </c>
      <c r="B37" s="291" t="s">
        <v>600</v>
      </c>
      <c r="C37" s="722">
        <v>41845</v>
      </c>
      <c r="D37" s="722" t="s">
        <v>601</v>
      </c>
      <c r="E37" s="904">
        <v>49</v>
      </c>
      <c r="F37" s="905">
        <v>39</v>
      </c>
      <c r="G37" s="905">
        <v>28</v>
      </c>
      <c r="H37" s="826">
        <f t="shared" si="4"/>
        <v>1.27</v>
      </c>
      <c r="I37" s="708">
        <v>371</v>
      </c>
      <c r="J37" s="708">
        <f t="shared" si="0"/>
        <v>471.17</v>
      </c>
      <c r="K37" s="708">
        <f t="shared" si="1"/>
        <v>10366.964281626329</v>
      </c>
      <c r="L37" s="624"/>
      <c r="M37" s="439"/>
      <c r="N37" s="731"/>
      <c r="O37" s="764"/>
      <c r="P37" s="721"/>
      <c r="Q37" s="733"/>
    </row>
    <row r="38" spans="1:17" ht="16.5" customHeight="1">
      <c r="A38" s="707">
        <f t="shared" si="3"/>
        <v>33</v>
      </c>
      <c r="B38" s="291" t="s">
        <v>603</v>
      </c>
      <c r="C38" s="722">
        <v>41845</v>
      </c>
      <c r="D38" s="722" t="s">
        <v>601</v>
      </c>
      <c r="E38" s="904">
        <v>49</v>
      </c>
      <c r="F38" s="905">
        <v>39</v>
      </c>
      <c r="G38" s="905">
        <v>22</v>
      </c>
      <c r="H38" s="826">
        <f t="shared" si="4"/>
        <v>1.1599999999999999</v>
      </c>
      <c r="I38" s="708">
        <v>156</v>
      </c>
      <c r="J38" s="708">
        <f t="shared" si="0"/>
        <v>180.95999999999998</v>
      </c>
      <c r="K38" s="708">
        <f t="shared" ref="K38:K69" si="6">H38*$Q$35</f>
        <v>9469.0382414854666</v>
      </c>
      <c r="L38" s="624"/>
      <c r="M38" s="439"/>
      <c r="N38" s="731"/>
      <c r="O38" s="764"/>
      <c r="P38" s="721"/>
      <c r="Q38" s="733">
        <v>695325600</v>
      </c>
    </row>
    <row r="39" spans="1:17" ht="16.5" customHeight="1">
      <c r="A39" s="707">
        <f t="shared" si="3"/>
        <v>34</v>
      </c>
      <c r="B39" s="291" t="s">
        <v>623</v>
      </c>
      <c r="C39" s="722">
        <v>41845</v>
      </c>
      <c r="D39" s="722" t="s">
        <v>601</v>
      </c>
      <c r="E39" s="904">
        <v>30</v>
      </c>
      <c r="F39" s="905">
        <v>20</v>
      </c>
      <c r="G39" s="905"/>
      <c r="H39" s="826">
        <f t="shared" si="4"/>
        <v>0.06</v>
      </c>
      <c r="I39" s="708">
        <v>1400</v>
      </c>
      <c r="J39" s="708">
        <f t="shared" si="0"/>
        <v>84</v>
      </c>
      <c r="K39" s="708">
        <f t="shared" si="6"/>
        <v>489.77784007683448</v>
      </c>
      <c r="L39" s="624"/>
      <c r="M39" s="439"/>
      <c r="N39" s="731"/>
      <c r="O39" s="764"/>
      <c r="P39" s="721"/>
      <c r="Q39" s="733"/>
    </row>
    <row r="40" spans="1:17" ht="16.5" customHeight="1">
      <c r="A40" s="707">
        <f t="shared" si="3"/>
        <v>35</v>
      </c>
      <c r="B40" s="291" t="s">
        <v>604</v>
      </c>
      <c r="C40" s="722">
        <v>41845</v>
      </c>
      <c r="D40" s="722" t="s">
        <v>605</v>
      </c>
      <c r="E40" s="904">
        <v>52</v>
      </c>
      <c r="F40" s="905">
        <v>28</v>
      </c>
      <c r="G40" s="905">
        <v>34</v>
      </c>
      <c r="H40" s="826">
        <f t="shared" si="4"/>
        <v>1.07</v>
      </c>
      <c r="I40" s="708">
        <v>97</v>
      </c>
      <c r="J40" s="708">
        <f t="shared" si="0"/>
        <v>103.79</v>
      </c>
      <c r="K40" s="708">
        <f t="shared" si="6"/>
        <v>8734.3714813702154</v>
      </c>
      <c r="L40" s="624"/>
      <c r="M40" s="439"/>
      <c r="N40" s="731"/>
      <c r="O40" s="764"/>
      <c r="P40" s="721"/>
      <c r="Q40" s="733"/>
    </row>
    <row r="41" spans="1:17" ht="16.5" customHeight="1">
      <c r="A41" s="707">
        <f t="shared" si="3"/>
        <v>36</v>
      </c>
      <c r="B41" s="291" t="s">
        <v>606</v>
      </c>
      <c r="C41" s="722">
        <v>41849</v>
      </c>
      <c r="D41" s="722" t="s">
        <v>607</v>
      </c>
      <c r="E41" s="904">
        <v>39.5</v>
      </c>
      <c r="F41" s="905">
        <v>41.5</v>
      </c>
      <c r="G41" s="905">
        <v>27</v>
      </c>
      <c r="H41" s="826">
        <f t="shared" si="4"/>
        <v>1.19</v>
      </c>
      <c r="I41" s="708">
        <v>1920</v>
      </c>
      <c r="J41" s="708">
        <f t="shared" si="0"/>
        <v>2284.7999999999997</v>
      </c>
      <c r="K41" s="708">
        <f t="shared" si="6"/>
        <v>9713.9271615238831</v>
      </c>
      <c r="L41" s="624"/>
      <c r="M41" s="439"/>
      <c r="N41" s="731"/>
      <c r="O41" s="764"/>
      <c r="P41" s="721"/>
      <c r="Q41" s="733"/>
    </row>
    <row r="42" spans="1:17" ht="16.5" customHeight="1">
      <c r="A42" s="707">
        <f t="shared" si="3"/>
        <v>37</v>
      </c>
      <c r="B42" s="291" t="s">
        <v>608</v>
      </c>
      <c r="C42" s="722">
        <v>41849</v>
      </c>
      <c r="D42" s="722" t="s">
        <v>607</v>
      </c>
      <c r="E42" s="904">
        <v>42</v>
      </c>
      <c r="F42" s="905">
        <v>40</v>
      </c>
      <c r="G42" s="905">
        <v>48</v>
      </c>
      <c r="H42" s="826">
        <f t="shared" si="4"/>
        <v>1.54</v>
      </c>
      <c r="I42" s="708">
        <v>560</v>
      </c>
      <c r="J42" s="708">
        <f t="shared" si="0"/>
        <v>862.4</v>
      </c>
      <c r="K42" s="708">
        <f t="shared" si="6"/>
        <v>12570.964561972085</v>
      </c>
      <c r="L42" s="624"/>
      <c r="M42" s="439"/>
      <c r="N42" s="731"/>
      <c r="O42" s="764"/>
      <c r="P42" s="721"/>
      <c r="Q42" s="733"/>
    </row>
    <row r="43" spans="1:17" ht="16.5" customHeight="1">
      <c r="A43" s="707">
        <f t="shared" si="3"/>
        <v>38</v>
      </c>
      <c r="B43" s="291" t="s">
        <v>566</v>
      </c>
      <c r="C43" s="722">
        <v>41849</v>
      </c>
      <c r="D43" s="722" t="s">
        <v>609</v>
      </c>
      <c r="E43" s="904">
        <v>49</v>
      </c>
      <c r="F43" s="905">
        <v>38</v>
      </c>
      <c r="G43" s="905">
        <v>13</v>
      </c>
      <c r="H43" s="826">
        <f t="shared" si="4"/>
        <v>0.97</v>
      </c>
      <c r="I43" s="708">
        <v>515</v>
      </c>
      <c r="J43" s="708">
        <f t="shared" si="0"/>
        <v>499.55</v>
      </c>
      <c r="K43" s="708">
        <f t="shared" si="6"/>
        <v>7918.0750812421575</v>
      </c>
      <c r="L43" s="624"/>
      <c r="M43" s="439"/>
      <c r="N43" s="731"/>
      <c r="O43" s="764"/>
      <c r="P43" s="721"/>
      <c r="Q43" s="733"/>
    </row>
    <row r="44" spans="1:17" ht="16.5" customHeight="1">
      <c r="A44" s="707">
        <f t="shared" si="3"/>
        <v>39</v>
      </c>
      <c r="B44" s="291" t="s">
        <v>610</v>
      </c>
      <c r="C44" s="722">
        <v>41849</v>
      </c>
      <c r="D44" s="722" t="s">
        <v>609</v>
      </c>
      <c r="E44" s="904">
        <v>42</v>
      </c>
      <c r="F44" s="905">
        <v>28</v>
      </c>
      <c r="G44" s="905">
        <v>12</v>
      </c>
      <c r="H44" s="826">
        <f t="shared" si="4"/>
        <v>0.62</v>
      </c>
      <c r="I44" s="708">
        <v>500</v>
      </c>
      <c r="J44" s="708">
        <f t="shared" si="0"/>
        <v>310</v>
      </c>
      <c r="K44" s="708">
        <f t="shared" si="6"/>
        <v>5061.0376807939565</v>
      </c>
      <c r="L44" s="624"/>
      <c r="M44" s="439"/>
      <c r="N44" s="731"/>
      <c r="O44" s="764"/>
      <c r="P44" s="721"/>
      <c r="Q44" s="733"/>
    </row>
    <row r="45" spans="1:17" ht="16.5" customHeight="1">
      <c r="A45" s="707">
        <f t="shared" si="3"/>
        <v>40</v>
      </c>
      <c r="B45" s="189" t="s">
        <v>417</v>
      </c>
      <c r="C45" s="722">
        <v>41850</v>
      </c>
      <c r="D45" s="722" t="s">
        <v>611</v>
      </c>
      <c r="E45" s="904">
        <v>36.1</v>
      </c>
      <c r="F45" s="905">
        <v>25.3</v>
      </c>
      <c r="G45" s="905">
        <v>24</v>
      </c>
      <c r="H45" s="826">
        <f t="shared" si="4"/>
        <v>0.67</v>
      </c>
      <c r="I45" s="708">
        <v>2554</v>
      </c>
      <c r="J45" s="708">
        <f t="shared" si="0"/>
        <v>1711.18</v>
      </c>
      <c r="K45" s="708">
        <f t="shared" si="6"/>
        <v>5469.1858808579855</v>
      </c>
      <c r="L45" s="624"/>
      <c r="M45" s="439"/>
      <c r="N45" s="731"/>
      <c r="O45" s="764"/>
      <c r="P45" s="721"/>
      <c r="Q45" s="733"/>
    </row>
    <row r="46" spans="1:17" ht="16.5" customHeight="1">
      <c r="A46" s="707">
        <f t="shared" si="3"/>
        <v>41</v>
      </c>
      <c r="B46" s="291" t="s">
        <v>612</v>
      </c>
      <c r="C46" s="722">
        <v>41850</v>
      </c>
      <c r="D46" s="722" t="s">
        <v>611</v>
      </c>
      <c r="E46" s="904">
        <v>33.700000000000003</v>
      </c>
      <c r="F46" s="905">
        <v>22.7</v>
      </c>
      <c r="G46" s="905">
        <v>19.3</v>
      </c>
      <c r="H46" s="826">
        <f t="shared" si="4"/>
        <v>0.53</v>
      </c>
      <c r="I46" s="708">
        <v>330</v>
      </c>
      <c r="J46" s="708">
        <f t="shared" si="0"/>
        <v>174.9</v>
      </c>
      <c r="K46" s="708">
        <f t="shared" si="6"/>
        <v>4326.3709206787053</v>
      </c>
      <c r="L46" s="624"/>
      <c r="M46" s="439"/>
      <c r="N46" s="731"/>
      <c r="O46" s="764"/>
      <c r="P46" s="721"/>
      <c r="Q46" s="733"/>
    </row>
    <row r="47" spans="1:17" ht="16.5" customHeight="1">
      <c r="A47" s="707">
        <f t="shared" si="3"/>
        <v>42</v>
      </c>
      <c r="B47" s="291" t="s">
        <v>421</v>
      </c>
      <c r="C47" s="722">
        <v>41857</v>
      </c>
      <c r="D47" s="722" t="s">
        <v>613</v>
      </c>
      <c r="E47" s="904">
        <v>56</v>
      </c>
      <c r="F47" s="905">
        <v>48</v>
      </c>
      <c r="G47" s="905">
        <v>17</v>
      </c>
      <c r="H47" s="826">
        <f t="shared" si="4"/>
        <v>1.45</v>
      </c>
      <c r="I47" s="708">
        <v>500</v>
      </c>
      <c r="J47" s="708">
        <f t="shared" si="0"/>
        <v>725</v>
      </c>
      <c r="K47" s="708">
        <f t="shared" si="6"/>
        <v>11836.297801856834</v>
      </c>
      <c r="L47" s="624"/>
      <c r="M47" s="439"/>
      <c r="N47" s="731"/>
      <c r="O47" s="764"/>
      <c r="P47" s="721"/>
      <c r="Q47" s="733"/>
    </row>
    <row r="48" spans="1:17" ht="16.5" customHeight="1">
      <c r="A48" s="707">
        <f t="shared" si="3"/>
        <v>43</v>
      </c>
      <c r="B48" s="291" t="s">
        <v>445</v>
      </c>
      <c r="C48" s="722">
        <v>41858</v>
      </c>
      <c r="D48" s="722" t="s">
        <v>613</v>
      </c>
      <c r="E48" s="904">
        <v>50</v>
      </c>
      <c r="F48" s="905">
        <v>20</v>
      </c>
      <c r="G48" s="905"/>
      <c r="H48" s="826">
        <f t="shared" si="4"/>
        <v>0.1</v>
      </c>
      <c r="I48" s="708">
        <v>1000</v>
      </c>
      <c r="J48" s="708">
        <f t="shared" si="0"/>
        <v>100</v>
      </c>
      <c r="K48" s="708">
        <f t="shared" si="6"/>
        <v>816.29640012805748</v>
      </c>
      <c r="L48" s="624"/>
      <c r="M48" s="439"/>
      <c r="N48" s="731"/>
      <c r="O48" s="764"/>
      <c r="P48" s="721"/>
      <c r="Q48" s="733"/>
    </row>
    <row r="49" spans="1:17" ht="16.5" customHeight="1">
      <c r="A49" s="707">
        <f t="shared" si="3"/>
        <v>44</v>
      </c>
      <c r="B49" s="291" t="s">
        <v>494</v>
      </c>
      <c r="C49" s="722">
        <v>41859</v>
      </c>
      <c r="D49" s="722" t="s">
        <v>614</v>
      </c>
      <c r="E49" s="904">
        <v>42</v>
      </c>
      <c r="F49" s="905">
        <v>26</v>
      </c>
      <c r="G49" s="905">
        <v>33</v>
      </c>
      <c r="H49" s="826">
        <f t="shared" si="4"/>
        <v>0.87</v>
      </c>
      <c r="I49" s="708">
        <v>300</v>
      </c>
      <c r="J49" s="708">
        <f t="shared" si="0"/>
        <v>261</v>
      </c>
      <c r="K49" s="708">
        <f t="shared" si="6"/>
        <v>7101.7786811141004</v>
      </c>
      <c r="L49" s="624"/>
      <c r="M49" s="439"/>
      <c r="N49" s="731"/>
      <c r="O49" s="764"/>
      <c r="P49" s="721"/>
      <c r="Q49" s="733"/>
    </row>
    <row r="50" spans="1:17" ht="16.5" customHeight="1">
      <c r="A50" s="707">
        <f t="shared" si="3"/>
        <v>45</v>
      </c>
      <c r="B50" s="291" t="s">
        <v>615</v>
      </c>
      <c r="C50" s="722">
        <v>41859</v>
      </c>
      <c r="D50" s="722" t="s">
        <v>616</v>
      </c>
      <c r="E50" s="904">
        <v>34</v>
      </c>
      <c r="F50" s="905">
        <v>30</v>
      </c>
      <c r="G50" s="905">
        <v>18</v>
      </c>
      <c r="H50" s="826">
        <f t="shared" si="4"/>
        <v>0.68</v>
      </c>
      <c r="I50" s="708">
        <v>393</v>
      </c>
      <c r="J50" s="708">
        <f t="shared" si="0"/>
        <v>267.24</v>
      </c>
      <c r="K50" s="708">
        <f t="shared" si="6"/>
        <v>5550.8155208707913</v>
      </c>
      <c r="L50" s="624"/>
      <c r="M50" s="439"/>
      <c r="N50" s="731"/>
      <c r="O50" s="764"/>
      <c r="P50" s="721"/>
      <c r="Q50" s="733"/>
    </row>
    <row r="51" spans="1:17" ht="16.5" customHeight="1">
      <c r="A51" s="707">
        <f t="shared" si="3"/>
        <v>46</v>
      </c>
      <c r="B51" s="291" t="s">
        <v>618</v>
      </c>
      <c r="C51" s="722">
        <v>41859</v>
      </c>
      <c r="D51" s="722" t="s">
        <v>619</v>
      </c>
      <c r="E51" s="904">
        <v>50</v>
      </c>
      <c r="F51" s="905">
        <v>40</v>
      </c>
      <c r="G51" s="905">
        <v>52</v>
      </c>
      <c r="H51" s="826">
        <f t="shared" si="4"/>
        <v>1.76</v>
      </c>
      <c r="I51" s="708">
        <v>198</v>
      </c>
      <c r="J51" s="708">
        <f t="shared" si="0"/>
        <v>348.48</v>
      </c>
      <c r="K51" s="708">
        <f t="shared" si="6"/>
        <v>14366.816642253812</v>
      </c>
      <c r="L51" s="624"/>
      <c r="M51" s="439"/>
      <c r="N51" s="731"/>
      <c r="O51" s="764"/>
      <c r="P51" s="721"/>
      <c r="Q51" s="733"/>
    </row>
    <row r="52" spans="1:17" ht="16.5" customHeight="1">
      <c r="A52" s="707">
        <f t="shared" si="3"/>
        <v>47</v>
      </c>
      <c r="B52" s="291" t="s">
        <v>620</v>
      </c>
      <c r="C52" s="722">
        <v>41859</v>
      </c>
      <c r="D52" s="722" t="s">
        <v>619</v>
      </c>
      <c r="E52" s="904">
        <v>38</v>
      </c>
      <c r="F52" s="905">
        <v>24</v>
      </c>
      <c r="G52" s="905">
        <v>50</v>
      </c>
      <c r="H52" s="826">
        <f t="shared" si="4"/>
        <v>0.99</v>
      </c>
      <c r="I52" s="708">
        <v>996</v>
      </c>
      <c r="J52" s="708">
        <f t="shared" si="0"/>
        <v>986.04</v>
      </c>
      <c r="K52" s="708">
        <f t="shared" si="6"/>
        <v>8081.3343612677691</v>
      </c>
      <c r="L52" s="624"/>
      <c r="M52" s="439"/>
      <c r="N52" s="731"/>
      <c r="O52" s="764"/>
      <c r="P52" s="721"/>
      <c r="Q52" s="733"/>
    </row>
    <row r="53" spans="1:17" ht="16.5" customHeight="1">
      <c r="A53" s="707">
        <f t="shared" si="3"/>
        <v>48</v>
      </c>
      <c r="B53" s="291" t="s">
        <v>621</v>
      </c>
      <c r="C53" s="722">
        <v>41859</v>
      </c>
      <c r="D53" s="722" t="s">
        <v>619</v>
      </c>
      <c r="E53" s="904">
        <v>50</v>
      </c>
      <c r="F53" s="905">
        <v>40</v>
      </c>
      <c r="G53" s="905">
        <v>48</v>
      </c>
      <c r="H53" s="826">
        <f t="shared" si="4"/>
        <v>1.68</v>
      </c>
      <c r="I53" s="708">
        <v>650</v>
      </c>
      <c r="J53" s="708">
        <f t="shared" si="0"/>
        <v>1092</v>
      </c>
      <c r="K53" s="708">
        <f t="shared" si="6"/>
        <v>13713.779522151366</v>
      </c>
      <c r="L53" s="624"/>
      <c r="M53" s="439"/>
      <c r="N53" s="731"/>
      <c r="O53" s="764"/>
      <c r="P53" s="721"/>
      <c r="Q53" s="733"/>
    </row>
    <row r="54" spans="1:17" ht="16.5" customHeight="1">
      <c r="A54" s="707">
        <f t="shared" si="3"/>
        <v>49</v>
      </c>
      <c r="B54" s="291" t="s">
        <v>622</v>
      </c>
      <c r="C54" s="722">
        <v>41859</v>
      </c>
      <c r="D54" s="722" t="s">
        <v>619</v>
      </c>
      <c r="E54" s="904">
        <v>48</v>
      </c>
      <c r="F54" s="905">
        <v>38</v>
      </c>
      <c r="G54" s="905">
        <v>23</v>
      </c>
      <c r="H54" s="826">
        <f t="shared" si="4"/>
        <v>1.1299999999999999</v>
      </c>
      <c r="I54" s="708">
        <v>1440</v>
      </c>
      <c r="J54" s="708">
        <f t="shared" si="0"/>
        <v>1627.1999999999998</v>
      </c>
      <c r="K54" s="708">
        <f t="shared" si="6"/>
        <v>9224.1493214470484</v>
      </c>
      <c r="L54" s="624"/>
      <c r="M54" s="439"/>
      <c r="N54" s="731"/>
      <c r="O54" s="764"/>
      <c r="P54" s="721"/>
      <c r="Q54" s="733"/>
    </row>
    <row r="55" spans="1:17" ht="16.5" customHeight="1">
      <c r="A55" s="707">
        <f t="shared" si="3"/>
        <v>50</v>
      </c>
      <c r="B55" s="291" t="s">
        <v>600</v>
      </c>
      <c r="C55" s="722">
        <v>41859</v>
      </c>
      <c r="D55" s="722" t="s">
        <v>619</v>
      </c>
      <c r="E55" s="904">
        <v>49</v>
      </c>
      <c r="F55" s="905">
        <v>39</v>
      </c>
      <c r="G55" s="905">
        <v>28</v>
      </c>
      <c r="H55" s="826">
        <f t="shared" si="4"/>
        <v>1.27</v>
      </c>
      <c r="I55" s="708">
        <v>160</v>
      </c>
      <c r="J55" s="708">
        <f t="shared" si="0"/>
        <v>203.2</v>
      </c>
      <c r="K55" s="708">
        <f t="shared" si="6"/>
        <v>10366.964281626329</v>
      </c>
      <c r="L55" s="624"/>
      <c r="M55" s="439"/>
      <c r="N55" s="731"/>
      <c r="O55" s="764"/>
      <c r="P55" s="721"/>
      <c r="Q55" s="733"/>
    </row>
    <row r="56" spans="1:17" ht="16.5" customHeight="1">
      <c r="A56" s="707">
        <f t="shared" si="3"/>
        <v>51</v>
      </c>
      <c r="B56" s="291" t="s">
        <v>623</v>
      </c>
      <c r="C56" s="722">
        <v>41859</v>
      </c>
      <c r="D56" s="722" t="s">
        <v>619</v>
      </c>
      <c r="E56" s="904">
        <v>30</v>
      </c>
      <c r="F56" s="905">
        <v>20</v>
      </c>
      <c r="G56" s="905"/>
      <c r="H56" s="826">
        <f t="shared" si="4"/>
        <v>0.06</v>
      </c>
      <c r="I56" s="708">
        <v>4400</v>
      </c>
      <c r="J56" s="708">
        <f t="shared" si="0"/>
        <v>264</v>
      </c>
      <c r="K56" s="708">
        <f t="shared" si="6"/>
        <v>489.77784007683448</v>
      </c>
      <c r="L56" s="624"/>
      <c r="M56" s="439"/>
      <c r="N56" s="731"/>
      <c r="O56" s="764"/>
      <c r="P56" s="721"/>
      <c r="Q56" s="733"/>
    </row>
    <row r="57" spans="1:17" ht="16.5" customHeight="1">
      <c r="A57" s="707">
        <f t="shared" si="3"/>
        <v>52</v>
      </c>
      <c r="B57" s="291" t="s">
        <v>459</v>
      </c>
      <c r="C57" s="722">
        <v>41863</v>
      </c>
      <c r="D57" s="722" t="s">
        <v>624</v>
      </c>
      <c r="E57" s="904">
        <v>55</v>
      </c>
      <c r="F57" s="905">
        <v>28</v>
      </c>
      <c r="G57" s="905">
        <v>23</v>
      </c>
      <c r="H57" s="826">
        <f t="shared" si="4"/>
        <v>0.92</v>
      </c>
      <c r="I57" s="708">
        <v>1043</v>
      </c>
      <c r="J57" s="708">
        <f t="shared" si="0"/>
        <v>959.56000000000006</v>
      </c>
      <c r="K57" s="708">
        <f t="shared" si="6"/>
        <v>7509.9268811781294</v>
      </c>
      <c r="L57" s="624"/>
      <c r="M57" s="439"/>
      <c r="N57" s="731"/>
      <c r="O57" s="764"/>
      <c r="P57" s="721"/>
      <c r="Q57" s="733"/>
    </row>
    <row r="58" spans="1:17" ht="16.5" customHeight="1">
      <c r="A58" s="707">
        <f t="shared" si="3"/>
        <v>53</v>
      </c>
      <c r="B58" s="291" t="s">
        <v>436</v>
      </c>
      <c r="C58" s="722">
        <v>41864</v>
      </c>
      <c r="D58" s="722" t="s">
        <v>625</v>
      </c>
      <c r="E58" s="904">
        <v>49</v>
      </c>
      <c r="F58" s="905">
        <v>38</v>
      </c>
      <c r="G58" s="905">
        <v>12</v>
      </c>
      <c r="H58" s="826">
        <f t="shared" si="4"/>
        <v>0.95</v>
      </c>
      <c r="I58" s="708">
        <v>650</v>
      </c>
      <c r="J58" s="708">
        <f t="shared" si="0"/>
        <v>617.5</v>
      </c>
      <c r="K58" s="708">
        <f t="shared" si="6"/>
        <v>7754.8158012165459</v>
      </c>
      <c r="L58" s="624"/>
      <c r="M58" s="439"/>
      <c r="N58" s="731"/>
      <c r="O58" s="764"/>
      <c r="P58" s="721"/>
      <c r="Q58" s="733"/>
    </row>
    <row r="59" spans="1:17" ht="16.5" customHeight="1">
      <c r="A59" s="707">
        <f t="shared" si="3"/>
        <v>54</v>
      </c>
      <c r="B59" s="291" t="s">
        <v>494</v>
      </c>
      <c r="C59" s="722">
        <v>41865</v>
      </c>
      <c r="D59" s="722" t="s">
        <v>626</v>
      </c>
      <c r="E59" s="904">
        <v>42</v>
      </c>
      <c r="F59" s="905">
        <v>26</v>
      </c>
      <c r="G59" s="905">
        <v>33</v>
      </c>
      <c r="H59" s="826">
        <f t="shared" si="4"/>
        <v>0.87</v>
      </c>
      <c r="I59" s="708">
        <v>208</v>
      </c>
      <c r="J59" s="708">
        <f t="shared" si="0"/>
        <v>180.96</v>
      </c>
      <c r="K59" s="708">
        <f t="shared" si="6"/>
        <v>7101.7786811141004</v>
      </c>
      <c r="L59" s="624"/>
      <c r="M59" s="439"/>
      <c r="N59" s="731"/>
      <c r="O59" s="764"/>
      <c r="P59" s="721"/>
      <c r="Q59" s="733"/>
    </row>
    <row r="60" spans="1:17" ht="16.5" customHeight="1">
      <c r="A60" s="707">
        <f t="shared" si="3"/>
        <v>55</v>
      </c>
      <c r="B60" s="291" t="s">
        <v>512</v>
      </c>
      <c r="C60" s="722">
        <v>41865</v>
      </c>
      <c r="D60" s="722" t="s">
        <v>626</v>
      </c>
      <c r="E60" s="904">
        <v>32.5</v>
      </c>
      <c r="F60" s="905">
        <v>32.5</v>
      </c>
      <c r="G60" s="905">
        <v>16</v>
      </c>
      <c r="H60" s="826">
        <f t="shared" si="4"/>
        <v>0.7</v>
      </c>
      <c r="I60" s="708">
        <v>320</v>
      </c>
      <c r="J60" s="708">
        <f t="shared" si="0"/>
        <v>224</v>
      </c>
      <c r="K60" s="708">
        <f t="shared" si="6"/>
        <v>5714.0748008964019</v>
      </c>
      <c r="L60" s="624"/>
      <c r="M60" s="439"/>
      <c r="N60" s="731"/>
      <c r="O60" s="764"/>
      <c r="P60" s="721"/>
      <c r="Q60" s="733"/>
    </row>
    <row r="61" spans="1:17" ht="16.5" customHeight="1">
      <c r="A61" s="707">
        <f t="shared" si="3"/>
        <v>56</v>
      </c>
      <c r="B61" s="291" t="s">
        <v>586</v>
      </c>
      <c r="C61" s="722">
        <v>41865</v>
      </c>
      <c r="D61" s="722" t="s">
        <v>627</v>
      </c>
      <c r="E61" s="904">
        <v>45.5</v>
      </c>
      <c r="F61" s="905">
        <v>41.5</v>
      </c>
      <c r="G61" s="905">
        <v>25</v>
      </c>
      <c r="H61" s="826">
        <f t="shared" si="4"/>
        <v>1.24</v>
      </c>
      <c r="I61" s="708">
        <v>740</v>
      </c>
      <c r="J61" s="708">
        <f t="shared" si="0"/>
        <v>917.6</v>
      </c>
      <c r="K61" s="708">
        <f t="shared" si="6"/>
        <v>10122.075361587913</v>
      </c>
      <c r="L61" s="624"/>
      <c r="M61" s="439"/>
      <c r="N61" s="731"/>
      <c r="O61" s="764"/>
      <c r="P61" s="721"/>
      <c r="Q61" s="733"/>
    </row>
    <row r="62" spans="1:17" ht="16.5" customHeight="1">
      <c r="A62" s="707">
        <f t="shared" si="3"/>
        <v>57</v>
      </c>
      <c r="B62" s="291" t="s">
        <v>628</v>
      </c>
      <c r="C62" s="722">
        <v>41866</v>
      </c>
      <c r="D62" s="722" t="s">
        <v>629</v>
      </c>
      <c r="E62" s="904">
        <v>44</v>
      </c>
      <c r="F62" s="905">
        <v>23.5</v>
      </c>
      <c r="G62" s="905">
        <v>16</v>
      </c>
      <c r="H62" s="826">
        <f t="shared" si="4"/>
        <v>0.6</v>
      </c>
      <c r="I62" s="708">
        <v>100</v>
      </c>
      <c r="J62" s="708">
        <f t="shared" si="0"/>
        <v>60</v>
      </c>
      <c r="K62" s="708">
        <f t="shared" si="6"/>
        <v>4897.7784007683449</v>
      </c>
      <c r="L62" s="624"/>
      <c r="M62" s="439"/>
      <c r="N62" s="731"/>
      <c r="O62" s="764"/>
      <c r="P62" s="721"/>
      <c r="Q62" s="733"/>
    </row>
    <row r="63" spans="1:17" ht="16.5" customHeight="1">
      <c r="A63" s="707">
        <f t="shared" si="3"/>
        <v>58</v>
      </c>
      <c r="B63" s="291" t="s">
        <v>523</v>
      </c>
      <c r="C63" s="722">
        <v>41866</v>
      </c>
      <c r="D63" s="722" t="s">
        <v>629</v>
      </c>
      <c r="E63" s="904">
        <v>37.5</v>
      </c>
      <c r="F63" s="905">
        <v>30.5</v>
      </c>
      <c r="G63" s="905">
        <v>10</v>
      </c>
      <c r="H63" s="826">
        <f t="shared" si="4"/>
        <v>0.61</v>
      </c>
      <c r="I63" s="708">
        <v>120</v>
      </c>
      <c r="J63" s="708">
        <f t="shared" si="0"/>
        <v>73.2</v>
      </c>
      <c r="K63" s="708">
        <f t="shared" si="6"/>
        <v>4979.4080407811507</v>
      </c>
      <c r="L63" s="624"/>
      <c r="M63" s="439"/>
      <c r="N63" s="731"/>
      <c r="O63" s="764"/>
      <c r="P63" s="721"/>
      <c r="Q63" s="733"/>
    </row>
    <row r="64" spans="1:17" ht="16.5" customHeight="1">
      <c r="A64" s="707">
        <f t="shared" si="3"/>
        <v>59</v>
      </c>
      <c r="B64" s="291" t="s">
        <v>630</v>
      </c>
      <c r="C64" s="722">
        <v>41866</v>
      </c>
      <c r="D64" s="722" t="s">
        <v>629</v>
      </c>
      <c r="E64" s="904">
        <v>32</v>
      </c>
      <c r="F64" s="905">
        <v>15.5</v>
      </c>
      <c r="G64" s="905">
        <v>25</v>
      </c>
      <c r="H64" s="826">
        <f t="shared" si="4"/>
        <v>0.44</v>
      </c>
      <c r="I64" s="708">
        <v>470</v>
      </c>
      <c r="J64" s="708">
        <f t="shared" si="0"/>
        <v>206.8</v>
      </c>
      <c r="K64" s="708">
        <f t="shared" si="6"/>
        <v>3591.7041605634531</v>
      </c>
      <c r="L64" s="624"/>
      <c r="M64" s="439"/>
      <c r="N64" s="731"/>
      <c r="O64" s="764"/>
      <c r="P64" s="721"/>
      <c r="Q64" s="733"/>
    </row>
    <row r="65" spans="1:17" ht="16.5" customHeight="1">
      <c r="A65" s="707">
        <f t="shared" si="3"/>
        <v>60</v>
      </c>
      <c r="B65" s="291" t="s">
        <v>631</v>
      </c>
      <c r="C65" s="722">
        <v>41866</v>
      </c>
      <c r="D65" s="722" t="s">
        <v>629</v>
      </c>
      <c r="E65" s="904">
        <v>38</v>
      </c>
      <c r="F65" s="905">
        <v>18.5</v>
      </c>
      <c r="G65" s="905">
        <v>18</v>
      </c>
      <c r="H65" s="826">
        <f t="shared" si="4"/>
        <v>0.47</v>
      </c>
      <c r="I65" s="708">
        <v>350</v>
      </c>
      <c r="J65" s="708">
        <f t="shared" si="0"/>
        <v>164.5</v>
      </c>
      <c r="K65" s="708">
        <f t="shared" si="6"/>
        <v>3836.59308060187</v>
      </c>
      <c r="L65" s="624"/>
      <c r="M65" s="439"/>
      <c r="N65" s="731"/>
      <c r="O65" s="764"/>
      <c r="P65" s="721"/>
      <c r="Q65" s="733"/>
    </row>
    <row r="66" spans="1:17" ht="16.5" customHeight="1">
      <c r="A66" s="707">
        <f t="shared" si="3"/>
        <v>61</v>
      </c>
      <c r="B66" s="291" t="s">
        <v>632</v>
      </c>
      <c r="C66" s="722">
        <v>41866</v>
      </c>
      <c r="D66" s="722" t="s">
        <v>629</v>
      </c>
      <c r="E66" s="904">
        <v>50</v>
      </c>
      <c r="F66" s="905">
        <v>28</v>
      </c>
      <c r="G66" s="905">
        <v>17</v>
      </c>
      <c r="H66" s="826">
        <f t="shared" si="4"/>
        <v>0.77</v>
      </c>
      <c r="I66" s="708">
        <v>330</v>
      </c>
      <c r="J66" s="708">
        <f t="shared" si="0"/>
        <v>254.1</v>
      </c>
      <c r="K66" s="708">
        <f t="shared" si="6"/>
        <v>6285.4822809860425</v>
      </c>
      <c r="L66" s="624"/>
      <c r="M66" s="439"/>
      <c r="N66" s="731"/>
      <c r="O66" s="764"/>
      <c r="P66" s="721"/>
      <c r="Q66" s="733"/>
    </row>
    <row r="67" spans="1:17" ht="16.5" customHeight="1">
      <c r="A67" s="707">
        <f t="shared" si="3"/>
        <v>62</v>
      </c>
      <c r="B67" s="291" t="s">
        <v>423</v>
      </c>
      <c r="C67" s="722">
        <v>41866</v>
      </c>
      <c r="D67" s="722" t="s">
        <v>633</v>
      </c>
      <c r="E67" s="904">
        <v>39</v>
      </c>
      <c r="F67" s="905">
        <v>29</v>
      </c>
      <c r="G67" s="905">
        <v>37</v>
      </c>
      <c r="H67" s="826">
        <f t="shared" si="4"/>
        <v>0.97</v>
      </c>
      <c r="I67" s="708">
        <v>488</v>
      </c>
      <c r="J67" s="708">
        <f t="shared" si="0"/>
        <v>473.36</v>
      </c>
      <c r="K67" s="708">
        <f t="shared" si="6"/>
        <v>7918.0750812421575</v>
      </c>
      <c r="L67" s="624"/>
      <c r="M67" s="439"/>
      <c r="N67" s="731"/>
      <c r="O67" s="764"/>
      <c r="P67" s="721"/>
      <c r="Q67" s="733"/>
    </row>
    <row r="68" spans="1:17" ht="16.5" customHeight="1">
      <c r="A68" s="707">
        <f t="shared" si="3"/>
        <v>63</v>
      </c>
      <c r="B68" s="291" t="s">
        <v>634</v>
      </c>
      <c r="C68" s="722">
        <v>41869</v>
      </c>
      <c r="D68" s="722" t="s">
        <v>635</v>
      </c>
      <c r="E68" s="904">
        <v>32.5</v>
      </c>
      <c r="F68" s="905">
        <v>32.5</v>
      </c>
      <c r="G68" s="905">
        <v>16</v>
      </c>
      <c r="H68" s="826">
        <f t="shared" si="4"/>
        <v>0.7</v>
      </c>
      <c r="I68" s="708">
        <v>200</v>
      </c>
      <c r="J68" s="708">
        <f t="shared" si="0"/>
        <v>140</v>
      </c>
      <c r="K68" s="708">
        <f t="shared" si="6"/>
        <v>5714.0748008964019</v>
      </c>
      <c r="L68" s="624"/>
      <c r="M68" s="439"/>
      <c r="N68" s="731"/>
      <c r="O68" s="764"/>
      <c r="P68" s="721"/>
      <c r="Q68" s="733"/>
    </row>
    <row r="69" spans="1:17" ht="16.5" customHeight="1">
      <c r="A69" s="707">
        <f t="shared" si="3"/>
        <v>64</v>
      </c>
      <c r="B69" s="291" t="s">
        <v>586</v>
      </c>
      <c r="C69" s="722">
        <v>41871</v>
      </c>
      <c r="D69" s="722" t="s">
        <v>636</v>
      </c>
      <c r="E69" s="904">
        <v>45.5</v>
      </c>
      <c r="F69" s="905">
        <v>41.5</v>
      </c>
      <c r="G69" s="905">
        <v>25</v>
      </c>
      <c r="H69" s="826">
        <f t="shared" si="4"/>
        <v>1.24</v>
      </c>
      <c r="I69" s="708">
        <v>350</v>
      </c>
      <c r="J69" s="708">
        <f t="shared" si="0"/>
        <v>434</v>
      </c>
      <c r="K69" s="708">
        <f t="shared" si="6"/>
        <v>10122.075361587913</v>
      </c>
      <c r="L69" s="624"/>
      <c r="M69" s="439"/>
      <c r="N69" s="731"/>
      <c r="O69" s="764"/>
      <c r="P69" s="721"/>
      <c r="Q69" s="733"/>
    </row>
    <row r="70" spans="1:17" ht="16.5" customHeight="1">
      <c r="A70" s="707">
        <f t="shared" si="3"/>
        <v>65</v>
      </c>
      <c r="B70" s="291" t="s">
        <v>637</v>
      </c>
      <c r="C70" s="722">
        <v>41871</v>
      </c>
      <c r="D70" s="722" t="s">
        <v>638</v>
      </c>
      <c r="E70" s="904">
        <v>47</v>
      </c>
      <c r="F70" s="905">
        <v>35.5</v>
      </c>
      <c r="G70" s="905">
        <v>25</v>
      </c>
      <c r="H70" s="826">
        <f t="shared" si="4"/>
        <v>1.08</v>
      </c>
      <c r="I70" s="708">
        <v>500</v>
      </c>
      <c r="J70" s="708">
        <f t="shared" ref="J70:J133" si="7">H70*I70</f>
        <v>540</v>
      </c>
      <c r="K70" s="708">
        <f t="shared" ref="K70:K101" si="8">H70*$Q$35</f>
        <v>8816.0011213830221</v>
      </c>
      <c r="L70" s="624"/>
      <c r="M70" s="439"/>
      <c r="N70" s="731"/>
      <c r="O70" s="764"/>
      <c r="P70" s="721"/>
      <c r="Q70" s="733"/>
    </row>
    <row r="71" spans="1:17" ht="16.5" customHeight="1">
      <c r="A71" s="707">
        <f t="shared" ref="A71:A134" si="9">IF(B71&lt;&gt;"",A70+1,"")</f>
        <v>66</v>
      </c>
      <c r="B71" s="291" t="s">
        <v>639</v>
      </c>
      <c r="C71" s="722">
        <v>41871</v>
      </c>
      <c r="D71" s="722" t="s">
        <v>640</v>
      </c>
      <c r="E71" s="904">
        <v>22</v>
      </c>
      <c r="F71" s="905">
        <v>22</v>
      </c>
      <c r="G71" s="905">
        <v>29.5</v>
      </c>
      <c r="H71" s="826">
        <f t="shared" ref="H71:H134" si="10">IF(G71&lt;&gt;"",ROUND(((E71+F71)*2+5)*(F71+G71+3)/10000,2),ROUND(E71*F71/10000,2))</f>
        <v>0.51</v>
      </c>
      <c r="I71" s="708">
        <v>550</v>
      </c>
      <c r="J71" s="708">
        <f t="shared" si="7"/>
        <v>280.5</v>
      </c>
      <c r="K71" s="708">
        <f t="shared" si="8"/>
        <v>4163.1116406530937</v>
      </c>
      <c r="L71" s="624"/>
      <c r="M71" s="439"/>
      <c r="N71" s="731"/>
      <c r="O71" s="764"/>
      <c r="P71" s="721"/>
      <c r="Q71" s="733"/>
    </row>
    <row r="72" spans="1:17" ht="16.5" customHeight="1">
      <c r="A72" s="707">
        <f t="shared" si="9"/>
        <v>67</v>
      </c>
      <c r="B72" s="291" t="s">
        <v>483</v>
      </c>
      <c r="C72" s="722">
        <v>41872</v>
      </c>
      <c r="D72" s="722" t="s">
        <v>642</v>
      </c>
      <c r="E72" s="904">
        <v>49.5</v>
      </c>
      <c r="F72" s="905">
        <v>38.5</v>
      </c>
      <c r="G72" s="905">
        <v>32.5</v>
      </c>
      <c r="H72" s="826">
        <f t="shared" si="10"/>
        <v>1.34</v>
      </c>
      <c r="I72" s="708">
        <v>196</v>
      </c>
      <c r="J72" s="708">
        <f t="shared" si="7"/>
        <v>262.64000000000004</v>
      </c>
      <c r="K72" s="708">
        <f t="shared" si="8"/>
        <v>10938.371761715971</v>
      </c>
      <c r="L72" s="624"/>
      <c r="M72" s="439"/>
      <c r="N72" s="731"/>
      <c r="O72" s="764"/>
      <c r="P72" s="721"/>
      <c r="Q72" s="733"/>
    </row>
    <row r="73" spans="1:17" ht="16.5" customHeight="1">
      <c r="A73" s="707">
        <f t="shared" si="9"/>
        <v>68</v>
      </c>
      <c r="B73" s="291" t="s">
        <v>568</v>
      </c>
      <c r="C73" s="722">
        <v>41872</v>
      </c>
      <c r="D73" s="722" t="s">
        <v>642</v>
      </c>
      <c r="E73" s="904">
        <v>35</v>
      </c>
      <c r="F73" s="905">
        <v>35</v>
      </c>
      <c r="G73" s="905">
        <v>29</v>
      </c>
      <c r="H73" s="826">
        <f t="shared" si="10"/>
        <v>0.97</v>
      </c>
      <c r="I73" s="708">
        <v>200</v>
      </c>
      <c r="J73" s="708">
        <f t="shared" si="7"/>
        <v>194</v>
      </c>
      <c r="K73" s="708">
        <f t="shared" si="8"/>
        <v>7918.0750812421575</v>
      </c>
      <c r="L73" s="624"/>
      <c r="M73" s="439"/>
      <c r="N73" s="731"/>
      <c r="O73" s="764"/>
      <c r="P73" s="721"/>
      <c r="Q73" s="733"/>
    </row>
    <row r="74" spans="1:17" ht="16.5" customHeight="1">
      <c r="A74" s="707">
        <f t="shared" si="9"/>
        <v>69</v>
      </c>
      <c r="B74" s="291" t="s">
        <v>466</v>
      </c>
      <c r="C74" s="722">
        <v>41873</v>
      </c>
      <c r="D74" s="722" t="s">
        <v>643</v>
      </c>
      <c r="E74" s="904">
        <v>29.5</v>
      </c>
      <c r="F74" s="905">
        <v>24</v>
      </c>
      <c r="G74" s="905">
        <v>19</v>
      </c>
      <c r="H74" s="826">
        <f t="shared" si="10"/>
        <v>0.52</v>
      </c>
      <c r="I74" s="708">
        <v>1480</v>
      </c>
      <c r="J74" s="708">
        <f t="shared" si="7"/>
        <v>769.6</v>
      </c>
      <c r="K74" s="708">
        <f t="shared" si="8"/>
        <v>4244.7412806658995</v>
      </c>
      <c r="L74" s="624"/>
      <c r="M74" s="439"/>
      <c r="N74" s="731"/>
      <c r="O74" s="764"/>
      <c r="P74" s="721"/>
      <c r="Q74" s="733"/>
    </row>
    <row r="75" spans="1:17" ht="16.5" customHeight="1">
      <c r="A75" s="707">
        <f t="shared" si="9"/>
        <v>70</v>
      </c>
      <c r="B75" s="291" t="s">
        <v>644</v>
      </c>
      <c r="C75" s="722">
        <v>41873</v>
      </c>
      <c r="D75" s="722" t="s">
        <v>645</v>
      </c>
      <c r="E75" s="904">
        <v>145</v>
      </c>
      <c r="F75" s="905">
        <v>199</v>
      </c>
      <c r="G75" s="905"/>
      <c r="H75" s="826">
        <f t="shared" si="10"/>
        <v>2.89</v>
      </c>
      <c r="I75" s="708">
        <v>498</v>
      </c>
      <c r="J75" s="708">
        <f t="shared" si="7"/>
        <v>1439.22</v>
      </c>
      <c r="K75" s="708">
        <f t="shared" si="8"/>
        <v>23590.965963700863</v>
      </c>
      <c r="L75" s="624"/>
      <c r="M75" s="439"/>
      <c r="N75" s="731"/>
      <c r="O75" s="764"/>
      <c r="P75" s="721"/>
      <c r="Q75" s="733"/>
    </row>
    <row r="76" spans="1:17" ht="16.5" customHeight="1">
      <c r="A76" s="707">
        <f t="shared" si="9"/>
        <v>71</v>
      </c>
      <c r="B76" s="291" t="s">
        <v>647</v>
      </c>
      <c r="C76" s="722">
        <v>41873</v>
      </c>
      <c r="D76" s="722" t="s">
        <v>645</v>
      </c>
      <c r="E76" s="904">
        <v>135</v>
      </c>
      <c r="F76" s="905">
        <v>206</v>
      </c>
      <c r="G76" s="905"/>
      <c r="H76" s="826">
        <f t="shared" si="10"/>
        <v>2.78</v>
      </c>
      <c r="I76" s="708">
        <v>690</v>
      </c>
      <c r="J76" s="708">
        <f t="shared" si="7"/>
        <v>1918.1999999999998</v>
      </c>
      <c r="K76" s="708">
        <f t="shared" si="8"/>
        <v>22693.039923559998</v>
      </c>
      <c r="L76" s="624"/>
      <c r="M76" s="439"/>
      <c r="N76" s="731"/>
      <c r="O76" s="764"/>
      <c r="P76" s="721"/>
      <c r="Q76" s="733"/>
    </row>
    <row r="77" spans="1:17" ht="16.5" customHeight="1">
      <c r="A77" s="707">
        <f t="shared" si="9"/>
        <v>72</v>
      </c>
      <c r="B77" s="291" t="s">
        <v>647</v>
      </c>
      <c r="C77" s="722">
        <v>41873</v>
      </c>
      <c r="D77" s="722" t="s">
        <v>645</v>
      </c>
      <c r="E77" s="904">
        <v>135</v>
      </c>
      <c r="F77" s="905">
        <v>206</v>
      </c>
      <c r="G77" s="905"/>
      <c r="H77" s="826">
        <f t="shared" si="10"/>
        <v>2.78</v>
      </c>
      <c r="I77" s="708">
        <v>130</v>
      </c>
      <c r="J77" s="708">
        <f t="shared" si="7"/>
        <v>361.4</v>
      </c>
      <c r="K77" s="708">
        <f t="shared" si="8"/>
        <v>22693.039923559998</v>
      </c>
      <c r="L77" s="624"/>
      <c r="M77" s="439"/>
      <c r="N77" s="731"/>
      <c r="O77" s="764"/>
      <c r="P77" s="721"/>
      <c r="Q77" s="733"/>
    </row>
    <row r="78" spans="1:17" ht="16.5" customHeight="1">
      <c r="A78" s="707">
        <f t="shared" si="9"/>
        <v>73</v>
      </c>
      <c r="B78" s="291" t="s">
        <v>648</v>
      </c>
      <c r="C78" s="722">
        <v>41873</v>
      </c>
      <c r="D78" s="722" t="s">
        <v>645</v>
      </c>
      <c r="E78" s="904">
        <v>85</v>
      </c>
      <c r="F78" s="905">
        <v>203</v>
      </c>
      <c r="G78" s="905"/>
      <c r="H78" s="826">
        <f t="shared" si="10"/>
        <v>1.73</v>
      </c>
      <c r="I78" s="708">
        <v>1000</v>
      </c>
      <c r="J78" s="708">
        <f t="shared" si="7"/>
        <v>1730</v>
      </c>
      <c r="K78" s="708">
        <f t="shared" si="8"/>
        <v>14121.927722215394</v>
      </c>
      <c r="L78" s="624"/>
      <c r="M78" s="439"/>
      <c r="N78" s="731"/>
      <c r="O78" s="764"/>
      <c r="P78" s="721"/>
      <c r="Q78" s="733"/>
    </row>
    <row r="79" spans="1:17" ht="16.5" customHeight="1">
      <c r="A79" s="707">
        <f t="shared" si="9"/>
        <v>74</v>
      </c>
      <c r="B79" s="291" t="s">
        <v>649</v>
      </c>
      <c r="C79" s="722">
        <v>41873</v>
      </c>
      <c r="D79" s="722" t="s">
        <v>645</v>
      </c>
      <c r="E79" s="904">
        <v>135</v>
      </c>
      <c r="F79" s="905">
        <v>207</v>
      </c>
      <c r="G79" s="905"/>
      <c r="H79" s="826">
        <f t="shared" si="10"/>
        <v>2.79</v>
      </c>
      <c r="I79" s="708">
        <v>425</v>
      </c>
      <c r="J79" s="708">
        <f t="shared" si="7"/>
        <v>1185.75</v>
      </c>
      <c r="K79" s="708">
        <f t="shared" si="8"/>
        <v>22774.669563572803</v>
      </c>
      <c r="L79" s="624"/>
      <c r="M79" s="439"/>
      <c r="N79" s="731"/>
      <c r="O79" s="764"/>
      <c r="P79" s="721"/>
      <c r="Q79" s="733"/>
    </row>
    <row r="80" spans="1:17" ht="16.5" customHeight="1">
      <c r="A80" s="707">
        <f t="shared" si="9"/>
        <v>75</v>
      </c>
      <c r="B80" s="291" t="s">
        <v>649</v>
      </c>
      <c r="C80" s="722">
        <v>41873</v>
      </c>
      <c r="D80" s="722" t="s">
        <v>645</v>
      </c>
      <c r="E80" s="904">
        <v>135</v>
      </c>
      <c r="F80" s="905">
        <v>207</v>
      </c>
      <c r="G80" s="905"/>
      <c r="H80" s="826">
        <f t="shared" si="10"/>
        <v>2.79</v>
      </c>
      <c r="I80" s="708">
        <v>322</v>
      </c>
      <c r="J80" s="708">
        <f t="shared" si="7"/>
        <v>898.38</v>
      </c>
      <c r="K80" s="708">
        <f t="shared" si="8"/>
        <v>22774.669563572803</v>
      </c>
      <c r="L80" s="624"/>
      <c r="M80" s="439"/>
      <c r="N80" s="731"/>
      <c r="O80" s="764"/>
      <c r="P80" s="721"/>
      <c r="Q80" s="733"/>
    </row>
    <row r="81" spans="1:17" ht="16.5" customHeight="1">
      <c r="A81" s="707">
        <f t="shared" si="9"/>
        <v>76</v>
      </c>
      <c r="B81" s="291" t="s">
        <v>1206</v>
      </c>
      <c r="C81" s="722">
        <v>41876</v>
      </c>
      <c r="D81" s="722" t="s">
        <v>651</v>
      </c>
      <c r="E81" s="904">
        <v>45</v>
      </c>
      <c r="F81" s="905">
        <v>37</v>
      </c>
      <c r="G81" s="905">
        <v>27.5</v>
      </c>
      <c r="H81" s="826">
        <f t="shared" si="10"/>
        <v>1.1399999999999999</v>
      </c>
      <c r="I81" s="708">
        <v>600</v>
      </c>
      <c r="J81" s="708">
        <f t="shared" si="7"/>
        <v>683.99999999999989</v>
      </c>
      <c r="K81" s="708">
        <f t="shared" si="8"/>
        <v>9305.7789614598551</v>
      </c>
      <c r="L81" s="624"/>
      <c r="M81" s="439"/>
      <c r="N81" s="731"/>
      <c r="O81" s="764"/>
      <c r="P81" s="721"/>
      <c r="Q81" s="733"/>
    </row>
    <row r="82" spans="1:17" ht="16.5" customHeight="1">
      <c r="A82" s="707">
        <f t="shared" si="9"/>
        <v>77</v>
      </c>
      <c r="B82" s="291" t="s">
        <v>445</v>
      </c>
      <c r="C82" s="722">
        <v>41876</v>
      </c>
      <c r="D82" s="722" t="s">
        <v>651</v>
      </c>
      <c r="E82" s="904">
        <v>50</v>
      </c>
      <c r="F82" s="905">
        <v>20</v>
      </c>
      <c r="G82" s="905"/>
      <c r="H82" s="826">
        <f t="shared" si="10"/>
        <v>0.1</v>
      </c>
      <c r="I82" s="708">
        <v>1200</v>
      </c>
      <c r="J82" s="708">
        <f t="shared" si="7"/>
        <v>120</v>
      </c>
      <c r="K82" s="708">
        <f t="shared" si="8"/>
        <v>816.29640012805748</v>
      </c>
      <c r="L82" s="624"/>
      <c r="M82" s="439"/>
      <c r="N82" s="731"/>
      <c r="O82" s="764"/>
      <c r="P82" s="721"/>
      <c r="Q82" s="733"/>
    </row>
    <row r="83" spans="1:17" ht="16.5" customHeight="1">
      <c r="A83" s="707">
        <f t="shared" si="9"/>
        <v>78</v>
      </c>
      <c r="B83" s="291" t="s">
        <v>652</v>
      </c>
      <c r="C83" s="722">
        <v>41876</v>
      </c>
      <c r="D83" s="722" t="s">
        <v>653</v>
      </c>
      <c r="E83" s="904">
        <v>36.5</v>
      </c>
      <c r="F83" s="905">
        <v>27.3</v>
      </c>
      <c r="G83" s="905">
        <v>25.5</v>
      </c>
      <c r="H83" s="826">
        <f t="shared" si="10"/>
        <v>0.74</v>
      </c>
      <c r="I83" s="708">
        <v>8160</v>
      </c>
      <c r="J83" s="708">
        <f t="shared" si="7"/>
        <v>6038.4</v>
      </c>
      <c r="K83" s="708">
        <f t="shared" si="8"/>
        <v>6040.5933609476251</v>
      </c>
      <c r="L83" s="624"/>
      <c r="M83" s="439"/>
      <c r="N83" s="731"/>
      <c r="O83" s="764"/>
      <c r="P83" s="721"/>
      <c r="Q83" s="733"/>
    </row>
    <row r="84" spans="1:17" ht="16.5" customHeight="1">
      <c r="A84" s="707">
        <f t="shared" si="9"/>
        <v>79</v>
      </c>
      <c r="B84" s="291" t="s">
        <v>655</v>
      </c>
      <c r="C84" s="722">
        <v>41876</v>
      </c>
      <c r="D84" s="722" t="s">
        <v>656</v>
      </c>
      <c r="E84" s="904">
        <v>49</v>
      </c>
      <c r="F84" s="905">
        <v>39</v>
      </c>
      <c r="G84" s="905">
        <v>34</v>
      </c>
      <c r="H84" s="826">
        <f t="shared" si="10"/>
        <v>1.38</v>
      </c>
      <c r="I84" s="708">
        <v>626</v>
      </c>
      <c r="J84" s="708">
        <f t="shared" si="7"/>
        <v>863.87999999999988</v>
      </c>
      <c r="K84" s="708">
        <f t="shared" si="8"/>
        <v>11264.890321767192</v>
      </c>
      <c r="L84" s="624"/>
      <c r="M84" s="439"/>
      <c r="N84" s="731"/>
      <c r="O84" s="764"/>
      <c r="P84" s="721"/>
      <c r="Q84" s="733"/>
    </row>
    <row r="85" spans="1:17" ht="16.5" customHeight="1">
      <c r="A85" s="707">
        <f t="shared" si="9"/>
        <v>80</v>
      </c>
      <c r="B85" s="291" t="s">
        <v>657</v>
      </c>
      <c r="C85" s="722">
        <v>41876</v>
      </c>
      <c r="D85" s="722" t="s">
        <v>656</v>
      </c>
      <c r="E85" s="904">
        <v>48</v>
      </c>
      <c r="F85" s="905">
        <v>30</v>
      </c>
      <c r="G85" s="905">
        <v>30</v>
      </c>
      <c r="H85" s="826">
        <f t="shared" si="10"/>
        <v>1.01</v>
      </c>
      <c r="I85" s="708">
        <v>160</v>
      </c>
      <c r="J85" s="708">
        <f t="shared" si="7"/>
        <v>161.6</v>
      </c>
      <c r="K85" s="708">
        <f t="shared" si="8"/>
        <v>8244.5936412933806</v>
      </c>
      <c r="L85" s="624"/>
      <c r="M85" s="439"/>
      <c r="N85" s="731"/>
      <c r="O85" s="764"/>
      <c r="P85" s="721"/>
      <c r="Q85" s="733"/>
    </row>
    <row r="86" spans="1:17" ht="16.5" customHeight="1">
      <c r="A86" s="707">
        <f t="shared" si="9"/>
        <v>81</v>
      </c>
      <c r="B86" s="291" t="s">
        <v>623</v>
      </c>
      <c r="C86" s="722">
        <v>41876</v>
      </c>
      <c r="D86" s="722" t="s">
        <v>656</v>
      </c>
      <c r="E86" s="904">
        <v>30</v>
      </c>
      <c r="F86" s="905">
        <v>20</v>
      </c>
      <c r="G86" s="905"/>
      <c r="H86" s="826">
        <f t="shared" si="10"/>
        <v>0.06</v>
      </c>
      <c r="I86" s="708">
        <v>1900</v>
      </c>
      <c r="J86" s="708">
        <f t="shared" si="7"/>
        <v>114</v>
      </c>
      <c r="K86" s="708">
        <f t="shared" si="8"/>
        <v>489.77784007683448</v>
      </c>
      <c r="L86" s="624"/>
      <c r="M86" s="439"/>
      <c r="N86" s="731"/>
      <c r="O86" s="764"/>
      <c r="P86" s="721"/>
      <c r="Q86" s="733"/>
    </row>
    <row r="87" spans="1:17" ht="16.5" customHeight="1">
      <c r="A87" s="707">
        <f t="shared" si="9"/>
        <v>82</v>
      </c>
      <c r="B87" s="291" t="s">
        <v>600</v>
      </c>
      <c r="C87" s="722">
        <v>41877</v>
      </c>
      <c r="D87" s="722" t="s">
        <v>658</v>
      </c>
      <c r="E87" s="904">
        <v>49</v>
      </c>
      <c r="F87" s="905">
        <v>39</v>
      </c>
      <c r="G87" s="905">
        <v>28</v>
      </c>
      <c r="H87" s="826">
        <f t="shared" si="10"/>
        <v>1.27</v>
      </c>
      <c r="I87" s="708">
        <v>612</v>
      </c>
      <c r="J87" s="708">
        <f t="shared" si="7"/>
        <v>777.24</v>
      </c>
      <c r="K87" s="708">
        <f t="shared" si="8"/>
        <v>10366.964281626329</v>
      </c>
      <c r="L87" s="624"/>
      <c r="M87" s="439"/>
      <c r="N87" s="731"/>
      <c r="O87" s="764"/>
      <c r="P87" s="721"/>
      <c r="Q87" s="733"/>
    </row>
    <row r="88" spans="1:17" ht="16.5" customHeight="1">
      <c r="A88" s="707">
        <f t="shared" si="9"/>
        <v>83</v>
      </c>
      <c r="B88" s="189" t="s">
        <v>603</v>
      </c>
      <c r="C88" s="722">
        <v>41877</v>
      </c>
      <c r="D88" s="722" t="s">
        <v>658</v>
      </c>
      <c r="E88" s="904">
        <v>49</v>
      </c>
      <c r="F88" s="905">
        <v>39</v>
      </c>
      <c r="G88" s="905">
        <v>22</v>
      </c>
      <c r="H88" s="826">
        <f t="shared" si="10"/>
        <v>1.1599999999999999</v>
      </c>
      <c r="I88" s="708">
        <v>267</v>
      </c>
      <c r="J88" s="708">
        <f t="shared" si="7"/>
        <v>309.71999999999997</v>
      </c>
      <c r="K88" s="708">
        <f t="shared" si="8"/>
        <v>9469.0382414854666</v>
      </c>
      <c r="L88" s="624"/>
      <c r="M88" s="439"/>
      <c r="N88" s="731"/>
      <c r="O88" s="764"/>
      <c r="P88" s="721"/>
      <c r="Q88" s="733"/>
    </row>
    <row r="89" spans="1:17" ht="16.5" customHeight="1">
      <c r="A89" s="707">
        <f t="shared" si="9"/>
        <v>84</v>
      </c>
      <c r="B89" s="291" t="s">
        <v>600</v>
      </c>
      <c r="C89" s="722">
        <v>41877</v>
      </c>
      <c r="D89" s="722" t="s">
        <v>658</v>
      </c>
      <c r="E89" s="904">
        <v>49</v>
      </c>
      <c r="F89" s="905">
        <v>39</v>
      </c>
      <c r="G89" s="905">
        <v>28</v>
      </c>
      <c r="H89" s="826">
        <f t="shared" si="10"/>
        <v>1.27</v>
      </c>
      <c r="I89" s="708">
        <v>77</v>
      </c>
      <c r="J89" s="708">
        <f t="shared" si="7"/>
        <v>97.79</v>
      </c>
      <c r="K89" s="708">
        <f t="shared" si="8"/>
        <v>10366.964281626329</v>
      </c>
      <c r="L89" s="624"/>
      <c r="M89" s="439"/>
      <c r="N89" s="731"/>
      <c r="O89" s="764"/>
      <c r="P89" s="721"/>
      <c r="Q89" s="733"/>
    </row>
    <row r="90" spans="1:17" ht="16.5" customHeight="1">
      <c r="A90" s="707">
        <f t="shared" si="9"/>
        <v>85</v>
      </c>
      <c r="B90" s="291" t="s">
        <v>623</v>
      </c>
      <c r="C90" s="722">
        <v>41877</v>
      </c>
      <c r="D90" s="722" t="s">
        <v>658</v>
      </c>
      <c r="E90" s="904">
        <v>30</v>
      </c>
      <c r="F90" s="905">
        <v>20</v>
      </c>
      <c r="G90" s="905"/>
      <c r="H90" s="826">
        <f t="shared" si="10"/>
        <v>0.06</v>
      </c>
      <c r="I90" s="708">
        <v>2400</v>
      </c>
      <c r="J90" s="708">
        <f t="shared" si="7"/>
        <v>144</v>
      </c>
      <c r="K90" s="708">
        <f t="shared" si="8"/>
        <v>489.77784007683448</v>
      </c>
      <c r="L90" s="624"/>
      <c r="M90" s="439"/>
      <c r="N90" s="731"/>
      <c r="O90" s="764"/>
      <c r="P90" s="721"/>
      <c r="Q90" s="733"/>
    </row>
    <row r="91" spans="1:17" ht="16.5" customHeight="1">
      <c r="A91" s="707">
        <f t="shared" si="9"/>
        <v>86</v>
      </c>
      <c r="B91" s="291" t="s">
        <v>515</v>
      </c>
      <c r="C91" s="722">
        <v>41878</v>
      </c>
      <c r="D91" s="722" t="s">
        <v>659</v>
      </c>
      <c r="E91" s="904">
        <v>59</v>
      </c>
      <c r="F91" s="905">
        <v>38</v>
      </c>
      <c r="G91" s="905">
        <v>17</v>
      </c>
      <c r="H91" s="826">
        <f t="shared" si="10"/>
        <v>1.1499999999999999</v>
      </c>
      <c r="I91" s="708">
        <v>981</v>
      </c>
      <c r="J91" s="708">
        <f t="shared" si="7"/>
        <v>1128.1499999999999</v>
      </c>
      <c r="K91" s="708">
        <f t="shared" si="8"/>
        <v>9387.4086014726599</v>
      </c>
      <c r="L91" s="624"/>
      <c r="M91" s="439"/>
      <c r="N91" s="731"/>
      <c r="O91" s="764"/>
      <c r="P91" s="721"/>
      <c r="Q91" s="733"/>
    </row>
    <row r="92" spans="1:17" ht="16.5" customHeight="1">
      <c r="A92" s="707">
        <f t="shared" si="9"/>
        <v>87</v>
      </c>
      <c r="B92" s="291" t="s">
        <v>1199</v>
      </c>
      <c r="C92" s="722">
        <v>41879</v>
      </c>
      <c r="D92" s="722" t="s">
        <v>660</v>
      </c>
      <c r="E92" s="904">
        <v>83</v>
      </c>
      <c r="F92" s="905">
        <v>19</v>
      </c>
      <c r="G92" s="905"/>
      <c r="H92" s="826">
        <f t="shared" si="10"/>
        <v>0.16</v>
      </c>
      <c r="I92" s="708">
        <v>1200</v>
      </c>
      <c r="J92" s="708">
        <f t="shared" si="7"/>
        <v>192</v>
      </c>
      <c r="K92" s="708">
        <f t="shared" si="8"/>
        <v>1306.074240204892</v>
      </c>
      <c r="L92" s="624"/>
      <c r="M92" s="439"/>
      <c r="N92" s="731"/>
      <c r="O92" s="764"/>
      <c r="P92" s="721"/>
      <c r="Q92" s="733"/>
    </row>
    <row r="93" spans="1:17" ht="16.5" customHeight="1">
      <c r="A93" s="707">
        <f t="shared" si="9"/>
        <v>88</v>
      </c>
      <c r="B93" s="291" t="s">
        <v>1200</v>
      </c>
      <c r="C93" s="722">
        <v>41879</v>
      </c>
      <c r="D93" s="722" t="s">
        <v>660</v>
      </c>
      <c r="E93" s="904">
        <v>120</v>
      </c>
      <c r="F93" s="905">
        <v>39</v>
      </c>
      <c r="G93" s="905"/>
      <c r="H93" s="826">
        <f t="shared" si="10"/>
        <v>0.47</v>
      </c>
      <c r="I93" s="708">
        <v>400</v>
      </c>
      <c r="J93" s="708">
        <f t="shared" si="7"/>
        <v>188</v>
      </c>
      <c r="K93" s="708">
        <f t="shared" si="8"/>
        <v>3836.59308060187</v>
      </c>
      <c r="L93" s="624"/>
      <c r="M93" s="439"/>
      <c r="N93" s="731"/>
      <c r="O93" s="764"/>
      <c r="P93" s="721"/>
      <c r="Q93" s="733"/>
    </row>
    <row r="94" spans="1:17" ht="16.5" customHeight="1">
      <c r="A94" s="707">
        <f t="shared" si="9"/>
        <v>89</v>
      </c>
      <c r="B94" s="291" t="s">
        <v>664</v>
      </c>
      <c r="C94" s="722">
        <v>41883</v>
      </c>
      <c r="D94" s="722" t="s">
        <v>665</v>
      </c>
      <c r="E94" s="904">
        <v>30</v>
      </c>
      <c r="F94" s="905">
        <v>30</v>
      </c>
      <c r="G94" s="905">
        <v>29.5</v>
      </c>
      <c r="H94" s="826">
        <f t="shared" si="10"/>
        <v>0.78</v>
      </c>
      <c r="I94" s="708">
        <v>509</v>
      </c>
      <c r="J94" s="708">
        <f t="shared" si="7"/>
        <v>397.02000000000004</v>
      </c>
      <c r="K94" s="708">
        <f t="shared" si="8"/>
        <v>6367.1119209988483</v>
      </c>
      <c r="L94" s="624"/>
      <c r="M94" s="439"/>
      <c r="N94" s="731"/>
      <c r="O94" s="764"/>
      <c r="P94" s="721"/>
      <c r="Q94" s="733"/>
    </row>
    <row r="95" spans="1:17" ht="16.5" customHeight="1">
      <c r="A95" s="707">
        <f t="shared" si="9"/>
        <v>90</v>
      </c>
      <c r="B95" s="291" t="s">
        <v>666</v>
      </c>
      <c r="C95" s="722">
        <v>41883</v>
      </c>
      <c r="D95" s="722" t="s">
        <v>665</v>
      </c>
      <c r="E95" s="904">
        <v>29</v>
      </c>
      <c r="F95" s="905">
        <v>29</v>
      </c>
      <c r="G95" s="905">
        <v>29.5</v>
      </c>
      <c r="H95" s="826">
        <f t="shared" si="10"/>
        <v>0.74</v>
      </c>
      <c r="I95" s="708">
        <v>210</v>
      </c>
      <c r="J95" s="708">
        <f t="shared" si="7"/>
        <v>155.4</v>
      </c>
      <c r="K95" s="708">
        <f t="shared" si="8"/>
        <v>6040.5933609476251</v>
      </c>
      <c r="L95" s="624"/>
      <c r="M95" s="439"/>
      <c r="N95" s="731"/>
      <c r="O95" s="764"/>
      <c r="P95" s="721"/>
      <c r="Q95" s="733"/>
    </row>
    <row r="96" spans="1:17" ht="16.5" customHeight="1">
      <c r="A96" s="707">
        <f t="shared" si="9"/>
        <v>91</v>
      </c>
      <c r="B96" s="291" t="s">
        <v>600</v>
      </c>
      <c r="C96" s="722">
        <v>41883</v>
      </c>
      <c r="D96" s="722" t="s">
        <v>667</v>
      </c>
      <c r="E96" s="904">
        <v>49</v>
      </c>
      <c r="F96" s="905">
        <v>39</v>
      </c>
      <c r="G96" s="905">
        <v>28</v>
      </c>
      <c r="H96" s="826">
        <f t="shared" si="10"/>
        <v>1.27</v>
      </c>
      <c r="I96" s="708">
        <v>1116</v>
      </c>
      <c r="J96" s="708">
        <f t="shared" si="7"/>
        <v>1417.32</v>
      </c>
      <c r="K96" s="708">
        <f t="shared" si="8"/>
        <v>10366.964281626329</v>
      </c>
      <c r="L96" s="624"/>
      <c r="M96" s="439"/>
      <c r="N96" s="731"/>
      <c r="O96" s="764"/>
      <c r="P96" s="721"/>
      <c r="Q96" s="733"/>
    </row>
    <row r="97" spans="1:17" ht="16.5" customHeight="1">
      <c r="A97" s="707">
        <f t="shared" si="9"/>
        <v>92</v>
      </c>
      <c r="B97" s="291" t="s">
        <v>662</v>
      </c>
      <c r="C97" s="722">
        <v>41883</v>
      </c>
      <c r="D97" s="722" t="s">
        <v>667</v>
      </c>
      <c r="E97" s="904">
        <v>39</v>
      </c>
      <c r="F97" s="905">
        <v>25</v>
      </c>
      <c r="G97" s="905">
        <v>44</v>
      </c>
      <c r="H97" s="826">
        <f t="shared" si="10"/>
        <v>0.96</v>
      </c>
      <c r="I97" s="708">
        <v>1273</v>
      </c>
      <c r="J97" s="708">
        <f t="shared" si="7"/>
        <v>1222.08</v>
      </c>
      <c r="K97" s="708">
        <f t="shared" si="8"/>
        <v>7836.4454412293517</v>
      </c>
      <c r="L97" s="624"/>
      <c r="M97" s="439"/>
      <c r="N97" s="731"/>
      <c r="O97" s="764"/>
      <c r="P97" s="721"/>
      <c r="Q97" s="733"/>
    </row>
    <row r="98" spans="1:17" ht="16.5" customHeight="1">
      <c r="A98" s="707">
        <f t="shared" si="9"/>
        <v>93</v>
      </c>
      <c r="B98" s="291" t="s">
        <v>603</v>
      </c>
      <c r="C98" s="722">
        <v>41883</v>
      </c>
      <c r="D98" s="722" t="s">
        <v>667</v>
      </c>
      <c r="E98" s="904">
        <v>49</v>
      </c>
      <c r="F98" s="905">
        <v>39</v>
      </c>
      <c r="G98" s="905">
        <v>22</v>
      </c>
      <c r="H98" s="826">
        <f t="shared" si="10"/>
        <v>1.1599999999999999</v>
      </c>
      <c r="I98" s="708">
        <v>373</v>
      </c>
      <c r="J98" s="708">
        <f t="shared" si="7"/>
        <v>432.67999999999995</v>
      </c>
      <c r="K98" s="708">
        <f t="shared" si="8"/>
        <v>9469.0382414854666</v>
      </c>
      <c r="L98" s="624"/>
      <c r="M98" s="439"/>
      <c r="N98" s="731"/>
      <c r="O98" s="764"/>
      <c r="P98" s="721"/>
      <c r="Q98" s="733"/>
    </row>
    <row r="99" spans="1:17" ht="16.5" customHeight="1">
      <c r="A99" s="707">
        <f t="shared" si="9"/>
        <v>94</v>
      </c>
      <c r="B99" s="291" t="s">
        <v>663</v>
      </c>
      <c r="C99" s="722">
        <v>41883</v>
      </c>
      <c r="D99" s="722" t="s">
        <v>667</v>
      </c>
      <c r="E99" s="904">
        <v>48</v>
      </c>
      <c r="F99" s="905">
        <v>38</v>
      </c>
      <c r="G99" s="905">
        <v>34</v>
      </c>
      <c r="H99" s="826">
        <f t="shared" si="10"/>
        <v>1.33</v>
      </c>
      <c r="I99" s="708">
        <v>176</v>
      </c>
      <c r="J99" s="708">
        <f t="shared" si="7"/>
        <v>234.08</v>
      </c>
      <c r="K99" s="708">
        <f t="shared" si="8"/>
        <v>10856.742121703164</v>
      </c>
      <c r="L99" s="624"/>
      <c r="M99" s="439"/>
      <c r="N99" s="731"/>
      <c r="O99" s="764"/>
      <c r="P99" s="721"/>
      <c r="Q99" s="733"/>
    </row>
    <row r="100" spans="1:17" ht="16.5" customHeight="1">
      <c r="A100" s="707">
        <f t="shared" si="9"/>
        <v>95</v>
      </c>
      <c r="B100" s="291" t="s">
        <v>623</v>
      </c>
      <c r="C100" s="722">
        <v>41883</v>
      </c>
      <c r="D100" s="722" t="s">
        <v>667</v>
      </c>
      <c r="E100" s="904">
        <v>30</v>
      </c>
      <c r="F100" s="905">
        <v>20</v>
      </c>
      <c r="G100" s="905"/>
      <c r="H100" s="826">
        <f t="shared" si="10"/>
        <v>0.06</v>
      </c>
      <c r="I100" s="708">
        <v>4500</v>
      </c>
      <c r="J100" s="708">
        <f t="shared" si="7"/>
        <v>270</v>
      </c>
      <c r="K100" s="708">
        <f t="shared" si="8"/>
        <v>489.77784007683448</v>
      </c>
      <c r="L100" s="624"/>
      <c r="M100" s="439"/>
      <c r="N100" s="731"/>
      <c r="O100" s="764"/>
      <c r="P100" s="721"/>
      <c r="Q100" s="733"/>
    </row>
    <row r="101" spans="1:17" ht="16.5" customHeight="1">
      <c r="A101" s="707">
        <f t="shared" si="9"/>
        <v>96</v>
      </c>
      <c r="B101" s="291" t="s">
        <v>668</v>
      </c>
      <c r="C101" s="722">
        <v>41883</v>
      </c>
      <c r="D101" s="722" t="s">
        <v>669</v>
      </c>
      <c r="E101" s="904">
        <v>37.5</v>
      </c>
      <c r="F101" s="905">
        <v>26.5</v>
      </c>
      <c r="G101" s="905">
        <v>22</v>
      </c>
      <c r="H101" s="826">
        <f t="shared" si="10"/>
        <v>0.68</v>
      </c>
      <c r="I101" s="708">
        <v>500</v>
      </c>
      <c r="J101" s="708">
        <f t="shared" si="7"/>
        <v>340</v>
      </c>
      <c r="K101" s="708">
        <f t="shared" si="8"/>
        <v>5550.8155208707913</v>
      </c>
      <c r="L101" s="624"/>
      <c r="M101" s="439"/>
      <c r="N101" s="731"/>
      <c r="O101" s="764"/>
      <c r="P101" s="721"/>
      <c r="Q101" s="733"/>
    </row>
    <row r="102" spans="1:17" ht="16.5" customHeight="1">
      <c r="A102" s="707">
        <f t="shared" si="9"/>
        <v>97</v>
      </c>
      <c r="B102" s="291" t="s">
        <v>670</v>
      </c>
      <c r="C102" s="722">
        <v>41886</v>
      </c>
      <c r="D102" s="722" t="s">
        <v>671</v>
      </c>
      <c r="E102" s="904">
        <v>43</v>
      </c>
      <c r="F102" s="905">
        <v>31</v>
      </c>
      <c r="G102" s="905">
        <v>25</v>
      </c>
      <c r="H102" s="826">
        <f t="shared" si="10"/>
        <v>0.9</v>
      </c>
      <c r="I102" s="708">
        <v>711</v>
      </c>
      <c r="J102" s="708">
        <f t="shared" si="7"/>
        <v>639.9</v>
      </c>
      <c r="K102" s="708">
        <f t="shared" ref="K102:K133" si="11">H102*$Q$35</f>
        <v>7346.6676011525178</v>
      </c>
      <c r="L102" s="624"/>
      <c r="M102" s="439"/>
      <c r="N102" s="731"/>
      <c r="O102" s="764"/>
      <c r="P102" s="721"/>
      <c r="Q102" s="733"/>
    </row>
    <row r="103" spans="1:17" ht="16.5" customHeight="1">
      <c r="A103" s="707">
        <f t="shared" si="9"/>
        <v>98</v>
      </c>
      <c r="B103" s="291" t="s">
        <v>483</v>
      </c>
      <c r="C103" s="722">
        <v>41886</v>
      </c>
      <c r="D103" s="722" t="s">
        <v>673</v>
      </c>
      <c r="E103" s="904">
        <v>49.5</v>
      </c>
      <c r="F103" s="905">
        <v>38.5</v>
      </c>
      <c r="G103" s="905">
        <v>32.5</v>
      </c>
      <c r="H103" s="826">
        <f t="shared" si="10"/>
        <v>1.34</v>
      </c>
      <c r="I103" s="708">
        <v>197</v>
      </c>
      <c r="J103" s="708">
        <f t="shared" si="7"/>
        <v>263.98</v>
      </c>
      <c r="K103" s="708">
        <f t="shared" si="11"/>
        <v>10938.371761715971</v>
      </c>
      <c r="L103" s="624"/>
      <c r="M103" s="439"/>
      <c r="N103" s="731"/>
      <c r="O103" s="764"/>
      <c r="P103" s="721"/>
      <c r="Q103" s="733"/>
    </row>
    <row r="104" spans="1:17" ht="16.5" customHeight="1">
      <c r="A104" s="707">
        <f t="shared" si="9"/>
        <v>99</v>
      </c>
      <c r="B104" s="291" t="s">
        <v>486</v>
      </c>
      <c r="C104" s="722">
        <v>41886</v>
      </c>
      <c r="D104" s="722" t="s">
        <v>673</v>
      </c>
      <c r="E104" s="904">
        <v>41</v>
      </c>
      <c r="F104" s="905">
        <v>31</v>
      </c>
      <c r="G104" s="905">
        <v>25.5</v>
      </c>
      <c r="H104" s="826">
        <f t="shared" si="10"/>
        <v>0.89</v>
      </c>
      <c r="I104" s="708">
        <v>307</v>
      </c>
      <c r="J104" s="708">
        <f t="shared" si="7"/>
        <v>273.23</v>
      </c>
      <c r="K104" s="708">
        <f t="shared" si="11"/>
        <v>7265.037961139712</v>
      </c>
      <c r="L104" s="624"/>
      <c r="M104" s="439"/>
      <c r="N104" s="731"/>
      <c r="O104" s="764"/>
      <c r="P104" s="721"/>
      <c r="Q104" s="733"/>
    </row>
    <row r="105" spans="1:17" ht="16.5" customHeight="1">
      <c r="A105" s="707">
        <f t="shared" si="9"/>
        <v>100</v>
      </c>
      <c r="B105" s="291" t="s">
        <v>674</v>
      </c>
      <c r="C105" s="722">
        <v>41890</v>
      </c>
      <c r="D105" s="722" t="s">
        <v>675</v>
      </c>
      <c r="E105" s="904">
        <v>50</v>
      </c>
      <c r="F105" s="905">
        <v>40</v>
      </c>
      <c r="G105" s="905">
        <v>55</v>
      </c>
      <c r="H105" s="826">
        <f t="shared" si="10"/>
        <v>1.81</v>
      </c>
      <c r="I105" s="708">
        <v>860</v>
      </c>
      <c r="J105" s="708">
        <f t="shared" si="7"/>
        <v>1556.6000000000001</v>
      </c>
      <c r="K105" s="708">
        <f t="shared" si="11"/>
        <v>14774.964842317841</v>
      </c>
      <c r="L105" s="624"/>
      <c r="M105" s="439"/>
      <c r="N105" s="731"/>
      <c r="O105" s="764"/>
      <c r="P105" s="721"/>
      <c r="Q105" s="733"/>
    </row>
    <row r="106" spans="1:17" ht="16.5" customHeight="1">
      <c r="A106" s="707">
        <f t="shared" si="9"/>
        <v>101</v>
      </c>
      <c r="B106" s="291" t="s">
        <v>663</v>
      </c>
      <c r="C106" s="722">
        <v>41890</v>
      </c>
      <c r="D106" s="722" t="s">
        <v>676</v>
      </c>
      <c r="E106" s="904">
        <v>48</v>
      </c>
      <c r="F106" s="905">
        <v>38</v>
      </c>
      <c r="G106" s="905">
        <v>34</v>
      </c>
      <c r="H106" s="826">
        <f t="shared" si="10"/>
        <v>1.33</v>
      </c>
      <c r="I106" s="708">
        <v>2153</v>
      </c>
      <c r="J106" s="708">
        <f t="shared" si="7"/>
        <v>2863.4900000000002</v>
      </c>
      <c r="K106" s="708">
        <f t="shared" si="11"/>
        <v>10856.742121703164</v>
      </c>
      <c r="L106" s="624"/>
      <c r="M106" s="439"/>
      <c r="N106" s="731"/>
      <c r="O106" s="764"/>
      <c r="P106" s="721"/>
      <c r="Q106" s="733"/>
    </row>
    <row r="107" spans="1:17" ht="16.5" customHeight="1">
      <c r="A107" s="707">
        <f t="shared" si="9"/>
        <v>102</v>
      </c>
      <c r="B107" s="291" t="s">
        <v>623</v>
      </c>
      <c r="C107" s="722">
        <v>41890</v>
      </c>
      <c r="D107" s="722" t="s">
        <v>676</v>
      </c>
      <c r="E107" s="904">
        <v>30</v>
      </c>
      <c r="F107" s="905">
        <v>20</v>
      </c>
      <c r="G107" s="905"/>
      <c r="H107" s="826">
        <f t="shared" si="10"/>
        <v>0.06</v>
      </c>
      <c r="I107" s="708">
        <v>2000</v>
      </c>
      <c r="J107" s="708">
        <f t="shared" si="7"/>
        <v>120</v>
      </c>
      <c r="K107" s="708">
        <f t="shared" si="11"/>
        <v>489.77784007683448</v>
      </c>
      <c r="L107" s="624"/>
      <c r="M107" s="439"/>
      <c r="N107" s="731"/>
      <c r="O107" s="764"/>
      <c r="P107" s="721"/>
      <c r="Q107" s="733"/>
    </row>
    <row r="108" spans="1:17" ht="16.5" customHeight="1">
      <c r="A108" s="707">
        <f t="shared" si="9"/>
        <v>103</v>
      </c>
      <c r="B108" s="291" t="s">
        <v>1157</v>
      </c>
      <c r="C108" s="722">
        <v>41890</v>
      </c>
      <c r="D108" s="722" t="s">
        <v>677</v>
      </c>
      <c r="E108" s="904">
        <v>50</v>
      </c>
      <c r="F108" s="905">
        <v>20</v>
      </c>
      <c r="G108" s="905"/>
      <c r="H108" s="826">
        <f>IF(G108&lt;&gt;"",ROUND(((E108+F108)*2+5)*(F108+G108+3)/10000,2),ROUND(E108*F108/10000,2))</f>
        <v>0.1</v>
      </c>
      <c r="I108" s="708">
        <v>1000</v>
      </c>
      <c r="J108" s="708">
        <f t="shared" si="7"/>
        <v>100</v>
      </c>
      <c r="K108" s="708">
        <f t="shared" si="11"/>
        <v>816.29640012805748</v>
      </c>
      <c r="L108" s="624"/>
      <c r="M108" s="439"/>
      <c r="N108" s="731"/>
      <c r="O108" s="764"/>
      <c r="P108" s="721"/>
      <c r="Q108" s="733"/>
    </row>
    <row r="109" spans="1:17" ht="16.5" customHeight="1">
      <c r="A109" s="707">
        <f t="shared" si="9"/>
        <v>104</v>
      </c>
      <c r="B109" s="291" t="s">
        <v>593</v>
      </c>
      <c r="C109" s="722">
        <v>41894</v>
      </c>
      <c r="D109" s="722" t="s">
        <v>679</v>
      </c>
      <c r="E109" s="904">
        <v>55</v>
      </c>
      <c r="F109" s="905">
        <v>55</v>
      </c>
      <c r="G109" s="905">
        <v>75</v>
      </c>
      <c r="H109" s="826">
        <f t="shared" si="10"/>
        <v>2.99</v>
      </c>
      <c r="I109" s="708">
        <v>210</v>
      </c>
      <c r="J109" s="708">
        <f t="shared" si="7"/>
        <v>627.90000000000009</v>
      </c>
      <c r="K109" s="708">
        <f t="shared" si="11"/>
        <v>24407.262363828919</v>
      </c>
      <c r="L109" s="624"/>
      <c r="M109" s="439"/>
      <c r="N109" s="731"/>
      <c r="O109" s="764"/>
      <c r="P109" s="721"/>
      <c r="Q109" s="733"/>
    </row>
    <row r="110" spans="1:17" ht="16.5" customHeight="1">
      <c r="A110" s="707">
        <f t="shared" si="9"/>
        <v>105</v>
      </c>
      <c r="B110" s="291" t="s">
        <v>1206</v>
      </c>
      <c r="C110" s="722">
        <v>41895</v>
      </c>
      <c r="D110" s="722" t="s">
        <v>680</v>
      </c>
      <c r="E110" s="904">
        <v>45</v>
      </c>
      <c r="F110" s="905">
        <v>37</v>
      </c>
      <c r="G110" s="905">
        <v>27.5</v>
      </c>
      <c r="H110" s="826">
        <f t="shared" si="10"/>
        <v>1.1399999999999999</v>
      </c>
      <c r="I110" s="708">
        <v>200</v>
      </c>
      <c r="J110" s="708">
        <f t="shared" si="7"/>
        <v>227.99999999999997</v>
      </c>
      <c r="K110" s="708">
        <f t="shared" si="11"/>
        <v>9305.7789614598551</v>
      </c>
      <c r="L110" s="624"/>
      <c r="M110" s="439"/>
      <c r="N110" s="731"/>
      <c r="O110" s="764"/>
      <c r="P110" s="721"/>
      <c r="Q110" s="733"/>
    </row>
    <row r="111" spans="1:17" ht="16.5" customHeight="1">
      <c r="A111" s="707">
        <f t="shared" si="9"/>
        <v>106</v>
      </c>
      <c r="B111" s="291" t="s">
        <v>1206</v>
      </c>
      <c r="C111" s="722">
        <v>41895</v>
      </c>
      <c r="D111" s="722" t="s">
        <v>680</v>
      </c>
      <c r="E111" s="904">
        <v>45</v>
      </c>
      <c r="F111" s="905">
        <v>37</v>
      </c>
      <c r="G111" s="905">
        <v>27.5</v>
      </c>
      <c r="H111" s="826">
        <f t="shared" si="10"/>
        <v>1.1399999999999999</v>
      </c>
      <c r="I111" s="708">
        <v>989</v>
      </c>
      <c r="J111" s="708">
        <f t="shared" si="7"/>
        <v>1127.4599999999998</v>
      </c>
      <c r="K111" s="708">
        <f t="shared" si="11"/>
        <v>9305.7789614598551</v>
      </c>
      <c r="L111" s="624"/>
      <c r="M111" s="439"/>
      <c r="N111" s="731"/>
      <c r="O111" s="764"/>
      <c r="P111" s="721"/>
      <c r="Q111" s="733"/>
    </row>
    <row r="112" spans="1:17" ht="16.5" customHeight="1">
      <c r="A112" s="707">
        <f t="shared" si="9"/>
        <v>107</v>
      </c>
      <c r="B112" s="291" t="s">
        <v>445</v>
      </c>
      <c r="C112" s="722">
        <v>41895</v>
      </c>
      <c r="D112" s="722" t="s">
        <v>680</v>
      </c>
      <c r="E112" s="904">
        <v>50</v>
      </c>
      <c r="F112" s="905">
        <v>20</v>
      </c>
      <c r="G112" s="905"/>
      <c r="H112" s="826">
        <f>IF(G112&lt;&gt;"",ROUND(((E112+F112)*2+5)*(F112+G112+3)/10000,2),ROUND(E112*F112/10000,2))</f>
        <v>0.1</v>
      </c>
      <c r="I112" s="708">
        <v>2400</v>
      </c>
      <c r="J112" s="708">
        <f t="shared" si="7"/>
        <v>240</v>
      </c>
      <c r="K112" s="708">
        <f t="shared" si="11"/>
        <v>816.29640012805748</v>
      </c>
      <c r="L112" s="624"/>
      <c r="M112" s="439"/>
      <c r="N112" s="731"/>
      <c r="O112" s="764"/>
      <c r="P112" s="721"/>
      <c r="Q112" s="733"/>
    </row>
    <row r="113" spans="1:17" ht="16.5" customHeight="1">
      <c r="A113" s="707">
        <f t="shared" si="9"/>
        <v>108</v>
      </c>
      <c r="B113" s="291" t="s">
        <v>436</v>
      </c>
      <c r="C113" s="722">
        <v>41897</v>
      </c>
      <c r="D113" s="722" t="s">
        <v>681</v>
      </c>
      <c r="E113" s="904">
        <v>49</v>
      </c>
      <c r="F113" s="905">
        <v>38</v>
      </c>
      <c r="G113" s="905">
        <v>12</v>
      </c>
      <c r="H113" s="826">
        <f t="shared" si="10"/>
        <v>0.95</v>
      </c>
      <c r="I113" s="708">
        <v>495</v>
      </c>
      <c r="J113" s="708">
        <f t="shared" si="7"/>
        <v>470.25</v>
      </c>
      <c r="K113" s="708">
        <f t="shared" si="11"/>
        <v>7754.8158012165459</v>
      </c>
      <c r="L113" s="624"/>
      <c r="M113" s="439"/>
      <c r="N113" s="731"/>
      <c r="O113" s="764"/>
      <c r="P113" s="721"/>
      <c r="Q113" s="733"/>
    </row>
    <row r="114" spans="1:17" ht="16.5" customHeight="1">
      <c r="A114" s="707">
        <f t="shared" si="9"/>
        <v>109</v>
      </c>
      <c r="B114" s="291" t="s">
        <v>682</v>
      </c>
      <c r="C114" s="722">
        <v>41898</v>
      </c>
      <c r="D114" s="722" t="s">
        <v>683</v>
      </c>
      <c r="E114" s="904">
        <v>86</v>
      </c>
      <c r="F114" s="905">
        <v>64</v>
      </c>
      <c r="G114" s="905">
        <v>33</v>
      </c>
      <c r="H114" s="826">
        <f t="shared" si="10"/>
        <v>3.05</v>
      </c>
      <c r="I114" s="708">
        <v>451</v>
      </c>
      <c r="J114" s="708">
        <f t="shared" si="7"/>
        <v>1375.55</v>
      </c>
      <c r="K114" s="708">
        <f t="shared" si="11"/>
        <v>24897.040203905752</v>
      </c>
      <c r="L114" s="624"/>
      <c r="M114" s="439"/>
      <c r="N114" s="731"/>
      <c r="O114" s="764"/>
      <c r="P114" s="721"/>
      <c r="Q114" s="733"/>
    </row>
    <row r="115" spans="1:17" ht="16.5" customHeight="1">
      <c r="A115" s="707">
        <f t="shared" si="9"/>
        <v>110</v>
      </c>
      <c r="B115" s="291" t="s">
        <v>746</v>
      </c>
      <c r="C115" s="722">
        <v>41898</v>
      </c>
      <c r="D115" s="722" t="s">
        <v>683</v>
      </c>
      <c r="E115" s="904">
        <v>60</v>
      </c>
      <c r="F115" s="905">
        <v>25</v>
      </c>
      <c r="G115" s="905"/>
      <c r="H115" s="826">
        <f t="shared" si="10"/>
        <v>0.15</v>
      </c>
      <c r="I115" s="708">
        <v>902</v>
      </c>
      <c r="J115" s="708">
        <f t="shared" si="7"/>
        <v>135.29999999999998</v>
      </c>
      <c r="K115" s="708">
        <f t="shared" si="11"/>
        <v>1224.4446001920862</v>
      </c>
      <c r="L115" s="624"/>
      <c r="M115" s="439"/>
      <c r="N115" s="731"/>
      <c r="O115" s="764"/>
      <c r="P115" s="721"/>
      <c r="Q115" s="733"/>
    </row>
    <row r="116" spans="1:17" ht="16.5" customHeight="1">
      <c r="A116" s="707">
        <f t="shared" si="9"/>
        <v>111</v>
      </c>
      <c r="B116" s="291" t="s">
        <v>663</v>
      </c>
      <c r="C116" s="722">
        <v>41898</v>
      </c>
      <c r="D116" s="722" t="s">
        <v>685</v>
      </c>
      <c r="E116" s="904">
        <v>48</v>
      </c>
      <c r="F116" s="905">
        <v>38</v>
      </c>
      <c r="G116" s="905">
        <v>34</v>
      </c>
      <c r="H116" s="826">
        <f t="shared" si="10"/>
        <v>1.33</v>
      </c>
      <c r="I116" s="708">
        <v>175</v>
      </c>
      <c r="J116" s="708">
        <f t="shared" si="7"/>
        <v>232.75</v>
      </c>
      <c r="K116" s="708">
        <f t="shared" si="11"/>
        <v>10856.742121703164</v>
      </c>
      <c r="L116" s="624"/>
      <c r="M116" s="439"/>
      <c r="N116" s="731"/>
      <c r="O116" s="764"/>
      <c r="P116" s="721"/>
      <c r="Q116" s="733"/>
    </row>
    <row r="117" spans="1:17" ht="16.5" customHeight="1">
      <c r="A117" s="707">
        <f t="shared" si="9"/>
        <v>112</v>
      </c>
      <c r="B117" s="291" t="s">
        <v>663</v>
      </c>
      <c r="C117" s="722">
        <v>41898</v>
      </c>
      <c r="D117" s="722" t="s">
        <v>685</v>
      </c>
      <c r="E117" s="904">
        <v>48</v>
      </c>
      <c r="F117" s="905">
        <v>38</v>
      </c>
      <c r="G117" s="905">
        <v>34</v>
      </c>
      <c r="H117" s="826">
        <f t="shared" si="10"/>
        <v>1.33</v>
      </c>
      <c r="I117" s="708">
        <v>1686</v>
      </c>
      <c r="J117" s="708">
        <f t="shared" si="7"/>
        <v>2242.38</v>
      </c>
      <c r="K117" s="708">
        <f t="shared" si="11"/>
        <v>10856.742121703164</v>
      </c>
      <c r="L117" s="624"/>
      <c r="M117" s="439"/>
      <c r="N117" s="731"/>
      <c r="O117" s="764"/>
      <c r="P117" s="721"/>
      <c r="Q117" s="733"/>
    </row>
    <row r="118" spans="1:17" ht="16.5" customHeight="1">
      <c r="A118" s="707">
        <f t="shared" si="9"/>
        <v>113</v>
      </c>
      <c r="B118" s="291" t="s">
        <v>662</v>
      </c>
      <c r="C118" s="722">
        <v>41898</v>
      </c>
      <c r="D118" s="722" t="s">
        <v>685</v>
      </c>
      <c r="E118" s="904">
        <v>39</v>
      </c>
      <c r="F118" s="905">
        <v>25</v>
      </c>
      <c r="G118" s="905">
        <v>44</v>
      </c>
      <c r="H118" s="826">
        <f t="shared" si="10"/>
        <v>0.96</v>
      </c>
      <c r="I118" s="708">
        <v>827</v>
      </c>
      <c r="J118" s="708">
        <f t="shared" si="7"/>
        <v>793.92</v>
      </c>
      <c r="K118" s="708">
        <f t="shared" si="11"/>
        <v>7836.4454412293517</v>
      </c>
      <c r="L118" s="624"/>
      <c r="M118" s="439"/>
      <c r="N118" s="731"/>
      <c r="O118" s="764"/>
      <c r="P118" s="721"/>
      <c r="Q118" s="733"/>
    </row>
    <row r="119" spans="1:17" ht="16.5" customHeight="1">
      <c r="A119" s="707">
        <f t="shared" si="9"/>
        <v>114</v>
      </c>
      <c r="B119" s="291" t="s">
        <v>662</v>
      </c>
      <c r="C119" s="722">
        <v>41898</v>
      </c>
      <c r="D119" s="722" t="s">
        <v>685</v>
      </c>
      <c r="E119" s="904">
        <v>39</v>
      </c>
      <c r="F119" s="905">
        <v>25</v>
      </c>
      <c r="G119" s="905">
        <v>44</v>
      </c>
      <c r="H119" s="826">
        <f t="shared" si="10"/>
        <v>0.96</v>
      </c>
      <c r="I119" s="708">
        <v>1700</v>
      </c>
      <c r="J119" s="708">
        <f t="shared" si="7"/>
        <v>1632</v>
      </c>
      <c r="K119" s="708">
        <f t="shared" si="11"/>
        <v>7836.4454412293517</v>
      </c>
      <c r="L119" s="624"/>
      <c r="M119" s="439"/>
      <c r="N119" s="731"/>
      <c r="O119" s="764"/>
      <c r="P119" s="721"/>
      <c r="Q119" s="733"/>
    </row>
    <row r="120" spans="1:17" ht="16.5" customHeight="1">
      <c r="A120" s="707">
        <f t="shared" si="9"/>
        <v>115</v>
      </c>
      <c r="B120" s="291" t="s">
        <v>623</v>
      </c>
      <c r="C120" s="722">
        <v>41898</v>
      </c>
      <c r="D120" s="722" t="s">
        <v>685</v>
      </c>
      <c r="E120" s="904">
        <v>30</v>
      </c>
      <c r="F120" s="905">
        <v>20</v>
      </c>
      <c r="G120" s="905"/>
      <c r="H120" s="826">
        <f t="shared" si="10"/>
        <v>0.06</v>
      </c>
      <c r="I120" s="708">
        <v>10500</v>
      </c>
      <c r="J120" s="708">
        <f t="shared" si="7"/>
        <v>630</v>
      </c>
      <c r="K120" s="708">
        <f t="shared" si="11"/>
        <v>489.77784007683448</v>
      </c>
      <c r="L120" s="624"/>
      <c r="M120" s="439"/>
      <c r="N120" s="731"/>
      <c r="O120" s="764"/>
      <c r="P120" s="721"/>
      <c r="Q120" s="733"/>
    </row>
    <row r="121" spans="1:17" ht="16.5" customHeight="1">
      <c r="A121" s="707">
        <f t="shared" si="9"/>
        <v>116</v>
      </c>
      <c r="B121" s="192" t="s">
        <v>686</v>
      </c>
      <c r="C121" s="722">
        <v>41899</v>
      </c>
      <c r="D121" s="722" t="s">
        <v>687</v>
      </c>
      <c r="E121" s="904">
        <v>70.5</v>
      </c>
      <c r="F121" s="905">
        <v>47.5</v>
      </c>
      <c r="G121" s="905">
        <v>46</v>
      </c>
      <c r="H121" s="826">
        <f t="shared" si="10"/>
        <v>2.33</v>
      </c>
      <c r="I121" s="708">
        <v>833</v>
      </c>
      <c r="J121" s="708">
        <f t="shared" si="7"/>
        <v>1940.89</v>
      </c>
      <c r="K121" s="708">
        <f t="shared" si="11"/>
        <v>19019.706122983738</v>
      </c>
      <c r="L121" s="624"/>
      <c r="M121" s="439"/>
      <c r="N121" s="731"/>
      <c r="O121" s="764"/>
      <c r="P121" s="721"/>
      <c r="Q121" s="733"/>
    </row>
    <row r="122" spans="1:17" ht="16.5" customHeight="1">
      <c r="A122" s="707">
        <f t="shared" si="9"/>
        <v>117</v>
      </c>
      <c r="B122" s="192" t="s">
        <v>487</v>
      </c>
      <c r="C122" s="722">
        <v>41900</v>
      </c>
      <c r="D122" s="722" t="s">
        <v>689</v>
      </c>
      <c r="E122" s="904">
        <v>43</v>
      </c>
      <c r="F122" s="905">
        <v>27.5</v>
      </c>
      <c r="G122" s="905">
        <v>33</v>
      </c>
      <c r="H122" s="826">
        <f t="shared" si="10"/>
        <v>0.93</v>
      </c>
      <c r="I122" s="708">
        <v>195</v>
      </c>
      <c r="J122" s="708">
        <f t="shared" si="7"/>
        <v>181.35000000000002</v>
      </c>
      <c r="K122" s="708">
        <f t="shared" si="11"/>
        <v>7591.5565211909352</v>
      </c>
      <c r="L122" s="624"/>
      <c r="M122" s="439"/>
      <c r="N122" s="731"/>
      <c r="O122" s="764"/>
      <c r="P122" s="721"/>
      <c r="Q122" s="733"/>
    </row>
    <row r="123" spans="1:17" ht="16.5" customHeight="1">
      <c r="A123" s="707">
        <f t="shared" si="9"/>
        <v>118</v>
      </c>
      <c r="B123" s="291" t="s">
        <v>494</v>
      </c>
      <c r="C123" s="722">
        <v>41900</v>
      </c>
      <c r="D123" s="722" t="s">
        <v>689</v>
      </c>
      <c r="E123" s="904">
        <v>42</v>
      </c>
      <c r="F123" s="905">
        <v>26</v>
      </c>
      <c r="G123" s="905">
        <v>33</v>
      </c>
      <c r="H123" s="826">
        <f t="shared" si="10"/>
        <v>0.87</v>
      </c>
      <c r="I123" s="708">
        <v>300</v>
      </c>
      <c r="J123" s="708">
        <f t="shared" si="7"/>
        <v>261</v>
      </c>
      <c r="K123" s="708">
        <f t="shared" si="11"/>
        <v>7101.7786811141004</v>
      </c>
      <c r="L123" s="624"/>
      <c r="M123" s="439"/>
      <c r="N123" s="731"/>
      <c r="O123" s="764"/>
      <c r="P123" s="721"/>
      <c r="Q123" s="733"/>
    </row>
    <row r="124" spans="1:17" ht="16.5" customHeight="1">
      <c r="A124" s="707">
        <f t="shared" si="9"/>
        <v>119</v>
      </c>
      <c r="B124" s="291" t="s">
        <v>690</v>
      </c>
      <c r="C124" s="722">
        <v>41904</v>
      </c>
      <c r="D124" s="722" t="s">
        <v>691</v>
      </c>
      <c r="E124" s="904">
        <v>45</v>
      </c>
      <c r="F124" s="905">
        <v>34.5</v>
      </c>
      <c r="G124" s="905">
        <v>7.2</v>
      </c>
      <c r="H124" s="826">
        <f t="shared" si="10"/>
        <v>0.73</v>
      </c>
      <c r="I124" s="708">
        <v>314</v>
      </c>
      <c r="J124" s="708">
        <f t="shared" si="7"/>
        <v>229.22</v>
      </c>
      <c r="K124" s="708">
        <f t="shared" si="11"/>
        <v>5958.9637209348193</v>
      </c>
      <c r="L124" s="624"/>
      <c r="M124" s="439"/>
      <c r="N124" s="731"/>
      <c r="O124" s="764"/>
      <c r="P124" s="721"/>
      <c r="Q124" s="733"/>
    </row>
    <row r="125" spans="1:17" ht="16.5" customHeight="1">
      <c r="A125" s="707">
        <f t="shared" si="9"/>
        <v>120</v>
      </c>
      <c r="B125" s="291" t="s">
        <v>692</v>
      </c>
      <c r="C125" s="722">
        <v>41904</v>
      </c>
      <c r="D125" s="722" t="s">
        <v>691</v>
      </c>
      <c r="E125" s="904">
        <v>51.5</v>
      </c>
      <c r="F125" s="905">
        <v>28.5</v>
      </c>
      <c r="G125" s="905">
        <v>7.7</v>
      </c>
      <c r="H125" s="826">
        <f t="shared" si="10"/>
        <v>0.65</v>
      </c>
      <c r="I125" s="708">
        <v>103</v>
      </c>
      <c r="J125" s="708">
        <f t="shared" si="7"/>
        <v>66.95</v>
      </c>
      <c r="K125" s="708">
        <f t="shared" si="11"/>
        <v>5305.9266008323739</v>
      </c>
      <c r="L125" s="624"/>
      <c r="M125" s="439"/>
      <c r="N125" s="731"/>
      <c r="O125" s="764"/>
      <c r="P125" s="721"/>
      <c r="Q125" s="733"/>
    </row>
    <row r="126" spans="1:17" ht="16.5" customHeight="1">
      <c r="A126" s="707">
        <f t="shared" si="9"/>
        <v>121</v>
      </c>
      <c r="B126" s="291" t="s">
        <v>693</v>
      </c>
      <c r="C126" s="722">
        <v>41904</v>
      </c>
      <c r="D126" s="722" t="s">
        <v>691</v>
      </c>
      <c r="E126" s="904">
        <v>32.5</v>
      </c>
      <c r="F126" s="905">
        <v>30.5</v>
      </c>
      <c r="G126" s="905">
        <v>7.5</v>
      </c>
      <c r="H126" s="826">
        <f t="shared" si="10"/>
        <v>0.54</v>
      </c>
      <c r="I126" s="708">
        <v>497</v>
      </c>
      <c r="J126" s="708">
        <f t="shared" si="7"/>
        <v>268.38</v>
      </c>
      <c r="K126" s="708">
        <f t="shared" si="11"/>
        <v>4408.0005606915111</v>
      </c>
      <c r="L126" s="624"/>
      <c r="M126" s="439"/>
      <c r="N126" s="731"/>
      <c r="O126" s="764"/>
      <c r="P126" s="721"/>
      <c r="Q126" s="733"/>
    </row>
    <row r="127" spans="1:17" ht="16.5" customHeight="1">
      <c r="A127" s="707">
        <f t="shared" si="9"/>
        <v>122</v>
      </c>
      <c r="B127" s="291" t="s">
        <v>694</v>
      </c>
      <c r="C127" s="722">
        <v>41904</v>
      </c>
      <c r="D127" s="722" t="s">
        <v>691</v>
      </c>
      <c r="E127" s="904">
        <v>42</v>
      </c>
      <c r="F127" s="905">
        <v>23.5</v>
      </c>
      <c r="G127" s="905">
        <v>8</v>
      </c>
      <c r="H127" s="826">
        <f t="shared" si="10"/>
        <v>0.47</v>
      </c>
      <c r="I127" s="708">
        <v>300</v>
      </c>
      <c r="J127" s="708">
        <f t="shared" si="7"/>
        <v>141</v>
      </c>
      <c r="K127" s="708">
        <f t="shared" si="11"/>
        <v>3836.59308060187</v>
      </c>
      <c r="L127" s="624"/>
      <c r="M127" s="439"/>
      <c r="N127" s="731"/>
      <c r="O127" s="764"/>
      <c r="P127" s="721"/>
      <c r="Q127" s="733"/>
    </row>
    <row r="128" spans="1:17" ht="16.5" customHeight="1">
      <c r="A128" s="707">
        <f t="shared" si="9"/>
        <v>123</v>
      </c>
      <c r="B128" s="291" t="s">
        <v>695</v>
      </c>
      <c r="C128" s="722">
        <v>41905</v>
      </c>
      <c r="D128" s="722" t="s">
        <v>696</v>
      </c>
      <c r="E128" s="904">
        <v>76</v>
      </c>
      <c r="F128" s="905">
        <v>55</v>
      </c>
      <c r="G128" s="905">
        <v>33</v>
      </c>
      <c r="H128" s="826">
        <f t="shared" si="10"/>
        <v>2.4300000000000002</v>
      </c>
      <c r="I128" s="708">
        <v>184</v>
      </c>
      <c r="J128" s="708">
        <f t="shared" si="7"/>
        <v>447.12</v>
      </c>
      <c r="K128" s="708">
        <f t="shared" si="11"/>
        <v>19836.002523111798</v>
      </c>
      <c r="L128" s="624"/>
      <c r="M128" s="439"/>
      <c r="N128" s="731"/>
      <c r="O128" s="764"/>
      <c r="P128" s="721"/>
      <c r="Q128" s="733"/>
    </row>
    <row r="129" spans="1:17" ht="16.5" customHeight="1">
      <c r="A129" s="707">
        <f t="shared" si="9"/>
        <v>124</v>
      </c>
      <c r="B129" s="291" t="s">
        <v>746</v>
      </c>
      <c r="C129" s="722">
        <v>41905</v>
      </c>
      <c r="D129" s="722" t="s">
        <v>696</v>
      </c>
      <c r="E129" s="904">
        <v>60</v>
      </c>
      <c r="F129" s="905">
        <v>25</v>
      </c>
      <c r="G129" s="905"/>
      <c r="H129" s="826">
        <f t="shared" si="10"/>
        <v>0.15</v>
      </c>
      <c r="I129" s="708">
        <v>368</v>
      </c>
      <c r="J129" s="708">
        <f t="shared" si="7"/>
        <v>55.199999999999996</v>
      </c>
      <c r="K129" s="708">
        <f t="shared" si="11"/>
        <v>1224.4446001920862</v>
      </c>
      <c r="L129" s="624"/>
      <c r="M129" s="439"/>
      <c r="N129" s="731"/>
      <c r="O129" s="764"/>
      <c r="P129" s="721"/>
      <c r="Q129" s="733"/>
    </row>
    <row r="130" spans="1:17" ht="16.5" customHeight="1">
      <c r="A130" s="707">
        <f t="shared" si="9"/>
        <v>125</v>
      </c>
      <c r="B130" s="291" t="s">
        <v>682</v>
      </c>
      <c r="C130" s="722">
        <v>41905</v>
      </c>
      <c r="D130" s="722" t="s">
        <v>697</v>
      </c>
      <c r="E130" s="904">
        <v>86</v>
      </c>
      <c r="F130" s="905">
        <v>64</v>
      </c>
      <c r="G130" s="905">
        <v>33</v>
      </c>
      <c r="H130" s="826">
        <f t="shared" si="10"/>
        <v>3.05</v>
      </c>
      <c r="I130" s="708">
        <v>13</v>
      </c>
      <c r="J130" s="708">
        <f t="shared" si="7"/>
        <v>39.65</v>
      </c>
      <c r="K130" s="708">
        <f t="shared" si="11"/>
        <v>24897.040203905752</v>
      </c>
      <c r="L130" s="624"/>
      <c r="M130" s="439"/>
      <c r="N130" s="731"/>
      <c r="O130" s="764"/>
      <c r="P130" s="721"/>
      <c r="Q130" s="733"/>
    </row>
    <row r="131" spans="1:17" ht="16.5" customHeight="1">
      <c r="A131" s="707">
        <f t="shared" si="9"/>
        <v>126</v>
      </c>
      <c r="B131" s="291" t="s">
        <v>515</v>
      </c>
      <c r="C131" s="722">
        <v>41907</v>
      </c>
      <c r="D131" s="722" t="s">
        <v>698</v>
      </c>
      <c r="E131" s="904">
        <v>59</v>
      </c>
      <c r="F131" s="905">
        <v>38</v>
      </c>
      <c r="G131" s="905">
        <v>17</v>
      </c>
      <c r="H131" s="826">
        <f t="shared" si="10"/>
        <v>1.1499999999999999</v>
      </c>
      <c r="I131" s="708">
        <v>994</v>
      </c>
      <c r="J131" s="708">
        <f t="shared" si="7"/>
        <v>1143.0999999999999</v>
      </c>
      <c r="K131" s="708">
        <f t="shared" si="11"/>
        <v>9387.4086014726599</v>
      </c>
      <c r="L131" s="624"/>
      <c r="M131" s="439"/>
      <c r="N131" s="731"/>
      <c r="O131" s="764"/>
      <c r="P131" s="721"/>
      <c r="Q131" s="733"/>
    </row>
    <row r="132" spans="1:17" ht="16.5" customHeight="1">
      <c r="A132" s="707">
        <f t="shared" si="9"/>
        <v>127</v>
      </c>
      <c r="B132" s="291" t="s">
        <v>639</v>
      </c>
      <c r="C132" s="722">
        <v>41908</v>
      </c>
      <c r="D132" s="722" t="s">
        <v>699</v>
      </c>
      <c r="E132" s="904">
        <v>22</v>
      </c>
      <c r="F132" s="905">
        <v>22</v>
      </c>
      <c r="G132" s="905">
        <v>29.5</v>
      </c>
      <c r="H132" s="826">
        <f t="shared" si="10"/>
        <v>0.51</v>
      </c>
      <c r="I132" s="708">
        <v>1500</v>
      </c>
      <c r="J132" s="708">
        <f t="shared" si="7"/>
        <v>765</v>
      </c>
      <c r="K132" s="708">
        <f t="shared" si="11"/>
        <v>4163.1116406530937</v>
      </c>
      <c r="L132" s="624"/>
      <c r="M132" s="439"/>
      <c r="N132" s="731"/>
      <c r="O132" s="764"/>
      <c r="P132" s="721"/>
      <c r="Q132" s="733"/>
    </row>
    <row r="133" spans="1:17" ht="16.5" customHeight="1">
      <c r="A133" s="707">
        <f t="shared" si="9"/>
        <v>128</v>
      </c>
      <c r="B133" s="291" t="s">
        <v>500</v>
      </c>
      <c r="C133" s="722">
        <v>41908</v>
      </c>
      <c r="D133" s="722" t="s">
        <v>700</v>
      </c>
      <c r="E133" s="904">
        <v>51.5</v>
      </c>
      <c r="F133" s="905">
        <v>25</v>
      </c>
      <c r="G133" s="905">
        <v>25.2</v>
      </c>
      <c r="H133" s="826">
        <f t="shared" si="10"/>
        <v>0.84</v>
      </c>
      <c r="I133" s="708">
        <v>399</v>
      </c>
      <c r="J133" s="708">
        <f t="shared" si="7"/>
        <v>335.15999999999997</v>
      </c>
      <c r="K133" s="708">
        <f t="shared" si="11"/>
        <v>6856.8897610756831</v>
      </c>
      <c r="L133" s="624"/>
      <c r="M133" s="439"/>
      <c r="N133" s="731"/>
      <c r="O133" s="764"/>
      <c r="P133" s="721"/>
      <c r="Q133" s="733"/>
    </row>
    <row r="134" spans="1:17" ht="16.5" customHeight="1">
      <c r="A134" s="707">
        <f t="shared" si="9"/>
        <v>129</v>
      </c>
      <c r="B134" s="189" t="s">
        <v>503</v>
      </c>
      <c r="C134" s="722">
        <v>41908</v>
      </c>
      <c r="D134" s="722" t="s">
        <v>700</v>
      </c>
      <c r="E134" s="904">
        <v>51.5</v>
      </c>
      <c r="F134" s="905">
        <v>26</v>
      </c>
      <c r="G134" s="905">
        <v>27</v>
      </c>
      <c r="H134" s="826">
        <f t="shared" si="10"/>
        <v>0.9</v>
      </c>
      <c r="I134" s="708">
        <v>295</v>
      </c>
      <c r="J134" s="708">
        <f t="shared" ref="J134:J155" si="12">H134*I134</f>
        <v>265.5</v>
      </c>
      <c r="K134" s="708">
        <f t="shared" ref="K134:K155" si="13">H134*$Q$35</f>
        <v>7346.6676011525178</v>
      </c>
      <c r="L134" s="624"/>
      <c r="M134" s="439"/>
      <c r="N134" s="731"/>
      <c r="O134" s="764"/>
      <c r="P134" s="721"/>
      <c r="Q134" s="733"/>
    </row>
    <row r="135" spans="1:17" ht="16.5" customHeight="1">
      <c r="A135" s="707">
        <f t="shared" ref="A135:A155" si="14">IF(B135&lt;&gt;"",A134+1,"")</f>
        <v>130</v>
      </c>
      <c r="B135" s="291" t="s">
        <v>504</v>
      </c>
      <c r="C135" s="722">
        <v>41908</v>
      </c>
      <c r="D135" s="722" t="s">
        <v>700</v>
      </c>
      <c r="E135" s="904">
        <v>51.5</v>
      </c>
      <c r="F135" s="905">
        <v>27</v>
      </c>
      <c r="G135" s="905">
        <v>27.5</v>
      </c>
      <c r="H135" s="826">
        <f t="shared" ref="H135:H155" si="15">IF(G135&lt;&gt;"",ROUND(((E135+F135)*2+5)*(F135+G135+3)/10000,2),ROUND(E135*F135/10000,2))</f>
        <v>0.93</v>
      </c>
      <c r="I135" s="708">
        <v>200</v>
      </c>
      <c r="J135" s="708">
        <f t="shared" si="12"/>
        <v>186</v>
      </c>
      <c r="K135" s="708">
        <f t="shared" si="13"/>
        <v>7591.5565211909352</v>
      </c>
      <c r="L135" s="624"/>
      <c r="M135" s="439"/>
      <c r="N135" s="731"/>
      <c r="O135" s="764"/>
      <c r="P135" s="721"/>
      <c r="Q135" s="733"/>
    </row>
    <row r="136" spans="1:17" ht="16.5" customHeight="1">
      <c r="A136" s="707">
        <f t="shared" si="14"/>
        <v>131</v>
      </c>
      <c r="B136" s="291" t="s">
        <v>406</v>
      </c>
      <c r="C136" s="722">
        <v>41908</v>
      </c>
      <c r="D136" s="722" t="s">
        <v>700</v>
      </c>
      <c r="E136" s="904">
        <v>52</v>
      </c>
      <c r="F136" s="905">
        <v>33</v>
      </c>
      <c r="G136" s="905">
        <v>22</v>
      </c>
      <c r="H136" s="826">
        <f t="shared" si="15"/>
        <v>1.02</v>
      </c>
      <c r="I136" s="708">
        <v>298</v>
      </c>
      <c r="J136" s="708">
        <f t="shared" si="12"/>
        <v>303.95999999999998</v>
      </c>
      <c r="K136" s="708">
        <f t="shared" si="13"/>
        <v>8326.2232813061873</v>
      </c>
      <c r="L136" s="624"/>
      <c r="M136" s="439"/>
      <c r="N136" s="731"/>
      <c r="O136" s="764"/>
      <c r="P136" s="721"/>
      <c r="Q136" s="733"/>
    </row>
    <row r="137" spans="1:17" ht="16.5" customHeight="1">
      <c r="A137" s="707">
        <f t="shared" si="14"/>
        <v>132</v>
      </c>
      <c r="B137" s="291" t="s">
        <v>701</v>
      </c>
      <c r="C137" s="722">
        <v>41908</v>
      </c>
      <c r="D137" s="722" t="s">
        <v>700</v>
      </c>
      <c r="E137" s="904">
        <v>51.5</v>
      </c>
      <c r="F137" s="905">
        <v>22</v>
      </c>
      <c r="G137" s="905">
        <v>22</v>
      </c>
      <c r="H137" s="826">
        <f t="shared" si="15"/>
        <v>0.71</v>
      </c>
      <c r="I137" s="708">
        <v>360</v>
      </c>
      <c r="J137" s="708">
        <f t="shared" si="12"/>
        <v>255.6</v>
      </c>
      <c r="K137" s="708">
        <f t="shared" si="13"/>
        <v>5795.7044409092077</v>
      </c>
      <c r="L137" s="624"/>
      <c r="M137" s="439"/>
      <c r="N137" s="731"/>
      <c r="O137" s="764"/>
      <c r="P137" s="721"/>
      <c r="Q137" s="733"/>
    </row>
    <row r="138" spans="1:17" ht="16.5" customHeight="1">
      <c r="A138" s="707">
        <f t="shared" si="14"/>
        <v>133</v>
      </c>
      <c r="B138" s="291" t="s">
        <v>436</v>
      </c>
      <c r="C138" s="722">
        <v>41908</v>
      </c>
      <c r="D138" s="722" t="s">
        <v>702</v>
      </c>
      <c r="E138" s="904">
        <v>49</v>
      </c>
      <c r="F138" s="905">
        <v>38</v>
      </c>
      <c r="G138" s="905">
        <v>12</v>
      </c>
      <c r="H138" s="826">
        <f t="shared" si="15"/>
        <v>0.95</v>
      </c>
      <c r="I138" s="708">
        <v>498</v>
      </c>
      <c r="J138" s="708">
        <f t="shared" si="12"/>
        <v>473.09999999999997</v>
      </c>
      <c r="K138" s="708">
        <f t="shared" si="13"/>
        <v>7754.8158012165459</v>
      </c>
      <c r="L138" s="624"/>
      <c r="M138" s="439"/>
      <c r="N138" s="731"/>
      <c r="O138" s="764"/>
      <c r="P138" s="721"/>
      <c r="Q138" s="733"/>
    </row>
    <row r="139" spans="1:17" ht="16.5" customHeight="1">
      <c r="A139" s="707">
        <f t="shared" si="14"/>
        <v>134</v>
      </c>
      <c r="B139" s="291" t="s">
        <v>566</v>
      </c>
      <c r="C139" s="722">
        <v>41908</v>
      </c>
      <c r="D139" s="722" t="s">
        <v>702</v>
      </c>
      <c r="E139" s="904">
        <v>49</v>
      </c>
      <c r="F139" s="905">
        <v>38</v>
      </c>
      <c r="G139" s="905">
        <v>13</v>
      </c>
      <c r="H139" s="826">
        <f t="shared" si="15"/>
        <v>0.97</v>
      </c>
      <c r="I139" s="708">
        <v>493</v>
      </c>
      <c r="J139" s="708">
        <f t="shared" si="12"/>
        <v>478.21</v>
      </c>
      <c r="K139" s="708">
        <f t="shared" si="13"/>
        <v>7918.0750812421575</v>
      </c>
      <c r="L139" s="624"/>
      <c r="M139" s="439"/>
      <c r="N139" s="731"/>
      <c r="O139" s="764"/>
      <c r="P139" s="721"/>
      <c r="Q139" s="733"/>
    </row>
    <row r="140" spans="1:17" ht="16.5" customHeight="1">
      <c r="A140" s="707">
        <f t="shared" si="14"/>
        <v>135</v>
      </c>
      <c r="B140" s="291" t="s">
        <v>703</v>
      </c>
      <c r="C140" s="722">
        <v>41908</v>
      </c>
      <c r="D140" s="722" t="s">
        <v>704</v>
      </c>
      <c r="E140" s="904">
        <v>36.5</v>
      </c>
      <c r="F140" s="905">
        <v>29.5</v>
      </c>
      <c r="G140" s="905">
        <v>35</v>
      </c>
      <c r="H140" s="826">
        <f t="shared" si="15"/>
        <v>0.92</v>
      </c>
      <c r="I140" s="708">
        <v>51</v>
      </c>
      <c r="J140" s="708">
        <f t="shared" si="12"/>
        <v>46.92</v>
      </c>
      <c r="K140" s="708">
        <f t="shared" si="13"/>
        <v>7509.9268811781294</v>
      </c>
      <c r="L140" s="624"/>
      <c r="M140" s="439"/>
      <c r="N140" s="731"/>
      <c r="O140" s="764"/>
      <c r="P140" s="721"/>
      <c r="Q140" s="733"/>
    </row>
    <row r="141" spans="1:17" ht="16.5" customHeight="1">
      <c r="A141" s="707">
        <f t="shared" si="14"/>
        <v>136</v>
      </c>
      <c r="B141" s="291" t="s">
        <v>705</v>
      </c>
      <c r="C141" s="722">
        <v>41908</v>
      </c>
      <c r="D141" s="722" t="s">
        <v>704</v>
      </c>
      <c r="E141" s="904">
        <v>51.5</v>
      </c>
      <c r="F141" s="905">
        <v>44.5</v>
      </c>
      <c r="G141" s="905">
        <v>18</v>
      </c>
      <c r="H141" s="826">
        <f t="shared" si="15"/>
        <v>1.29</v>
      </c>
      <c r="I141" s="708">
        <v>313</v>
      </c>
      <c r="J141" s="708">
        <f t="shared" si="12"/>
        <v>403.77000000000004</v>
      </c>
      <c r="K141" s="708">
        <f t="shared" si="13"/>
        <v>10530.223561651941</v>
      </c>
      <c r="L141" s="624"/>
      <c r="M141" s="439"/>
      <c r="N141" s="731"/>
      <c r="O141" s="764"/>
      <c r="P141" s="938"/>
      <c r="Q141" s="733"/>
    </row>
    <row r="142" spans="1:17" ht="16.5" customHeight="1">
      <c r="A142" s="707">
        <f t="shared" si="14"/>
        <v>137</v>
      </c>
      <c r="B142" s="291" t="s">
        <v>706</v>
      </c>
      <c r="C142" s="722">
        <v>41908</v>
      </c>
      <c r="D142" s="722" t="s">
        <v>704</v>
      </c>
      <c r="E142" s="904">
        <v>36.5</v>
      </c>
      <c r="F142" s="904">
        <v>36.5</v>
      </c>
      <c r="G142" s="905">
        <v>25</v>
      </c>
      <c r="H142" s="826">
        <f t="shared" si="15"/>
        <v>0.97</v>
      </c>
      <c r="I142" s="708">
        <v>113</v>
      </c>
      <c r="J142" s="708">
        <f t="shared" si="12"/>
        <v>109.61</v>
      </c>
      <c r="K142" s="708">
        <f t="shared" si="13"/>
        <v>7918.0750812421575</v>
      </c>
      <c r="L142" s="624"/>
      <c r="M142" s="439"/>
      <c r="N142" s="731"/>
      <c r="O142" s="764"/>
      <c r="P142" s="938"/>
      <c r="Q142" s="733"/>
    </row>
    <row r="143" spans="1:17" ht="16.5" customHeight="1">
      <c r="A143" s="707">
        <f t="shared" si="14"/>
        <v>138</v>
      </c>
      <c r="B143" s="291" t="s">
        <v>707</v>
      </c>
      <c r="C143" s="722">
        <v>41908</v>
      </c>
      <c r="D143" s="722" t="s">
        <v>704</v>
      </c>
      <c r="E143" s="904">
        <v>46.5</v>
      </c>
      <c r="F143" s="905">
        <v>41.5</v>
      </c>
      <c r="G143" s="905">
        <v>27</v>
      </c>
      <c r="H143" s="826">
        <f t="shared" si="15"/>
        <v>1.29</v>
      </c>
      <c r="I143" s="708">
        <v>21</v>
      </c>
      <c r="J143" s="708">
        <f t="shared" si="12"/>
        <v>27.09</v>
      </c>
      <c r="K143" s="708">
        <f t="shared" si="13"/>
        <v>10530.223561651941</v>
      </c>
      <c r="L143" s="624"/>
      <c r="M143" s="439"/>
      <c r="N143" s="731"/>
      <c r="O143" s="764"/>
      <c r="P143" s="938"/>
      <c r="Q143" s="733"/>
    </row>
    <row r="144" spans="1:17" ht="16.5" customHeight="1">
      <c r="A144" s="707">
        <f t="shared" si="14"/>
        <v>139</v>
      </c>
      <c r="B144" s="291" t="s">
        <v>708</v>
      </c>
      <c r="C144" s="722">
        <v>41908</v>
      </c>
      <c r="D144" s="722" t="s">
        <v>704</v>
      </c>
      <c r="E144" s="904">
        <v>41.5</v>
      </c>
      <c r="F144" s="905">
        <v>38.5</v>
      </c>
      <c r="G144" s="905">
        <v>27</v>
      </c>
      <c r="H144" s="826">
        <f t="shared" si="15"/>
        <v>1.1299999999999999</v>
      </c>
      <c r="I144" s="708">
        <v>35</v>
      </c>
      <c r="J144" s="708">
        <f t="shared" si="12"/>
        <v>39.549999999999997</v>
      </c>
      <c r="K144" s="708">
        <f t="shared" si="13"/>
        <v>9224.1493214470484</v>
      </c>
      <c r="L144" s="624"/>
      <c r="M144" s="439"/>
      <c r="N144" s="731"/>
      <c r="O144" s="764"/>
      <c r="P144" s="940"/>
      <c r="Q144" s="733"/>
    </row>
    <row r="145" spans="1:17" ht="16.5" customHeight="1">
      <c r="A145" s="707">
        <f t="shared" si="14"/>
        <v>140</v>
      </c>
      <c r="B145" s="291" t="s">
        <v>709</v>
      </c>
      <c r="C145" s="722">
        <v>41908</v>
      </c>
      <c r="D145" s="722" t="s">
        <v>704</v>
      </c>
      <c r="E145" s="904">
        <v>43.5</v>
      </c>
      <c r="F145" s="905">
        <v>39.5</v>
      </c>
      <c r="G145" s="905">
        <v>27</v>
      </c>
      <c r="H145" s="826">
        <f t="shared" si="15"/>
        <v>1.19</v>
      </c>
      <c r="I145" s="708">
        <v>33</v>
      </c>
      <c r="J145" s="708">
        <f t="shared" si="12"/>
        <v>39.269999999999996</v>
      </c>
      <c r="K145" s="708">
        <f t="shared" si="13"/>
        <v>9713.9271615238831</v>
      </c>
      <c r="L145" s="624"/>
      <c r="M145" s="439"/>
      <c r="N145" s="731"/>
      <c r="O145" s="764"/>
      <c r="P145" s="941"/>
      <c r="Q145" s="733"/>
    </row>
    <row r="146" spans="1:17" ht="16.5" customHeight="1">
      <c r="A146" s="707">
        <f t="shared" si="14"/>
        <v>141</v>
      </c>
      <c r="B146" s="291" t="s">
        <v>586</v>
      </c>
      <c r="C146" s="722">
        <v>41908</v>
      </c>
      <c r="D146" s="722" t="s">
        <v>704</v>
      </c>
      <c r="E146" s="904">
        <v>45.5</v>
      </c>
      <c r="F146" s="905">
        <v>41.5</v>
      </c>
      <c r="G146" s="905">
        <v>25</v>
      </c>
      <c r="H146" s="826">
        <f t="shared" si="15"/>
        <v>1.24</v>
      </c>
      <c r="I146" s="708">
        <v>762</v>
      </c>
      <c r="J146" s="708">
        <f t="shared" si="12"/>
        <v>944.88</v>
      </c>
      <c r="K146" s="708">
        <f t="shared" si="13"/>
        <v>10122.075361587913</v>
      </c>
      <c r="L146" s="624"/>
      <c r="M146" s="439"/>
      <c r="N146" s="731"/>
      <c r="O146" s="764"/>
      <c r="P146" s="941"/>
      <c r="Q146" s="733"/>
    </row>
    <row r="147" spans="1:17" ht="16.5" customHeight="1">
      <c r="A147" s="707">
        <f t="shared" si="14"/>
        <v>142</v>
      </c>
      <c r="B147" s="291" t="s">
        <v>710</v>
      </c>
      <c r="C147" s="722">
        <v>41908</v>
      </c>
      <c r="D147" s="722" t="s">
        <v>704</v>
      </c>
      <c r="E147" s="904">
        <v>41</v>
      </c>
      <c r="F147" s="905">
        <v>37</v>
      </c>
      <c r="G147" s="905">
        <v>40</v>
      </c>
      <c r="H147" s="826">
        <f t="shared" si="15"/>
        <v>1.29</v>
      </c>
      <c r="I147" s="708">
        <v>145</v>
      </c>
      <c r="J147" s="708">
        <f t="shared" si="12"/>
        <v>187.05</v>
      </c>
      <c r="K147" s="708">
        <f t="shared" si="13"/>
        <v>10530.223561651941</v>
      </c>
      <c r="L147" s="624"/>
      <c r="M147" s="439"/>
      <c r="N147" s="731"/>
      <c r="O147" s="764"/>
      <c r="P147" s="941"/>
      <c r="Q147" s="733"/>
    </row>
    <row r="148" spans="1:17" ht="16.5" customHeight="1">
      <c r="A148" s="707">
        <f t="shared" si="14"/>
        <v>143</v>
      </c>
      <c r="B148" s="291" t="s">
        <v>459</v>
      </c>
      <c r="C148" s="722">
        <v>41909</v>
      </c>
      <c r="D148" s="722" t="s">
        <v>711</v>
      </c>
      <c r="E148" s="904">
        <v>55</v>
      </c>
      <c r="F148" s="905">
        <v>28</v>
      </c>
      <c r="G148" s="905">
        <v>23</v>
      </c>
      <c r="H148" s="826">
        <f t="shared" si="15"/>
        <v>0.92</v>
      </c>
      <c r="I148" s="708">
        <v>1007</v>
      </c>
      <c r="J148" s="708">
        <f t="shared" si="12"/>
        <v>926.44</v>
      </c>
      <c r="K148" s="708">
        <f t="shared" si="13"/>
        <v>7509.9268811781294</v>
      </c>
      <c r="L148" s="624"/>
      <c r="M148" s="439"/>
      <c r="N148" s="731"/>
      <c r="O148" s="764"/>
      <c r="P148" s="941"/>
      <c r="Q148" s="733"/>
    </row>
    <row r="149" spans="1:17" ht="16.5" customHeight="1">
      <c r="A149" s="707">
        <f t="shared" si="14"/>
        <v>144</v>
      </c>
      <c r="B149" s="291" t="s">
        <v>712</v>
      </c>
      <c r="C149" s="722">
        <v>41912</v>
      </c>
      <c r="D149" s="722" t="s">
        <v>713</v>
      </c>
      <c r="E149" s="904">
        <v>51</v>
      </c>
      <c r="F149" s="905">
        <v>37</v>
      </c>
      <c r="G149" s="905">
        <v>27</v>
      </c>
      <c r="H149" s="826">
        <f t="shared" si="15"/>
        <v>1.21</v>
      </c>
      <c r="I149" s="708">
        <v>264</v>
      </c>
      <c r="J149" s="708">
        <f t="shared" si="12"/>
        <v>319.44</v>
      </c>
      <c r="K149" s="708">
        <f t="shared" si="13"/>
        <v>9877.1864415494947</v>
      </c>
      <c r="L149" s="624"/>
      <c r="M149" s="439"/>
      <c r="N149" s="731"/>
      <c r="O149" s="764"/>
      <c r="P149" s="940"/>
      <c r="Q149" s="733"/>
    </row>
    <row r="150" spans="1:17" ht="16.5" customHeight="1">
      <c r="A150" s="707">
        <f t="shared" si="14"/>
        <v>145</v>
      </c>
      <c r="B150" s="291" t="s">
        <v>712</v>
      </c>
      <c r="C150" s="722">
        <v>41912</v>
      </c>
      <c r="D150" s="722" t="s">
        <v>713</v>
      </c>
      <c r="E150" s="904">
        <v>51</v>
      </c>
      <c r="F150" s="905">
        <v>37</v>
      </c>
      <c r="G150" s="905">
        <v>27</v>
      </c>
      <c r="H150" s="826">
        <f t="shared" si="15"/>
        <v>1.21</v>
      </c>
      <c r="I150" s="708">
        <v>169</v>
      </c>
      <c r="J150" s="708">
        <f t="shared" si="12"/>
        <v>204.48999999999998</v>
      </c>
      <c r="K150" s="708">
        <f t="shared" si="13"/>
        <v>9877.1864415494947</v>
      </c>
      <c r="L150" s="624"/>
      <c r="M150" s="439"/>
      <c r="N150" s="731"/>
      <c r="O150" s="764"/>
      <c r="P150" s="940"/>
      <c r="Q150" s="733"/>
    </row>
    <row r="151" spans="1:17" ht="16.5" customHeight="1">
      <c r="A151" s="707">
        <f t="shared" si="14"/>
        <v>146</v>
      </c>
      <c r="B151" s="291" t="s">
        <v>670</v>
      </c>
      <c r="C151" s="722">
        <v>41912</v>
      </c>
      <c r="D151" s="722" t="s">
        <v>715</v>
      </c>
      <c r="E151" s="904">
        <v>43</v>
      </c>
      <c r="F151" s="905">
        <v>31</v>
      </c>
      <c r="G151" s="905">
        <v>25</v>
      </c>
      <c r="H151" s="826">
        <f t="shared" si="15"/>
        <v>0.9</v>
      </c>
      <c r="I151" s="708">
        <v>993</v>
      </c>
      <c r="J151" s="708">
        <f t="shared" si="12"/>
        <v>893.7</v>
      </c>
      <c r="K151" s="708">
        <f t="shared" si="13"/>
        <v>7346.6676011525178</v>
      </c>
      <c r="L151" s="624"/>
      <c r="M151" s="439"/>
      <c r="N151" s="731"/>
      <c r="O151" s="764"/>
      <c r="P151" s="938"/>
      <c r="Q151" s="733"/>
    </row>
    <row r="152" spans="1:17" ht="16.5" customHeight="1">
      <c r="A152" s="707">
        <f t="shared" si="14"/>
        <v>147</v>
      </c>
      <c r="B152" s="291" t="s">
        <v>716</v>
      </c>
      <c r="C152" s="722">
        <v>41912</v>
      </c>
      <c r="D152" s="722" t="s">
        <v>717</v>
      </c>
      <c r="E152" s="904">
        <v>73</v>
      </c>
      <c r="F152" s="905">
        <v>59</v>
      </c>
      <c r="G152" s="905">
        <v>35</v>
      </c>
      <c r="H152" s="826">
        <f t="shared" si="15"/>
        <v>2.61</v>
      </c>
      <c r="I152" s="708">
        <v>247</v>
      </c>
      <c r="J152" s="708">
        <f t="shared" si="12"/>
        <v>644.66999999999996</v>
      </c>
      <c r="K152" s="708">
        <f t="shared" si="13"/>
        <v>21305.3360433423</v>
      </c>
      <c r="L152" s="624"/>
      <c r="M152" s="439"/>
      <c r="N152" s="731"/>
      <c r="O152" s="764"/>
      <c r="P152" s="721"/>
      <c r="Q152" s="733"/>
    </row>
    <row r="153" spans="1:17" ht="16.5" customHeight="1">
      <c r="A153" s="707">
        <f t="shared" si="14"/>
        <v>148</v>
      </c>
      <c r="B153" s="291" t="s">
        <v>692</v>
      </c>
      <c r="C153" s="722">
        <v>41912</v>
      </c>
      <c r="D153" s="722" t="s">
        <v>718</v>
      </c>
      <c r="E153" s="904">
        <v>51.5</v>
      </c>
      <c r="F153" s="905">
        <v>28.5</v>
      </c>
      <c r="G153" s="905">
        <v>7.7</v>
      </c>
      <c r="H153" s="826">
        <f t="shared" si="15"/>
        <v>0.65</v>
      </c>
      <c r="I153" s="708">
        <v>498</v>
      </c>
      <c r="J153" s="708">
        <f t="shared" si="12"/>
        <v>323.7</v>
      </c>
      <c r="K153" s="708">
        <f t="shared" si="13"/>
        <v>5305.9266008323739</v>
      </c>
      <c r="L153" s="624"/>
      <c r="M153" s="439"/>
      <c r="N153" s="731"/>
      <c r="O153" s="764"/>
      <c r="P153" s="942"/>
      <c r="Q153" s="733"/>
    </row>
    <row r="154" spans="1:17" ht="16.5" customHeight="1">
      <c r="A154" s="707">
        <f t="shared" si="14"/>
        <v>149</v>
      </c>
      <c r="B154" s="291" t="s">
        <v>693</v>
      </c>
      <c r="C154" s="722">
        <v>41912</v>
      </c>
      <c r="D154" s="722" t="s">
        <v>718</v>
      </c>
      <c r="E154" s="904">
        <v>32.5</v>
      </c>
      <c r="F154" s="905">
        <v>30.5</v>
      </c>
      <c r="G154" s="905">
        <v>7.5</v>
      </c>
      <c r="H154" s="826">
        <f t="shared" si="15"/>
        <v>0.54</v>
      </c>
      <c r="I154" s="708">
        <v>500</v>
      </c>
      <c r="J154" s="708">
        <f t="shared" si="12"/>
        <v>270</v>
      </c>
      <c r="K154" s="708">
        <f t="shared" si="13"/>
        <v>4408.0005606915111</v>
      </c>
      <c r="L154" s="624"/>
      <c r="M154" s="439"/>
      <c r="N154" s="731"/>
      <c r="O154" s="764"/>
      <c r="P154" s="942"/>
      <c r="Q154" s="733"/>
    </row>
    <row r="155" spans="1:17" ht="16.5" customHeight="1">
      <c r="A155" s="707">
        <f t="shared" si="14"/>
        <v>150</v>
      </c>
      <c r="B155" s="291" t="s">
        <v>719</v>
      </c>
      <c r="C155" s="722">
        <v>41912</v>
      </c>
      <c r="D155" s="722" t="s">
        <v>720</v>
      </c>
      <c r="E155" s="904">
        <v>45</v>
      </c>
      <c r="F155" s="905">
        <v>41</v>
      </c>
      <c r="G155" s="905">
        <v>44</v>
      </c>
      <c r="H155" s="826">
        <f t="shared" si="15"/>
        <v>1.56</v>
      </c>
      <c r="I155" s="708">
        <v>1000</v>
      </c>
      <c r="J155" s="708">
        <f t="shared" si="12"/>
        <v>1560</v>
      </c>
      <c r="K155" s="708">
        <f t="shared" si="13"/>
        <v>12734.223841997697</v>
      </c>
      <c r="L155" s="624"/>
      <c r="M155" s="439"/>
      <c r="N155" s="731"/>
      <c r="O155" s="764"/>
      <c r="P155" s="721"/>
      <c r="Q155" s="733"/>
    </row>
    <row r="156" spans="1:17" ht="16.5" customHeight="1">
      <c r="A156" s="707"/>
      <c r="B156" s="291"/>
      <c r="C156" s="723"/>
      <c r="D156" s="722"/>
      <c r="E156" s="25"/>
      <c r="F156" s="708"/>
      <c r="G156" s="708"/>
      <c r="H156" s="708"/>
      <c r="I156" s="708"/>
      <c r="J156" s="708"/>
      <c r="K156" s="708"/>
      <c r="L156" s="624"/>
      <c r="M156" s="439"/>
      <c r="N156" s="731"/>
      <c r="O156" s="764"/>
      <c r="P156" s="721"/>
      <c r="Q156" s="733"/>
    </row>
    <row r="157" spans="1:17" s="727" customFormat="1" ht="16.5" customHeight="1">
      <c r="A157" s="709"/>
      <c r="B157" s="710" t="s">
        <v>251</v>
      </c>
      <c r="C157" s="730"/>
      <c r="D157" s="822"/>
      <c r="E157" s="511"/>
      <c r="F157" s="511"/>
      <c r="G157" s="511"/>
      <c r="H157" s="830">
        <f>ROUND(SUM(H6:H156),2)</f>
        <v>162.36000000000001</v>
      </c>
      <c r="I157" s="511">
        <f>ROUND(SUM(I6:I156),2)</f>
        <v>111523</v>
      </c>
      <c r="J157" s="511">
        <f>ROUND(SUM(J6:J156),2)</f>
        <v>85180.53</v>
      </c>
      <c r="K157" s="511"/>
      <c r="L157" s="624"/>
      <c r="M157" s="439"/>
      <c r="N157" s="731"/>
      <c r="O157" s="764"/>
      <c r="P157" s="721"/>
      <c r="Q157" s="733"/>
    </row>
    <row r="158" spans="1:17" s="704" customFormat="1">
      <c r="A158" s="703"/>
      <c r="B158" s="703"/>
      <c r="C158" s="717"/>
      <c r="D158" s="818"/>
      <c r="E158" s="703"/>
      <c r="F158" s="703"/>
      <c r="G158" s="703"/>
      <c r="H158" s="703"/>
      <c r="I158" s="703"/>
      <c r="J158" s="703"/>
      <c r="K158" s="703"/>
      <c r="L158" s="624"/>
      <c r="M158" s="439"/>
      <c r="N158" s="731"/>
      <c r="O158" s="764"/>
      <c r="P158" s="721"/>
      <c r="Q158" s="733"/>
    </row>
    <row r="159" spans="1:17" s="704" customFormat="1">
      <c r="A159" s="711"/>
      <c r="B159" s="712"/>
      <c r="C159" s="717"/>
      <c r="D159" s="818"/>
      <c r="E159" s="705"/>
      <c r="F159" s="705"/>
      <c r="G159" s="705"/>
      <c r="H159" s="705"/>
      <c r="I159" s="705"/>
      <c r="J159" s="705"/>
      <c r="K159" s="705"/>
      <c r="L159" s="718"/>
      <c r="M159" s="439"/>
      <c r="N159" s="731"/>
      <c r="O159" s="764"/>
      <c r="P159" s="721"/>
      <c r="Q159" s="733"/>
    </row>
    <row r="160" spans="1:17" ht="18" hidden="1" customHeight="1">
      <c r="A160" s="547" t="str">
        <f>TH!$A$1</f>
        <v>Đơn vị: CÔNG TY TNHH SX TM KIM DUNG PHÁT</v>
      </c>
      <c r="B160" s="704"/>
      <c r="E160" s="288"/>
      <c r="F160" s="288"/>
      <c r="G160" s="288"/>
      <c r="H160" s="288"/>
      <c r="I160" s="561"/>
      <c r="J160" s="561"/>
      <c r="K160" s="288"/>
      <c r="L160" s="718"/>
      <c r="M160" s="439"/>
      <c r="N160" s="731"/>
      <c r="O160" s="764"/>
      <c r="P160" s="721"/>
      <c r="Q160" s="733"/>
    </row>
    <row r="161" spans="1:17" ht="18.75" customHeight="1">
      <c r="A161" s="705" t="s">
        <v>1261</v>
      </c>
      <c r="B161" s="705"/>
      <c r="E161" s="705"/>
      <c r="F161" s="705"/>
      <c r="G161" s="705"/>
      <c r="H161" s="705"/>
      <c r="I161" s="705"/>
      <c r="J161" s="705"/>
      <c r="K161" s="705"/>
      <c r="L161" s="718"/>
      <c r="M161" s="439"/>
      <c r="N161" s="731"/>
      <c r="O161" s="764"/>
      <c r="P161" s="721"/>
      <c r="Q161" s="733"/>
    </row>
    <row r="162" spans="1:17" ht="13.5" customHeight="1">
      <c r="A162" s="705"/>
      <c r="B162" s="706"/>
      <c r="E162" s="706"/>
      <c r="F162" s="706"/>
      <c r="G162" s="706"/>
      <c r="H162" s="706"/>
      <c r="I162" s="719"/>
      <c r="J162" s="719"/>
      <c r="K162" s="706"/>
      <c r="L162" s="718"/>
      <c r="M162" s="439"/>
      <c r="N162" s="731"/>
      <c r="O162" s="764"/>
      <c r="P162" s="721"/>
      <c r="Q162" s="733"/>
    </row>
    <row r="163" spans="1:17" s="436" customFormat="1" ht="21" customHeight="1">
      <c r="A163" s="1122" t="s">
        <v>35</v>
      </c>
      <c r="B163" s="1122" t="s">
        <v>242</v>
      </c>
      <c r="C163" s="1122" t="s">
        <v>1241</v>
      </c>
      <c r="D163" s="1122" t="s">
        <v>1242</v>
      </c>
      <c r="E163" s="1126" t="s">
        <v>1243</v>
      </c>
      <c r="F163" s="1127"/>
      <c r="G163" s="1127"/>
      <c r="H163" s="1128"/>
      <c r="I163" s="1122" t="s">
        <v>243</v>
      </c>
      <c r="J163" s="1129" t="s">
        <v>1244</v>
      </c>
      <c r="K163" s="1122" t="s">
        <v>1245</v>
      </c>
      <c r="L163" s="435"/>
      <c r="M163" s="1122" t="s">
        <v>242</v>
      </c>
      <c r="N163" s="1122" t="s">
        <v>1246</v>
      </c>
      <c r="O163" s="1122" t="s">
        <v>201</v>
      </c>
      <c r="P163" s="1122" t="s">
        <v>244</v>
      </c>
      <c r="Q163" s="1122" t="s">
        <v>250</v>
      </c>
    </row>
    <row r="164" spans="1:17" s="436" customFormat="1" ht="26.25" customHeight="1">
      <c r="A164" s="1122"/>
      <c r="B164" s="1122"/>
      <c r="C164" s="1122"/>
      <c r="D164" s="1122"/>
      <c r="E164" s="760" t="s">
        <v>1247</v>
      </c>
      <c r="F164" s="760" t="s">
        <v>1248</v>
      </c>
      <c r="G164" s="760" t="s">
        <v>1249</v>
      </c>
      <c r="H164" s="432" t="s">
        <v>1250</v>
      </c>
      <c r="I164" s="1122"/>
      <c r="J164" s="1130"/>
      <c r="K164" s="1122"/>
      <c r="L164" s="435"/>
      <c r="M164" s="1122"/>
      <c r="N164" s="1122"/>
      <c r="O164" s="1122"/>
      <c r="P164" s="1122"/>
      <c r="Q164" s="1122"/>
    </row>
    <row r="165" spans="1:17" ht="16.5" customHeight="1">
      <c r="A165" s="707">
        <v>1</v>
      </c>
      <c r="B165" s="291" t="s">
        <v>722</v>
      </c>
      <c r="C165" s="722">
        <v>41918</v>
      </c>
      <c r="D165" s="722" t="s">
        <v>723</v>
      </c>
      <c r="E165" s="904">
        <v>90</v>
      </c>
      <c r="F165" s="905">
        <v>56</v>
      </c>
      <c r="G165" s="905">
        <v>21</v>
      </c>
      <c r="H165" s="826">
        <f>IF(G165&lt;&gt;"",ROUND(((E165+F165)*2+5)*(F165+G165+3)/10000,2),ROUND(E165*F165/10000,2))</f>
        <v>2.38</v>
      </c>
      <c r="I165" s="708">
        <v>218</v>
      </c>
      <c r="J165" s="708">
        <f t="shared" ref="J165" si="16">H165*I165</f>
        <v>518.84</v>
      </c>
      <c r="K165" s="708">
        <f t="shared" ref="K165:K196" si="17">H165*$Q$198</f>
        <v>19576.720447858519</v>
      </c>
      <c r="L165" s="624"/>
      <c r="M165" s="192" t="s">
        <v>1012</v>
      </c>
      <c r="N165" s="184">
        <v>41913</v>
      </c>
      <c r="O165" s="254">
        <v>1777</v>
      </c>
      <c r="P165" s="254">
        <v>9450</v>
      </c>
      <c r="Q165" s="8">
        <f t="shared" ref="Q165" si="18">ROUND(O165*P165,0)</f>
        <v>16792650</v>
      </c>
    </row>
    <row r="166" spans="1:17" ht="16.5" customHeight="1">
      <c r="A166" s="707">
        <f t="shared" ref="A166:A228" si="19">IF(B166&lt;&gt;"",A165+1,"")</f>
        <v>2</v>
      </c>
      <c r="B166" s="291" t="s">
        <v>746</v>
      </c>
      <c r="C166" s="722">
        <v>41918</v>
      </c>
      <c r="D166" s="722" t="s">
        <v>723</v>
      </c>
      <c r="E166" s="904">
        <v>60</v>
      </c>
      <c r="F166" s="905">
        <v>25</v>
      </c>
      <c r="G166" s="905"/>
      <c r="H166" s="826">
        <f t="shared" ref="H166:H229" si="20">IF(G166&lt;&gt;"",ROUND(((E166+F166)*2+5)*(F166+G166+3)/10000,2),ROUND(E166*F166/10000,2))</f>
        <v>0.15</v>
      </c>
      <c r="I166" s="708">
        <v>436</v>
      </c>
      <c r="J166" s="708">
        <f t="shared" ref="J166:J229" si="21">H166*I166</f>
        <v>65.399999999999991</v>
      </c>
      <c r="K166" s="708">
        <f t="shared" si="17"/>
        <v>1233.8269189826799</v>
      </c>
      <c r="L166" s="624"/>
      <c r="M166" s="291" t="s">
        <v>1079</v>
      </c>
      <c r="N166" s="184">
        <v>41917</v>
      </c>
      <c r="O166" s="251">
        <v>1629</v>
      </c>
      <c r="P166" s="251">
        <v>9500</v>
      </c>
      <c r="Q166" s="8">
        <f t="shared" ref="Q166:Q178" si="22">ROUND(O166*P166,0)</f>
        <v>15475500</v>
      </c>
    </row>
    <row r="167" spans="1:17" ht="16.5" customHeight="1">
      <c r="A167" s="707">
        <f t="shared" si="19"/>
        <v>3</v>
      </c>
      <c r="B167" s="291" t="s">
        <v>724</v>
      </c>
      <c r="C167" s="722">
        <v>41918</v>
      </c>
      <c r="D167" s="722" t="s">
        <v>725</v>
      </c>
      <c r="E167" s="904">
        <v>36.5</v>
      </c>
      <c r="F167" s="905">
        <v>18.5</v>
      </c>
      <c r="G167" s="905">
        <v>20.5</v>
      </c>
      <c r="H167" s="826">
        <f t="shared" si="20"/>
        <v>0.48</v>
      </c>
      <c r="I167" s="708">
        <v>267</v>
      </c>
      <c r="J167" s="708">
        <f t="shared" si="21"/>
        <v>128.16</v>
      </c>
      <c r="K167" s="708">
        <f t="shared" si="17"/>
        <v>3948.2461407445753</v>
      </c>
      <c r="L167" s="624"/>
      <c r="M167" s="192" t="s">
        <v>1075</v>
      </c>
      <c r="N167" s="184">
        <v>41917</v>
      </c>
      <c r="O167" s="251">
        <v>1663</v>
      </c>
      <c r="P167" s="251">
        <v>7200</v>
      </c>
      <c r="Q167" s="8">
        <f t="shared" si="22"/>
        <v>11973600</v>
      </c>
    </row>
    <row r="168" spans="1:17" ht="16.5" customHeight="1">
      <c r="A168" s="707">
        <f t="shared" si="19"/>
        <v>4</v>
      </c>
      <c r="B168" s="291" t="s">
        <v>726</v>
      </c>
      <c r="C168" s="722">
        <v>41918</v>
      </c>
      <c r="D168" s="722" t="s">
        <v>725</v>
      </c>
      <c r="E168" s="904">
        <v>44</v>
      </c>
      <c r="F168" s="905">
        <v>18</v>
      </c>
      <c r="G168" s="905">
        <v>38</v>
      </c>
      <c r="H168" s="826">
        <f t="shared" si="20"/>
        <v>0.76</v>
      </c>
      <c r="I168" s="708">
        <v>120</v>
      </c>
      <c r="J168" s="708">
        <f t="shared" si="21"/>
        <v>91.2</v>
      </c>
      <c r="K168" s="708">
        <f t="shared" si="17"/>
        <v>6251.389722845578</v>
      </c>
      <c r="L168" s="624"/>
      <c r="M168" s="192" t="s">
        <v>1075</v>
      </c>
      <c r="N168" s="37">
        <v>41927</v>
      </c>
      <c r="O168" s="251">
        <v>1821</v>
      </c>
      <c r="P168" s="251">
        <v>7500</v>
      </c>
      <c r="Q168" s="8">
        <f t="shared" si="22"/>
        <v>13657500</v>
      </c>
    </row>
    <row r="169" spans="1:17" ht="16.5" customHeight="1">
      <c r="A169" s="707">
        <f t="shared" si="19"/>
        <v>5</v>
      </c>
      <c r="B169" s="291" t="s">
        <v>727</v>
      </c>
      <c r="C169" s="722">
        <v>41918</v>
      </c>
      <c r="D169" s="722" t="s">
        <v>725</v>
      </c>
      <c r="E169" s="904">
        <v>56</v>
      </c>
      <c r="F169" s="905">
        <v>28</v>
      </c>
      <c r="G169" s="905">
        <v>7</v>
      </c>
      <c r="H169" s="826">
        <f t="shared" si="20"/>
        <v>0.66</v>
      </c>
      <c r="I169" s="708">
        <v>230</v>
      </c>
      <c r="J169" s="708">
        <f t="shared" si="21"/>
        <v>151.80000000000001</v>
      </c>
      <c r="K169" s="708">
        <f t="shared" si="17"/>
        <v>5428.8384435237913</v>
      </c>
      <c r="L169" s="624"/>
      <c r="M169" s="192" t="s">
        <v>1012</v>
      </c>
      <c r="N169" s="37">
        <v>41927</v>
      </c>
      <c r="O169" s="251">
        <v>4879</v>
      </c>
      <c r="P169" s="251">
        <v>9600</v>
      </c>
      <c r="Q169" s="8">
        <f t="shared" si="22"/>
        <v>46838400</v>
      </c>
    </row>
    <row r="170" spans="1:17" ht="16.5" customHeight="1">
      <c r="A170" s="707">
        <f t="shared" si="19"/>
        <v>6</v>
      </c>
      <c r="B170" s="291" t="s">
        <v>728</v>
      </c>
      <c r="C170" s="722">
        <v>41918</v>
      </c>
      <c r="D170" s="722" t="s">
        <v>725</v>
      </c>
      <c r="E170" s="904">
        <v>46</v>
      </c>
      <c r="F170" s="905">
        <v>23</v>
      </c>
      <c r="G170" s="905">
        <v>7</v>
      </c>
      <c r="H170" s="826">
        <f t="shared" si="20"/>
        <v>0.47</v>
      </c>
      <c r="I170" s="708">
        <v>230</v>
      </c>
      <c r="J170" s="708">
        <f t="shared" si="21"/>
        <v>108.1</v>
      </c>
      <c r="K170" s="708">
        <f t="shared" si="17"/>
        <v>3865.9910128123965</v>
      </c>
      <c r="L170" s="624"/>
      <c r="M170" s="192" t="s">
        <v>1075</v>
      </c>
      <c r="N170" s="184">
        <v>41933</v>
      </c>
      <c r="O170" s="251">
        <v>14240</v>
      </c>
      <c r="P170" s="251">
        <v>8500</v>
      </c>
      <c r="Q170" s="8">
        <f t="shared" si="22"/>
        <v>121040000</v>
      </c>
    </row>
    <row r="171" spans="1:17" ht="16.5" customHeight="1">
      <c r="A171" s="707">
        <f t="shared" si="19"/>
        <v>7</v>
      </c>
      <c r="B171" s="291" t="s">
        <v>515</v>
      </c>
      <c r="C171" s="722">
        <v>41922</v>
      </c>
      <c r="D171" s="722" t="s">
        <v>730</v>
      </c>
      <c r="E171" s="904">
        <v>59</v>
      </c>
      <c r="F171" s="905">
        <v>38</v>
      </c>
      <c r="G171" s="905">
        <v>17</v>
      </c>
      <c r="H171" s="826">
        <f t="shared" si="20"/>
        <v>1.1499999999999999</v>
      </c>
      <c r="I171" s="708">
        <v>1996</v>
      </c>
      <c r="J171" s="708">
        <f t="shared" si="21"/>
        <v>2295.3999999999996</v>
      </c>
      <c r="K171" s="708">
        <f t="shared" si="17"/>
        <v>9459.3397122005445</v>
      </c>
      <c r="L171" s="624"/>
      <c r="M171" s="291" t="s">
        <v>1012</v>
      </c>
      <c r="N171" s="184">
        <v>41933</v>
      </c>
      <c r="O171" s="251">
        <v>5508</v>
      </c>
      <c r="P171" s="251">
        <v>9600</v>
      </c>
      <c r="Q171" s="8">
        <f t="shared" si="22"/>
        <v>52876800</v>
      </c>
    </row>
    <row r="172" spans="1:17" ht="16.5" customHeight="1">
      <c r="A172" s="707">
        <f t="shared" si="19"/>
        <v>8</v>
      </c>
      <c r="B172" s="291" t="s">
        <v>731</v>
      </c>
      <c r="C172" s="722">
        <v>41922</v>
      </c>
      <c r="D172" s="722" t="s">
        <v>732</v>
      </c>
      <c r="E172" s="904">
        <v>50</v>
      </c>
      <c r="F172" s="905">
        <v>25</v>
      </c>
      <c r="G172" s="905">
        <v>36.5</v>
      </c>
      <c r="H172" s="826">
        <f t="shared" si="20"/>
        <v>1</v>
      </c>
      <c r="I172" s="708">
        <v>600</v>
      </c>
      <c r="J172" s="708">
        <f t="shared" si="21"/>
        <v>600</v>
      </c>
      <c r="K172" s="708">
        <f t="shared" si="17"/>
        <v>8225.5127932178657</v>
      </c>
      <c r="L172" s="624"/>
      <c r="M172" s="192" t="s">
        <v>1012</v>
      </c>
      <c r="N172" s="184">
        <v>41939</v>
      </c>
      <c r="O172" s="251">
        <v>5195</v>
      </c>
      <c r="P172" s="251">
        <v>9600</v>
      </c>
      <c r="Q172" s="8">
        <f t="shared" si="22"/>
        <v>49872000</v>
      </c>
    </row>
    <row r="173" spans="1:17" ht="16.5" customHeight="1">
      <c r="A173" s="707">
        <f t="shared" si="19"/>
        <v>9</v>
      </c>
      <c r="B173" s="291" t="s">
        <v>662</v>
      </c>
      <c r="C173" s="722">
        <v>41922</v>
      </c>
      <c r="D173" s="722" t="s">
        <v>734</v>
      </c>
      <c r="E173" s="904">
        <v>39</v>
      </c>
      <c r="F173" s="905">
        <v>25</v>
      </c>
      <c r="G173" s="905">
        <v>44</v>
      </c>
      <c r="H173" s="826">
        <f t="shared" si="20"/>
        <v>0.96</v>
      </c>
      <c r="I173" s="708">
        <v>1932</v>
      </c>
      <c r="J173" s="708">
        <f t="shared" si="21"/>
        <v>1854.72</v>
      </c>
      <c r="K173" s="708">
        <f t="shared" si="17"/>
        <v>7896.4922814891506</v>
      </c>
      <c r="L173" s="624"/>
      <c r="M173" s="192" t="s">
        <v>1012</v>
      </c>
      <c r="N173" s="184">
        <v>41944</v>
      </c>
      <c r="O173" s="251">
        <v>6242</v>
      </c>
      <c r="P173" s="251">
        <v>9600</v>
      </c>
      <c r="Q173" s="8">
        <f t="shared" si="22"/>
        <v>59923200</v>
      </c>
    </row>
    <row r="174" spans="1:17" ht="16.5" customHeight="1">
      <c r="A174" s="707">
        <f t="shared" si="19"/>
        <v>10</v>
      </c>
      <c r="B174" s="291" t="s">
        <v>662</v>
      </c>
      <c r="C174" s="722">
        <v>41922</v>
      </c>
      <c r="D174" s="722" t="s">
        <v>734</v>
      </c>
      <c r="E174" s="904">
        <v>39</v>
      </c>
      <c r="F174" s="905">
        <v>25</v>
      </c>
      <c r="G174" s="905">
        <v>44</v>
      </c>
      <c r="H174" s="826">
        <f t="shared" si="20"/>
        <v>0.96</v>
      </c>
      <c r="I174" s="708">
        <v>593</v>
      </c>
      <c r="J174" s="708">
        <f t="shared" si="21"/>
        <v>569.28</v>
      </c>
      <c r="K174" s="708">
        <f t="shared" si="17"/>
        <v>7896.4922814891506</v>
      </c>
      <c r="L174" s="624"/>
      <c r="M174" s="192" t="s">
        <v>1012</v>
      </c>
      <c r="N174" s="184">
        <v>41950</v>
      </c>
      <c r="O174" s="254">
        <v>3526</v>
      </c>
      <c r="P174" s="254">
        <v>9600</v>
      </c>
      <c r="Q174" s="8">
        <f t="shared" si="22"/>
        <v>33849600</v>
      </c>
    </row>
    <row r="175" spans="1:17" ht="16.5" customHeight="1">
      <c r="A175" s="707">
        <f t="shared" si="19"/>
        <v>11</v>
      </c>
      <c r="B175" s="291" t="s">
        <v>735</v>
      </c>
      <c r="C175" s="722">
        <v>41922</v>
      </c>
      <c r="D175" s="722" t="s">
        <v>734</v>
      </c>
      <c r="E175" s="904">
        <v>39</v>
      </c>
      <c r="F175" s="905">
        <v>25</v>
      </c>
      <c r="G175" s="905">
        <v>33</v>
      </c>
      <c r="H175" s="826">
        <f t="shared" si="20"/>
        <v>0.81</v>
      </c>
      <c r="I175" s="708">
        <v>314</v>
      </c>
      <c r="J175" s="708">
        <f t="shared" si="21"/>
        <v>254.34</v>
      </c>
      <c r="K175" s="708">
        <f t="shared" si="17"/>
        <v>6662.6653625064719</v>
      </c>
      <c r="L175" s="624"/>
      <c r="M175" s="192" t="s">
        <v>1075</v>
      </c>
      <c r="N175" s="191">
        <v>41961</v>
      </c>
      <c r="O175" s="254">
        <f>8880+1210</f>
        <v>10090</v>
      </c>
      <c r="P175" s="254">
        <v>8500</v>
      </c>
      <c r="Q175" s="8">
        <f t="shared" si="22"/>
        <v>85765000</v>
      </c>
    </row>
    <row r="176" spans="1:17" ht="16.5" customHeight="1">
      <c r="A176" s="707">
        <f t="shared" si="19"/>
        <v>12</v>
      </c>
      <c r="B176" s="291" t="s">
        <v>662</v>
      </c>
      <c r="C176" s="722">
        <v>41922</v>
      </c>
      <c r="D176" s="722" t="s">
        <v>734</v>
      </c>
      <c r="E176" s="904">
        <v>39</v>
      </c>
      <c r="F176" s="905">
        <v>25</v>
      </c>
      <c r="G176" s="905">
        <v>44</v>
      </c>
      <c r="H176" s="826">
        <f t="shared" si="20"/>
        <v>0.96</v>
      </c>
      <c r="I176" s="708">
        <v>173</v>
      </c>
      <c r="J176" s="708">
        <f t="shared" si="21"/>
        <v>166.07999999999998</v>
      </c>
      <c r="K176" s="708">
        <f t="shared" si="17"/>
        <v>7896.4922814891506</v>
      </c>
      <c r="L176" s="624"/>
      <c r="M176" s="291" t="s">
        <v>1104</v>
      </c>
      <c r="N176" s="191">
        <v>41964</v>
      </c>
      <c r="O176" s="251">
        <v>2032</v>
      </c>
      <c r="P176" s="251">
        <v>11600</v>
      </c>
      <c r="Q176" s="8">
        <f t="shared" si="22"/>
        <v>23571200</v>
      </c>
    </row>
    <row r="177" spans="1:17" ht="16.5" customHeight="1">
      <c r="A177" s="707">
        <f t="shared" si="19"/>
        <v>13</v>
      </c>
      <c r="B177" s="291" t="s">
        <v>662</v>
      </c>
      <c r="C177" s="722">
        <v>41922</v>
      </c>
      <c r="D177" s="722" t="s">
        <v>734</v>
      </c>
      <c r="E177" s="904">
        <v>39</v>
      </c>
      <c r="F177" s="905">
        <v>25</v>
      </c>
      <c r="G177" s="905">
        <v>44</v>
      </c>
      <c r="H177" s="826">
        <f t="shared" si="20"/>
        <v>0.96</v>
      </c>
      <c r="I177" s="708">
        <v>287</v>
      </c>
      <c r="J177" s="708">
        <f t="shared" si="21"/>
        <v>275.52</v>
      </c>
      <c r="K177" s="708">
        <f t="shared" si="17"/>
        <v>7896.4922814891506</v>
      </c>
      <c r="L177" s="624"/>
      <c r="M177" s="291" t="s">
        <v>1012</v>
      </c>
      <c r="N177" s="191">
        <v>41974</v>
      </c>
      <c r="O177" s="251">
        <v>4756</v>
      </c>
      <c r="P177" s="251">
        <v>9600</v>
      </c>
      <c r="Q177" s="8">
        <f t="shared" si="22"/>
        <v>45657600</v>
      </c>
    </row>
    <row r="178" spans="1:17" ht="16.5" customHeight="1">
      <c r="A178" s="707">
        <f t="shared" si="19"/>
        <v>14</v>
      </c>
      <c r="B178" s="291" t="s">
        <v>735</v>
      </c>
      <c r="C178" s="722">
        <v>41922</v>
      </c>
      <c r="D178" s="722" t="s">
        <v>734</v>
      </c>
      <c r="E178" s="904">
        <v>39</v>
      </c>
      <c r="F178" s="905">
        <v>25</v>
      </c>
      <c r="G178" s="905">
        <v>33</v>
      </c>
      <c r="H178" s="826">
        <f t="shared" si="20"/>
        <v>0.81</v>
      </c>
      <c r="I178" s="708">
        <v>454</v>
      </c>
      <c r="J178" s="708">
        <f t="shared" si="21"/>
        <v>367.74</v>
      </c>
      <c r="K178" s="708">
        <f t="shared" si="17"/>
        <v>6662.6653625064719</v>
      </c>
      <c r="L178" s="624"/>
      <c r="M178" s="192" t="s">
        <v>1108</v>
      </c>
      <c r="N178" s="191">
        <v>41988</v>
      </c>
      <c r="O178" s="251">
        <v>1305</v>
      </c>
      <c r="P178" s="251">
        <v>9600</v>
      </c>
      <c r="Q178" s="8">
        <f t="shared" si="22"/>
        <v>12528000</v>
      </c>
    </row>
    <row r="179" spans="1:17" ht="16.5" customHeight="1">
      <c r="A179" s="707">
        <f t="shared" si="19"/>
        <v>15</v>
      </c>
      <c r="B179" s="291" t="s">
        <v>735</v>
      </c>
      <c r="C179" s="722">
        <v>41922</v>
      </c>
      <c r="D179" s="722" t="s">
        <v>734</v>
      </c>
      <c r="E179" s="904">
        <v>39</v>
      </c>
      <c r="F179" s="905">
        <v>25</v>
      </c>
      <c r="G179" s="905">
        <v>33</v>
      </c>
      <c r="H179" s="826">
        <f t="shared" si="20"/>
        <v>0.81</v>
      </c>
      <c r="I179" s="708">
        <v>160</v>
      </c>
      <c r="J179" s="708">
        <f t="shared" si="21"/>
        <v>129.60000000000002</v>
      </c>
      <c r="K179" s="708">
        <f t="shared" si="17"/>
        <v>6662.6653625064719</v>
      </c>
      <c r="L179" s="624"/>
      <c r="M179" s="438"/>
      <c r="N179" s="722"/>
      <c r="O179" s="761"/>
      <c r="P179" s="748"/>
      <c r="Q179" s="8"/>
    </row>
    <row r="180" spans="1:17" ht="16.5" customHeight="1">
      <c r="A180" s="707">
        <f t="shared" si="19"/>
        <v>16</v>
      </c>
      <c r="B180" s="291" t="s">
        <v>623</v>
      </c>
      <c r="C180" s="722">
        <v>41922</v>
      </c>
      <c r="D180" s="722" t="s">
        <v>734</v>
      </c>
      <c r="E180" s="904">
        <v>30</v>
      </c>
      <c r="F180" s="905">
        <v>20</v>
      </c>
      <c r="G180" s="905"/>
      <c r="H180" s="826">
        <f t="shared" si="20"/>
        <v>0.06</v>
      </c>
      <c r="I180" s="708">
        <v>4800</v>
      </c>
      <c r="J180" s="708">
        <f t="shared" si="21"/>
        <v>288</v>
      </c>
      <c r="K180" s="708">
        <f t="shared" si="17"/>
        <v>493.53076759307191</v>
      </c>
      <c r="L180" s="624"/>
      <c r="M180" s="827" t="s">
        <v>1251</v>
      </c>
      <c r="N180" s="828"/>
      <c r="O180" s="829"/>
      <c r="P180" s="511"/>
      <c r="Q180" s="511">
        <f>SUM(Q165:Q179)</f>
        <v>589821050</v>
      </c>
    </row>
    <row r="181" spans="1:17" ht="16.5" customHeight="1">
      <c r="A181" s="707">
        <f t="shared" si="19"/>
        <v>17</v>
      </c>
      <c r="B181" s="291" t="s">
        <v>706</v>
      </c>
      <c r="C181" s="722">
        <v>41926</v>
      </c>
      <c r="D181" s="722" t="s">
        <v>736</v>
      </c>
      <c r="E181" s="904">
        <v>36.5</v>
      </c>
      <c r="F181" s="905">
        <v>36.5</v>
      </c>
      <c r="G181" s="905">
        <v>25</v>
      </c>
      <c r="H181" s="826">
        <f t="shared" si="20"/>
        <v>0.97</v>
      </c>
      <c r="I181" s="708">
        <v>1635</v>
      </c>
      <c r="J181" s="708">
        <f t="shared" si="21"/>
        <v>1585.95</v>
      </c>
      <c r="K181" s="708">
        <f t="shared" si="17"/>
        <v>7978.7474094213294</v>
      </c>
      <c r="L181" s="624"/>
      <c r="M181" s="189" t="s">
        <v>1127</v>
      </c>
      <c r="N181" s="37">
        <v>41914</v>
      </c>
      <c r="O181" s="748">
        <v>110</v>
      </c>
      <c r="P181" s="748">
        <v>360000</v>
      </c>
      <c r="Q181" s="8">
        <f t="shared" ref="Q181:Q186" si="23">ROUND(O181*P181,0)</f>
        <v>39600000</v>
      </c>
    </row>
    <row r="182" spans="1:17" ht="16.5" customHeight="1">
      <c r="A182" s="707">
        <f t="shared" si="19"/>
        <v>18</v>
      </c>
      <c r="B182" s="291" t="s">
        <v>494</v>
      </c>
      <c r="C182" s="722">
        <v>41926</v>
      </c>
      <c r="D182" s="722" t="s">
        <v>737</v>
      </c>
      <c r="E182" s="904">
        <v>42</v>
      </c>
      <c r="F182" s="905">
        <v>24</v>
      </c>
      <c r="G182" s="905">
        <v>33</v>
      </c>
      <c r="H182" s="826">
        <f t="shared" si="20"/>
        <v>0.82</v>
      </c>
      <c r="I182" s="708">
        <v>197</v>
      </c>
      <c r="J182" s="708">
        <f t="shared" si="21"/>
        <v>161.54</v>
      </c>
      <c r="K182" s="708">
        <f t="shared" si="17"/>
        <v>6744.9204904386497</v>
      </c>
      <c r="L182" s="624"/>
      <c r="M182" s="189" t="s">
        <v>1017</v>
      </c>
      <c r="N182" s="37">
        <v>41914</v>
      </c>
      <c r="O182" s="748">
        <v>1500</v>
      </c>
      <c r="P182" s="748">
        <v>11000</v>
      </c>
      <c r="Q182" s="8">
        <f t="shared" si="23"/>
        <v>16500000</v>
      </c>
    </row>
    <row r="183" spans="1:17" ht="16.5" customHeight="1">
      <c r="A183" s="707">
        <f t="shared" si="19"/>
        <v>19</v>
      </c>
      <c r="B183" s="291" t="s">
        <v>512</v>
      </c>
      <c r="C183" s="722">
        <v>41926</v>
      </c>
      <c r="D183" s="722" t="s">
        <v>737</v>
      </c>
      <c r="E183" s="904">
        <v>32.5</v>
      </c>
      <c r="F183" s="905">
        <v>32.5</v>
      </c>
      <c r="G183" s="905">
        <v>16</v>
      </c>
      <c r="H183" s="826">
        <f t="shared" si="20"/>
        <v>0.7</v>
      </c>
      <c r="I183" s="708">
        <v>300</v>
      </c>
      <c r="J183" s="708">
        <f t="shared" si="21"/>
        <v>210</v>
      </c>
      <c r="K183" s="708">
        <f t="shared" si="17"/>
        <v>5757.8589552525054</v>
      </c>
      <c r="L183" s="624"/>
      <c r="M183" s="438" t="s">
        <v>1322</v>
      </c>
      <c r="N183" s="37">
        <v>41919</v>
      </c>
      <c r="O183" s="748">
        <v>100</v>
      </c>
      <c r="P183" s="748">
        <v>17500</v>
      </c>
      <c r="Q183" s="8">
        <f t="shared" si="23"/>
        <v>1750000</v>
      </c>
    </row>
    <row r="184" spans="1:17" ht="16.5" customHeight="1">
      <c r="A184" s="707">
        <f t="shared" si="19"/>
        <v>20</v>
      </c>
      <c r="B184" s="291" t="s">
        <v>738</v>
      </c>
      <c r="C184" s="722">
        <v>41926</v>
      </c>
      <c r="D184" s="722" t="s">
        <v>737</v>
      </c>
      <c r="E184" s="904">
        <v>12</v>
      </c>
      <c r="F184" s="905">
        <v>12</v>
      </c>
      <c r="G184" s="905">
        <v>12</v>
      </c>
      <c r="H184" s="826">
        <f t="shared" si="20"/>
        <v>0.14000000000000001</v>
      </c>
      <c r="I184" s="708">
        <v>42</v>
      </c>
      <c r="J184" s="708">
        <f t="shared" si="21"/>
        <v>5.8800000000000008</v>
      </c>
      <c r="K184" s="708">
        <f t="shared" si="17"/>
        <v>1151.5717910505014</v>
      </c>
      <c r="L184" s="624"/>
      <c r="M184" s="189" t="s">
        <v>350</v>
      </c>
      <c r="N184" s="37">
        <v>41922</v>
      </c>
      <c r="O184" s="748">
        <v>150</v>
      </c>
      <c r="P184" s="748">
        <v>20454</v>
      </c>
      <c r="Q184" s="8">
        <f t="shared" si="23"/>
        <v>3068100</v>
      </c>
    </row>
    <row r="185" spans="1:17" ht="16.5" customHeight="1">
      <c r="A185" s="707">
        <f t="shared" si="19"/>
        <v>21</v>
      </c>
      <c r="B185" s="291" t="s">
        <v>486</v>
      </c>
      <c r="C185" s="722">
        <v>41926</v>
      </c>
      <c r="D185" s="722" t="s">
        <v>737</v>
      </c>
      <c r="E185" s="904">
        <v>41</v>
      </c>
      <c r="F185" s="905">
        <v>31</v>
      </c>
      <c r="G185" s="905">
        <v>25.5</v>
      </c>
      <c r="H185" s="826">
        <f t="shared" si="20"/>
        <v>0.89</v>
      </c>
      <c r="I185" s="708">
        <v>297</v>
      </c>
      <c r="J185" s="708">
        <f t="shared" si="21"/>
        <v>264.33</v>
      </c>
      <c r="K185" s="708">
        <f t="shared" si="17"/>
        <v>7320.7063859639002</v>
      </c>
      <c r="L185" s="624"/>
      <c r="M185" s="189" t="s">
        <v>330</v>
      </c>
      <c r="N185" s="37">
        <v>41943</v>
      </c>
      <c r="O185" s="748">
        <v>24</v>
      </c>
      <c r="P185" s="748">
        <v>45000</v>
      </c>
      <c r="Q185" s="8">
        <f t="shared" si="23"/>
        <v>1080000</v>
      </c>
    </row>
    <row r="186" spans="1:17" ht="16.5" customHeight="1">
      <c r="A186" s="707">
        <f t="shared" si="19"/>
        <v>22</v>
      </c>
      <c r="B186" s="291" t="s">
        <v>739</v>
      </c>
      <c r="C186" s="722">
        <v>41926</v>
      </c>
      <c r="D186" s="722" t="s">
        <v>740</v>
      </c>
      <c r="E186" s="904">
        <v>51</v>
      </c>
      <c r="F186" s="905">
        <v>31</v>
      </c>
      <c r="G186" s="905">
        <v>27</v>
      </c>
      <c r="H186" s="826">
        <f t="shared" si="20"/>
        <v>1.03</v>
      </c>
      <c r="I186" s="708">
        <v>135</v>
      </c>
      <c r="J186" s="708">
        <f t="shared" si="21"/>
        <v>139.05000000000001</v>
      </c>
      <c r="K186" s="708">
        <f t="shared" si="17"/>
        <v>8472.2781770144011</v>
      </c>
      <c r="L186" s="624"/>
      <c r="M186" s="189" t="s">
        <v>330</v>
      </c>
      <c r="N186" s="37">
        <v>41993</v>
      </c>
      <c r="O186" s="748">
        <v>24</v>
      </c>
      <c r="P186" s="748">
        <v>45000</v>
      </c>
      <c r="Q186" s="8">
        <f t="shared" si="23"/>
        <v>1080000</v>
      </c>
    </row>
    <row r="187" spans="1:17" ht="16.5" customHeight="1">
      <c r="A187" s="707">
        <f t="shared" si="19"/>
        <v>23</v>
      </c>
      <c r="B187" s="291" t="s">
        <v>739</v>
      </c>
      <c r="C187" s="722">
        <v>41926</v>
      </c>
      <c r="D187" s="722" t="s">
        <v>740</v>
      </c>
      <c r="E187" s="904">
        <v>51</v>
      </c>
      <c r="F187" s="905">
        <v>31</v>
      </c>
      <c r="G187" s="905">
        <v>27</v>
      </c>
      <c r="H187" s="826">
        <f t="shared" si="20"/>
        <v>1.03</v>
      </c>
      <c r="I187" s="708">
        <v>280</v>
      </c>
      <c r="J187" s="708">
        <f t="shared" si="21"/>
        <v>288.40000000000003</v>
      </c>
      <c r="K187" s="708">
        <f t="shared" si="17"/>
        <v>8472.2781770144011</v>
      </c>
      <c r="L187" s="624"/>
      <c r="M187" s="438"/>
      <c r="N187" s="722"/>
      <c r="O187" s="761"/>
      <c r="P187" s="748"/>
      <c r="Q187" s="8"/>
    </row>
    <row r="188" spans="1:17" ht="16.5" customHeight="1">
      <c r="A188" s="707">
        <f t="shared" si="19"/>
        <v>24</v>
      </c>
      <c r="B188" s="291" t="s">
        <v>741</v>
      </c>
      <c r="C188" s="722">
        <v>41928</v>
      </c>
      <c r="D188" s="722" t="s">
        <v>742</v>
      </c>
      <c r="E188" s="904">
        <v>37.5</v>
      </c>
      <c r="F188" s="905">
        <v>25.3</v>
      </c>
      <c r="G188" s="905">
        <v>23.9</v>
      </c>
      <c r="H188" s="826">
        <f t="shared" si="20"/>
        <v>0.68</v>
      </c>
      <c r="I188" s="708">
        <v>2960</v>
      </c>
      <c r="J188" s="708">
        <f t="shared" si="21"/>
        <v>2012.8000000000002</v>
      </c>
      <c r="K188" s="708">
        <f t="shared" si="17"/>
        <v>5593.3486993881488</v>
      </c>
      <c r="L188" s="624"/>
      <c r="M188" s="827" t="s">
        <v>1252</v>
      </c>
      <c r="N188" s="828"/>
      <c r="O188" s="829"/>
      <c r="P188" s="511"/>
      <c r="Q188" s="511">
        <f>SUM(Q181:Q187)</f>
        <v>63078100</v>
      </c>
    </row>
    <row r="189" spans="1:17" ht="16.5" customHeight="1">
      <c r="A189" s="707">
        <f t="shared" si="19"/>
        <v>25</v>
      </c>
      <c r="B189" s="291" t="s">
        <v>612</v>
      </c>
      <c r="C189" s="722">
        <v>41929</v>
      </c>
      <c r="D189" s="722" t="s">
        <v>743</v>
      </c>
      <c r="E189" s="904">
        <v>33.700000000000003</v>
      </c>
      <c r="F189" s="905">
        <v>22.7</v>
      </c>
      <c r="G189" s="905">
        <v>19.3</v>
      </c>
      <c r="H189" s="826">
        <f t="shared" si="20"/>
        <v>0.53</v>
      </c>
      <c r="I189" s="708">
        <v>500</v>
      </c>
      <c r="J189" s="708">
        <f t="shared" si="21"/>
        <v>265</v>
      </c>
      <c r="K189" s="708">
        <f t="shared" si="17"/>
        <v>4359.5217804054691</v>
      </c>
      <c r="L189" s="624"/>
      <c r="M189" s="438" t="s">
        <v>1253</v>
      </c>
      <c r="N189" s="722"/>
      <c r="O189" s="761"/>
      <c r="P189" s="748"/>
      <c r="Q189" s="8">
        <f>Q180</f>
        <v>589821050</v>
      </c>
    </row>
    <row r="190" spans="1:17" ht="16.5" customHeight="1">
      <c r="A190" s="707">
        <f t="shared" si="19"/>
        <v>26</v>
      </c>
      <c r="B190" s="291" t="s">
        <v>744</v>
      </c>
      <c r="C190" s="722">
        <v>41934</v>
      </c>
      <c r="D190" s="722" t="s">
        <v>745</v>
      </c>
      <c r="E190" s="904">
        <v>88</v>
      </c>
      <c r="F190" s="905">
        <v>53</v>
      </c>
      <c r="G190" s="905">
        <v>33</v>
      </c>
      <c r="H190" s="826">
        <f t="shared" si="20"/>
        <v>2.5499999999999998</v>
      </c>
      <c r="I190" s="708">
        <v>164</v>
      </c>
      <c r="J190" s="708">
        <f t="shared" si="21"/>
        <v>418.2</v>
      </c>
      <c r="K190" s="708">
        <f t="shared" si="17"/>
        <v>20975.057622705557</v>
      </c>
      <c r="L190" s="624"/>
      <c r="M190" s="438" t="s">
        <v>1254</v>
      </c>
      <c r="N190" s="722"/>
      <c r="O190" s="761"/>
      <c r="P190" s="748"/>
      <c r="Q190" s="8">
        <f>Q188</f>
        <v>63078100</v>
      </c>
    </row>
    <row r="191" spans="1:17" ht="16.5" customHeight="1">
      <c r="A191" s="707">
        <f t="shared" si="19"/>
        <v>27</v>
      </c>
      <c r="B191" s="291" t="s">
        <v>746</v>
      </c>
      <c r="C191" s="722">
        <v>41934</v>
      </c>
      <c r="D191" s="722" t="s">
        <v>745</v>
      </c>
      <c r="E191" s="904">
        <v>60</v>
      </c>
      <c r="F191" s="905">
        <v>25</v>
      </c>
      <c r="G191" s="905"/>
      <c r="H191" s="826">
        <f t="shared" si="20"/>
        <v>0.15</v>
      </c>
      <c r="I191" s="708">
        <v>328</v>
      </c>
      <c r="J191" s="708">
        <f t="shared" si="21"/>
        <v>49.199999999999996</v>
      </c>
      <c r="K191" s="708">
        <f t="shared" si="17"/>
        <v>1233.8269189826799</v>
      </c>
      <c r="L191" s="624"/>
      <c r="M191" s="438" t="s">
        <v>1255</v>
      </c>
      <c r="N191" s="722"/>
      <c r="O191" s="761"/>
      <c r="P191" s="748"/>
      <c r="Q191" s="8">
        <v>10160000</v>
      </c>
    </row>
    <row r="192" spans="1:17" ht="16.5" customHeight="1">
      <c r="A192" s="707">
        <f t="shared" si="19"/>
        <v>28</v>
      </c>
      <c r="B192" s="291" t="s">
        <v>747</v>
      </c>
      <c r="C192" s="722">
        <v>41934</v>
      </c>
      <c r="D192" s="722" t="s">
        <v>748</v>
      </c>
      <c r="E192" s="904">
        <v>62</v>
      </c>
      <c r="F192" s="905">
        <v>40</v>
      </c>
      <c r="G192" s="905">
        <v>42</v>
      </c>
      <c r="H192" s="826">
        <f t="shared" si="20"/>
        <v>1.78</v>
      </c>
      <c r="I192" s="708">
        <v>738</v>
      </c>
      <c r="J192" s="708">
        <f t="shared" si="21"/>
        <v>1313.64</v>
      </c>
      <c r="K192" s="708">
        <f t="shared" si="17"/>
        <v>14641.4127719278</v>
      </c>
      <c r="L192" s="624"/>
      <c r="M192" s="438" t="s">
        <v>1256</v>
      </c>
      <c r="N192" s="722"/>
      <c r="O192" s="761"/>
      <c r="P192" s="748"/>
      <c r="Q192" s="8">
        <v>30750000</v>
      </c>
    </row>
    <row r="193" spans="1:17" ht="16.5" customHeight="1">
      <c r="A193" s="707">
        <f t="shared" si="19"/>
        <v>29</v>
      </c>
      <c r="B193" s="291" t="s">
        <v>712</v>
      </c>
      <c r="C193" s="722">
        <v>41934</v>
      </c>
      <c r="D193" s="722" t="s">
        <v>748</v>
      </c>
      <c r="E193" s="904">
        <v>51</v>
      </c>
      <c r="F193" s="905">
        <v>37</v>
      </c>
      <c r="G193" s="905">
        <v>27</v>
      </c>
      <c r="H193" s="826">
        <f t="shared" si="20"/>
        <v>1.21</v>
      </c>
      <c r="I193" s="708">
        <v>30</v>
      </c>
      <c r="J193" s="708">
        <f t="shared" si="21"/>
        <v>36.299999999999997</v>
      </c>
      <c r="K193" s="708">
        <f t="shared" si="17"/>
        <v>9952.8704797936171</v>
      </c>
      <c r="L193" s="624"/>
      <c r="M193" s="438" t="s">
        <v>1257</v>
      </c>
      <c r="N193" s="722"/>
      <c r="O193" s="761"/>
      <c r="P193" s="748"/>
      <c r="Q193" s="8">
        <v>93195000</v>
      </c>
    </row>
    <row r="194" spans="1:17" ht="16.5" customHeight="1">
      <c r="A194" s="707">
        <f t="shared" si="19"/>
        <v>30</v>
      </c>
      <c r="B194" s="291" t="s">
        <v>652</v>
      </c>
      <c r="C194" s="722">
        <v>41935</v>
      </c>
      <c r="D194" s="722" t="s">
        <v>749</v>
      </c>
      <c r="E194" s="904">
        <v>36.5</v>
      </c>
      <c r="F194" s="905">
        <v>27.3</v>
      </c>
      <c r="G194" s="905">
        <v>25.5</v>
      </c>
      <c r="H194" s="826">
        <f t="shared" si="20"/>
        <v>0.74</v>
      </c>
      <c r="I194" s="708">
        <v>4080</v>
      </c>
      <c r="J194" s="708">
        <f t="shared" si="21"/>
        <v>3019.2</v>
      </c>
      <c r="K194" s="708">
        <f t="shared" si="17"/>
        <v>6086.8794669812205</v>
      </c>
      <c r="L194" s="624"/>
      <c r="M194" s="438"/>
      <c r="N194" s="722"/>
      <c r="O194" s="761"/>
      <c r="P194" s="748"/>
      <c r="Q194" s="8"/>
    </row>
    <row r="195" spans="1:17" ht="16.5" customHeight="1">
      <c r="A195" s="707">
        <f t="shared" si="19"/>
        <v>31</v>
      </c>
      <c r="B195" s="291" t="s">
        <v>436</v>
      </c>
      <c r="C195" s="722">
        <v>41937</v>
      </c>
      <c r="D195" s="722" t="s">
        <v>750</v>
      </c>
      <c r="E195" s="904">
        <v>49</v>
      </c>
      <c r="F195" s="905">
        <v>38</v>
      </c>
      <c r="G195" s="905">
        <v>12</v>
      </c>
      <c r="H195" s="826">
        <f t="shared" si="20"/>
        <v>0.95</v>
      </c>
      <c r="I195" s="708">
        <v>388</v>
      </c>
      <c r="J195" s="708">
        <f t="shared" si="21"/>
        <v>368.59999999999997</v>
      </c>
      <c r="K195" s="708">
        <f t="shared" si="17"/>
        <v>7814.2371535569719</v>
      </c>
      <c r="L195" s="624"/>
      <c r="M195" s="827" t="s">
        <v>1258</v>
      </c>
      <c r="N195" s="828"/>
      <c r="O195" s="829"/>
      <c r="P195" s="511"/>
      <c r="Q195" s="511">
        <f>SUM(Q189:Q194)</f>
        <v>787004150</v>
      </c>
    </row>
    <row r="196" spans="1:17" ht="16.5" customHeight="1">
      <c r="A196" s="707">
        <f t="shared" si="19"/>
        <v>32</v>
      </c>
      <c r="B196" s="291" t="s">
        <v>566</v>
      </c>
      <c r="C196" s="722">
        <v>41937</v>
      </c>
      <c r="D196" s="722" t="s">
        <v>750</v>
      </c>
      <c r="E196" s="904">
        <v>49</v>
      </c>
      <c r="F196" s="905">
        <v>38</v>
      </c>
      <c r="G196" s="905">
        <v>13</v>
      </c>
      <c r="H196" s="826">
        <f t="shared" si="20"/>
        <v>0.97</v>
      </c>
      <c r="I196" s="708">
        <v>405</v>
      </c>
      <c r="J196" s="708">
        <f t="shared" si="21"/>
        <v>392.84999999999997</v>
      </c>
      <c r="K196" s="708">
        <f t="shared" si="17"/>
        <v>7978.7474094213294</v>
      </c>
      <c r="L196" s="624"/>
      <c r="M196" s="439"/>
      <c r="N196" s="731"/>
      <c r="O196" s="764"/>
      <c r="P196" s="721"/>
      <c r="Q196" s="733"/>
    </row>
    <row r="197" spans="1:17" ht="16.5" customHeight="1">
      <c r="A197" s="707">
        <f t="shared" si="19"/>
        <v>33</v>
      </c>
      <c r="B197" s="291" t="s">
        <v>751</v>
      </c>
      <c r="C197" s="722">
        <v>41940</v>
      </c>
      <c r="D197" s="722" t="s">
        <v>752</v>
      </c>
      <c r="E197" s="904">
        <v>92</v>
      </c>
      <c r="F197" s="905">
        <v>55</v>
      </c>
      <c r="G197" s="905">
        <v>27</v>
      </c>
      <c r="H197" s="826">
        <f t="shared" si="20"/>
        <v>2.54</v>
      </c>
      <c r="I197" s="708">
        <v>57</v>
      </c>
      <c r="J197" s="708">
        <f t="shared" si="21"/>
        <v>144.78</v>
      </c>
      <c r="K197" s="708">
        <f t="shared" ref="K197:K229" si="24">H197*$Q$198</f>
        <v>20892.802494773379</v>
      </c>
      <c r="L197" s="624"/>
      <c r="M197" s="439"/>
      <c r="N197" s="731"/>
      <c r="O197" s="764"/>
      <c r="P197" s="721"/>
      <c r="Q197" s="733"/>
    </row>
    <row r="198" spans="1:17" ht="16.5" customHeight="1">
      <c r="A198" s="707">
        <f t="shared" si="19"/>
        <v>34</v>
      </c>
      <c r="B198" s="291" t="s">
        <v>753</v>
      </c>
      <c r="C198" s="722">
        <v>41940</v>
      </c>
      <c r="D198" s="722" t="s">
        <v>752</v>
      </c>
      <c r="E198" s="904">
        <v>86</v>
      </c>
      <c r="F198" s="905">
        <v>50</v>
      </c>
      <c r="G198" s="905">
        <v>21</v>
      </c>
      <c r="H198" s="826">
        <f t="shared" si="20"/>
        <v>2.0499999999999998</v>
      </c>
      <c r="I198" s="708">
        <v>236</v>
      </c>
      <c r="J198" s="708">
        <f t="shared" si="21"/>
        <v>483.79999999999995</v>
      </c>
      <c r="K198" s="708">
        <f t="shared" si="24"/>
        <v>16862.301226096624</v>
      </c>
      <c r="L198" s="624"/>
      <c r="M198" s="1123" t="s">
        <v>1259</v>
      </c>
      <c r="N198" s="1124"/>
      <c r="O198" s="1124"/>
      <c r="P198" s="1125"/>
      <c r="Q198" s="830">
        <f>Q195/J341</f>
        <v>8225.5127932178657</v>
      </c>
    </row>
    <row r="199" spans="1:17" ht="16.5" customHeight="1">
      <c r="A199" s="707">
        <f t="shared" si="19"/>
        <v>35</v>
      </c>
      <c r="B199" s="291" t="s">
        <v>746</v>
      </c>
      <c r="C199" s="722">
        <v>41940</v>
      </c>
      <c r="D199" s="722" t="s">
        <v>752</v>
      </c>
      <c r="E199" s="904">
        <v>60</v>
      </c>
      <c r="F199" s="905">
        <v>25</v>
      </c>
      <c r="G199" s="905"/>
      <c r="H199" s="826">
        <f t="shared" si="20"/>
        <v>0.15</v>
      </c>
      <c r="I199" s="708">
        <v>586</v>
      </c>
      <c r="J199" s="708">
        <f t="shared" si="21"/>
        <v>87.899999999999991</v>
      </c>
      <c r="K199" s="708">
        <f t="shared" si="24"/>
        <v>1233.8269189826799</v>
      </c>
      <c r="L199" s="624"/>
      <c r="M199" s="439"/>
      <c r="N199" s="731"/>
      <c r="O199" s="764"/>
      <c r="P199" s="721"/>
      <c r="Q199" s="733"/>
    </row>
    <row r="200" spans="1:17" ht="16.5" customHeight="1">
      <c r="A200" s="707">
        <f t="shared" si="19"/>
        <v>36</v>
      </c>
      <c r="B200" s="291" t="s">
        <v>754</v>
      </c>
      <c r="C200" s="722">
        <v>41940</v>
      </c>
      <c r="D200" s="722" t="s">
        <v>755</v>
      </c>
      <c r="E200" s="904">
        <v>51.5</v>
      </c>
      <c r="F200" s="905">
        <v>28.5</v>
      </c>
      <c r="G200" s="905">
        <v>7.2</v>
      </c>
      <c r="H200" s="826">
        <f t="shared" si="20"/>
        <v>0.64</v>
      </c>
      <c r="I200" s="708">
        <v>1028</v>
      </c>
      <c r="J200" s="708">
        <f t="shared" si="21"/>
        <v>657.92</v>
      </c>
      <c r="K200" s="708">
        <f t="shared" si="24"/>
        <v>5264.3281876594338</v>
      </c>
      <c r="L200" s="624"/>
      <c r="M200" s="439"/>
      <c r="N200" s="731"/>
      <c r="O200" s="764"/>
      <c r="P200" s="939"/>
      <c r="Q200" s="733"/>
    </row>
    <row r="201" spans="1:17" ht="16.5" customHeight="1">
      <c r="A201" s="707">
        <f t="shared" si="19"/>
        <v>37</v>
      </c>
      <c r="B201" s="291" t="s">
        <v>1203</v>
      </c>
      <c r="C201" s="722">
        <v>41941</v>
      </c>
      <c r="D201" s="722" t="s">
        <v>756</v>
      </c>
      <c r="E201" s="904">
        <v>34</v>
      </c>
      <c r="F201" s="905">
        <v>23.8</v>
      </c>
      <c r="G201" s="905"/>
      <c r="H201" s="826">
        <f t="shared" si="20"/>
        <v>0.08</v>
      </c>
      <c r="I201" s="708">
        <v>500</v>
      </c>
      <c r="J201" s="708">
        <f t="shared" si="21"/>
        <v>40</v>
      </c>
      <c r="K201" s="708">
        <f t="shared" si="24"/>
        <v>658.04102345742922</v>
      </c>
      <c r="L201" s="624"/>
      <c r="M201" s="439"/>
      <c r="N201" s="731"/>
      <c r="O201" s="764"/>
      <c r="P201" s="939"/>
      <c r="Q201" s="733"/>
    </row>
    <row r="202" spans="1:17" ht="16.5" customHeight="1">
      <c r="A202" s="707">
        <f t="shared" si="19"/>
        <v>38</v>
      </c>
      <c r="B202" s="291" t="s">
        <v>1204</v>
      </c>
      <c r="C202" s="722">
        <v>41941</v>
      </c>
      <c r="D202" s="722" t="s">
        <v>756</v>
      </c>
      <c r="E202" s="904">
        <v>27</v>
      </c>
      <c r="F202" s="905">
        <v>21</v>
      </c>
      <c r="G202" s="905"/>
      <c r="H202" s="826">
        <f t="shared" si="20"/>
        <v>0.06</v>
      </c>
      <c r="I202" s="708">
        <v>500</v>
      </c>
      <c r="J202" s="708">
        <f t="shared" si="21"/>
        <v>30</v>
      </c>
      <c r="K202" s="708">
        <f t="shared" si="24"/>
        <v>493.53076759307191</v>
      </c>
      <c r="L202" s="624"/>
      <c r="M202" s="439"/>
      <c r="N202" s="731"/>
      <c r="O202" s="764"/>
      <c r="P202" s="721"/>
      <c r="Q202" s="733"/>
    </row>
    <row r="203" spans="1:17" ht="16.5" customHeight="1">
      <c r="A203" s="707">
        <f t="shared" si="19"/>
        <v>39</v>
      </c>
      <c r="B203" s="291" t="s">
        <v>1205</v>
      </c>
      <c r="C203" s="722">
        <v>41941</v>
      </c>
      <c r="D203" s="722" t="s">
        <v>756</v>
      </c>
      <c r="E203" s="904">
        <v>45.8</v>
      </c>
      <c r="F203" s="905">
        <v>37.5</v>
      </c>
      <c r="G203" s="905"/>
      <c r="H203" s="826">
        <f t="shared" si="20"/>
        <v>0.17</v>
      </c>
      <c r="I203" s="708">
        <v>500</v>
      </c>
      <c r="J203" s="708">
        <f t="shared" si="21"/>
        <v>85</v>
      </c>
      <c r="K203" s="708">
        <f t="shared" si="24"/>
        <v>1398.3371748470372</v>
      </c>
      <c r="L203" s="624"/>
      <c r="M203" s="439"/>
      <c r="N203" s="731"/>
      <c r="O203" s="764"/>
      <c r="P203" s="721"/>
      <c r="Q203" s="733">
        <f>Q195+Q32</f>
        <v>1482329750</v>
      </c>
    </row>
    <row r="204" spans="1:17" ht="16.5" customHeight="1">
      <c r="A204" s="707">
        <f t="shared" si="19"/>
        <v>40</v>
      </c>
      <c r="B204" s="189" t="s">
        <v>1206</v>
      </c>
      <c r="C204" s="722">
        <v>41942</v>
      </c>
      <c r="D204" s="722" t="s">
        <v>757</v>
      </c>
      <c r="E204" s="904">
        <v>45</v>
      </c>
      <c r="F204" s="905">
        <v>37</v>
      </c>
      <c r="G204" s="905">
        <v>27.5</v>
      </c>
      <c r="H204" s="826">
        <f t="shared" si="20"/>
        <v>1.1399999999999999</v>
      </c>
      <c r="I204" s="708">
        <v>595</v>
      </c>
      <c r="J204" s="708">
        <f t="shared" si="21"/>
        <v>678.3</v>
      </c>
      <c r="K204" s="708">
        <f t="shared" si="24"/>
        <v>9377.0845842683666</v>
      </c>
      <c r="L204" s="624"/>
      <c r="M204" s="439"/>
      <c r="N204" s="731"/>
      <c r="O204" s="764"/>
      <c r="P204" s="721"/>
      <c r="Q204" s="733"/>
    </row>
    <row r="205" spans="1:17" ht="16.5" customHeight="1">
      <c r="A205" s="707">
        <f t="shared" si="19"/>
        <v>41</v>
      </c>
      <c r="B205" s="291" t="s">
        <v>445</v>
      </c>
      <c r="C205" s="722">
        <v>41942</v>
      </c>
      <c r="D205" s="722" t="s">
        <v>757</v>
      </c>
      <c r="E205" s="904">
        <v>50</v>
      </c>
      <c r="F205" s="905">
        <v>20</v>
      </c>
      <c r="G205" s="905"/>
      <c r="H205" s="826">
        <f t="shared" si="20"/>
        <v>0.1</v>
      </c>
      <c r="I205" s="708">
        <v>1190</v>
      </c>
      <c r="J205" s="708">
        <f t="shared" si="21"/>
        <v>119</v>
      </c>
      <c r="K205" s="708">
        <f t="shared" si="24"/>
        <v>822.55127932178664</v>
      </c>
      <c r="L205" s="624"/>
      <c r="M205" s="439"/>
      <c r="N205" s="731"/>
      <c r="O205" s="764"/>
      <c r="P205" s="721"/>
      <c r="Q205" s="733">
        <v>793219150</v>
      </c>
    </row>
    <row r="206" spans="1:17" ht="16.5" customHeight="1">
      <c r="A206" s="707">
        <f t="shared" si="19"/>
        <v>42</v>
      </c>
      <c r="B206" s="291" t="s">
        <v>459</v>
      </c>
      <c r="C206" s="722">
        <v>41942</v>
      </c>
      <c r="D206" s="722" t="s">
        <v>758</v>
      </c>
      <c r="E206" s="904">
        <v>55</v>
      </c>
      <c r="F206" s="905">
        <v>28</v>
      </c>
      <c r="G206" s="905">
        <v>23</v>
      </c>
      <c r="H206" s="826">
        <f t="shared" si="20"/>
        <v>0.92</v>
      </c>
      <c r="I206" s="708">
        <v>1005</v>
      </c>
      <c r="J206" s="708">
        <f t="shared" si="21"/>
        <v>924.6</v>
      </c>
      <c r="K206" s="708">
        <f t="shared" si="24"/>
        <v>7567.4717697604365</v>
      </c>
      <c r="L206" s="624"/>
      <c r="M206" s="439"/>
      <c r="N206" s="731"/>
      <c r="O206" s="764"/>
      <c r="P206" s="721"/>
      <c r="Q206" s="733"/>
    </row>
    <row r="207" spans="1:17" ht="16.5" customHeight="1">
      <c r="A207" s="707">
        <f t="shared" si="19"/>
        <v>43</v>
      </c>
      <c r="B207" s="291" t="s">
        <v>512</v>
      </c>
      <c r="C207" s="722">
        <v>41947</v>
      </c>
      <c r="D207" s="722" t="s">
        <v>759</v>
      </c>
      <c r="E207" s="904">
        <v>32.5</v>
      </c>
      <c r="F207" s="905">
        <v>32.5</v>
      </c>
      <c r="G207" s="905">
        <v>16</v>
      </c>
      <c r="H207" s="826">
        <f t="shared" si="20"/>
        <v>0.7</v>
      </c>
      <c r="I207" s="708">
        <v>300</v>
      </c>
      <c r="J207" s="708">
        <f t="shared" si="21"/>
        <v>210</v>
      </c>
      <c r="K207" s="708">
        <f t="shared" si="24"/>
        <v>5757.8589552525054</v>
      </c>
      <c r="L207" s="624"/>
      <c r="M207" s="439"/>
      <c r="N207" s="731"/>
      <c r="O207" s="764"/>
      <c r="P207" s="721"/>
      <c r="Q207" s="733"/>
    </row>
    <row r="208" spans="1:17" ht="16.5" customHeight="1">
      <c r="A208" s="707">
        <f t="shared" si="19"/>
        <v>44</v>
      </c>
      <c r="B208" s="291" t="s">
        <v>486</v>
      </c>
      <c r="C208" s="722">
        <v>41947</v>
      </c>
      <c r="D208" s="722" t="s">
        <v>759</v>
      </c>
      <c r="E208" s="904">
        <v>41</v>
      </c>
      <c r="F208" s="905">
        <v>31</v>
      </c>
      <c r="G208" s="905">
        <v>25.5</v>
      </c>
      <c r="H208" s="826">
        <f t="shared" si="20"/>
        <v>0.89</v>
      </c>
      <c r="I208" s="708">
        <v>300</v>
      </c>
      <c r="J208" s="708">
        <f t="shared" si="21"/>
        <v>267</v>
      </c>
      <c r="K208" s="708">
        <f t="shared" si="24"/>
        <v>7320.7063859639002</v>
      </c>
      <c r="L208" s="624"/>
      <c r="M208" s="439"/>
      <c r="N208" s="731"/>
      <c r="O208" s="764"/>
      <c r="P208" s="721"/>
      <c r="Q208" s="733"/>
    </row>
    <row r="209" spans="1:17" ht="16.5" customHeight="1">
      <c r="A209" s="707">
        <f t="shared" si="19"/>
        <v>45</v>
      </c>
      <c r="B209" s="291" t="s">
        <v>760</v>
      </c>
      <c r="C209" s="722">
        <v>41947</v>
      </c>
      <c r="D209" s="722" t="s">
        <v>761</v>
      </c>
      <c r="E209" s="904">
        <v>80</v>
      </c>
      <c r="F209" s="905">
        <v>53</v>
      </c>
      <c r="G209" s="905">
        <v>30</v>
      </c>
      <c r="H209" s="826">
        <f t="shared" si="20"/>
        <v>2.33</v>
      </c>
      <c r="I209" s="708">
        <v>224</v>
      </c>
      <c r="J209" s="708">
        <f t="shared" si="21"/>
        <v>521.92000000000007</v>
      </c>
      <c r="K209" s="708">
        <f t="shared" si="24"/>
        <v>19165.444808197626</v>
      </c>
      <c r="L209" s="624"/>
      <c r="M209" s="439"/>
      <c r="N209" s="731"/>
      <c r="O209" s="764"/>
      <c r="P209" s="721"/>
      <c r="Q209" s="733"/>
    </row>
    <row r="210" spans="1:17" ht="16.5" customHeight="1">
      <c r="A210" s="707">
        <f t="shared" si="19"/>
        <v>46</v>
      </c>
      <c r="B210" s="291" t="s">
        <v>746</v>
      </c>
      <c r="C210" s="722">
        <v>41947</v>
      </c>
      <c r="D210" s="722" t="s">
        <v>761</v>
      </c>
      <c r="E210" s="904">
        <v>60</v>
      </c>
      <c r="F210" s="905">
        <v>25</v>
      </c>
      <c r="G210" s="905"/>
      <c r="H210" s="826">
        <f t="shared" si="20"/>
        <v>0.15</v>
      </c>
      <c r="I210" s="708">
        <v>448</v>
      </c>
      <c r="J210" s="708">
        <f t="shared" si="21"/>
        <v>67.2</v>
      </c>
      <c r="K210" s="708">
        <f t="shared" si="24"/>
        <v>1233.8269189826799</v>
      </c>
      <c r="L210" s="624"/>
      <c r="M210" s="439"/>
      <c r="N210" s="731"/>
      <c r="O210" s="764"/>
      <c r="P210" s="721"/>
      <c r="Q210" s="733"/>
    </row>
    <row r="211" spans="1:17" ht="16.5" customHeight="1">
      <c r="A211" s="707">
        <f t="shared" si="19"/>
        <v>47</v>
      </c>
      <c r="B211" s="291" t="s">
        <v>466</v>
      </c>
      <c r="C211" s="722">
        <v>41947</v>
      </c>
      <c r="D211" s="722" t="s">
        <v>762</v>
      </c>
      <c r="E211" s="904">
        <v>29.5</v>
      </c>
      <c r="F211" s="905">
        <v>24</v>
      </c>
      <c r="G211" s="905">
        <v>19</v>
      </c>
      <c r="H211" s="826">
        <f t="shared" si="20"/>
        <v>0.52</v>
      </c>
      <c r="I211" s="708">
        <v>1529</v>
      </c>
      <c r="J211" s="708">
        <f t="shared" si="21"/>
        <v>795.08</v>
      </c>
      <c r="K211" s="708">
        <f t="shared" si="24"/>
        <v>4277.2666524732904</v>
      </c>
      <c r="L211" s="624"/>
      <c r="M211" s="439"/>
      <c r="N211" s="731"/>
      <c r="O211" s="764"/>
      <c r="P211" s="721"/>
      <c r="Q211" s="733"/>
    </row>
    <row r="212" spans="1:17" ht="16.5" customHeight="1">
      <c r="A212" s="707">
        <f t="shared" si="19"/>
        <v>48</v>
      </c>
      <c r="B212" s="291" t="s">
        <v>583</v>
      </c>
      <c r="C212" s="722">
        <v>41948</v>
      </c>
      <c r="D212" s="722" t="s">
        <v>763</v>
      </c>
      <c r="E212" s="904">
        <v>62</v>
      </c>
      <c r="F212" s="905">
        <v>42</v>
      </c>
      <c r="G212" s="905">
        <v>36</v>
      </c>
      <c r="H212" s="826">
        <f t="shared" si="20"/>
        <v>1.73</v>
      </c>
      <c r="I212" s="708">
        <v>11</v>
      </c>
      <c r="J212" s="708">
        <f t="shared" si="21"/>
        <v>19.03</v>
      </c>
      <c r="K212" s="708">
        <f t="shared" si="24"/>
        <v>14230.137132266907</v>
      </c>
      <c r="L212" s="624"/>
      <c r="M212" s="439"/>
      <c r="N212" s="731"/>
      <c r="O212" s="764"/>
      <c r="P212" s="721"/>
      <c r="Q212" s="733"/>
    </row>
    <row r="213" spans="1:17" ht="16.5" customHeight="1">
      <c r="A213" s="707">
        <f t="shared" si="19"/>
        <v>49</v>
      </c>
      <c r="B213" s="291" t="s">
        <v>707</v>
      </c>
      <c r="C213" s="722">
        <v>41948</v>
      </c>
      <c r="D213" s="722" t="s">
        <v>763</v>
      </c>
      <c r="E213" s="904">
        <v>46.5</v>
      </c>
      <c r="F213" s="905">
        <v>41.5</v>
      </c>
      <c r="G213" s="905">
        <v>27</v>
      </c>
      <c r="H213" s="826">
        <f t="shared" si="20"/>
        <v>1.29</v>
      </c>
      <c r="I213" s="708">
        <v>126</v>
      </c>
      <c r="J213" s="708">
        <f t="shared" si="21"/>
        <v>162.54</v>
      </c>
      <c r="K213" s="708">
        <f t="shared" si="24"/>
        <v>10610.911503251047</v>
      </c>
      <c r="L213" s="624"/>
      <c r="M213" s="439"/>
      <c r="N213" s="731"/>
      <c r="O213" s="764"/>
      <c r="P213" s="721"/>
      <c r="Q213" s="733"/>
    </row>
    <row r="214" spans="1:17" ht="16.5" customHeight="1">
      <c r="A214" s="707">
        <f t="shared" si="19"/>
        <v>50</v>
      </c>
      <c r="B214" s="291" t="s">
        <v>606</v>
      </c>
      <c r="C214" s="722">
        <v>41948</v>
      </c>
      <c r="D214" s="722" t="s">
        <v>763</v>
      </c>
      <c r="E214" s="904">
        <v>39.5</v>
      </c>
      <c r="F214" s="905">
        <v>41.5</v>
      </c>
      <c r="G214" s="905">
        <v>27</v>
      </c>
      <c r="H214" s="826">
        <f t="shared" si="20"/>
        <v>1.19</v>
      </c>
      <c r="I214" s="708">
        <v>150</v>
      </c>
      <c r="J214" s="708">
        <f t="shared" si="21"/>
        <v>178.5</v>
      </c>
      <c r="K214" s="708">
        <f t="shared" si="24"/>
        <v>9788.3602239292595</v>
      </c>
      <c r="L214" s="624"/>
      <c r="M214" s="439"/>
      <c r="N214" s="731"/>
      <c r="O214" s="764"/>
      <c r="P214" s="721"/>
      <c r="Q214" s="733"/>
    </row>
    <row r="215" spans="1:17" ht="16.5" customHeight="1">
      <c r="A215" s="707">
        <f t="shared" si="19"/>
        <v>51</v>
      </c>
      <c r="B215" s="291" t="s">
        <v>707</v>
      </c>
      <c r="C215" s="722">
        <v>41948</v>
      </c>
      <c r="D215" s="722" t="s">
        <v>763</v>
      </c>
      <c r="E215" s="904">
        <v>46.5</v>
      </c>
      <c r="F215" s="905">
        <v>41.5</v>
      </c>
      <c r="G215" s="905">
        <v>27</v>
      </c>
      <c r="H215" s="826">
        <f t="shared" si="20"/>
        <v>1.29</v>
      </c>
      <c r="I215" s="708">
        <v>221</v>
      </c>
      <c r="J215" s="708">
        <f t="shared" si="21"/>
        <v>285.09000000000003</v>
      </c>
      <c r="K215" s="708">
        <f t="shared" si="24"/>
        <v>10610.911503251047</v>
      </c>
      <c r="L215" s="624"/>
      <c r="M215" s="439"/>
      <c r="N215" s="731"/>
      <c r="O215" s="764"/>
      <c r="P215" s="721"/>
      <c r="Q215" s="733"/>
    </row>
    <row r="216" spans="1:17" ht="16.5" customHeight="1">
      <c r="A216" s="707">
        <f t="shared" si="19"/>
        <v>52</v>
      </c>
      <c r="B216" s="291" t="s">
        <v>583</v>
      </c>
      <c r="C216" s="722">
        <v>41948</v>
      </c>
      <c r="D216" s="722" t="s">
        <v>763</v>
      </c>
      <c r="E216" s="904">
        <v>62</v>
      </c>
      <c r="F216" s="905">
        <v>42</v>
      </c>
      <c r="G216" s="905">
        <v>36</v>
      </c>
      <c r="H216" s="826">
        <f t="shared" si="20"/>
        <v>1.73</v>
      </c>
      <c r="I216" s="708">
        <v>25</v>
      </c>
      <c r="J216" s="708">
        <f t="shared" si="21"/>
        <v>43.25</v>
      </c>
      <c r="K216" s="708">
        <f t="shared" si="24"/>
        <v>14230.137132266907</v>
      </c>
      <c r="L216" s="624"/>
      <c r="M216" s="439"/>
      <c r="N216" s="731"/>
      <c r="O216" s="764"/>
      <c r="P216" s="721"/>
      <c r="Q216" s="733"/>
    </row>
    <row r="217" spans="1:17" ht="16.5" customHeight="1">
      <c r="A217" s="707">
        <f t="shared" si="19"/>
        <v>53</v>
      </c>
      <c r="B217" s="291" t="s">
        <v>608</v>
      </c>
      <c r="C217" s="722">
        <v>41948</v>
      </c>
      <c r="D217" s="722" t="s">
        <v>763</v>
      </c>
      <c r="E217" s="904">
        <v>42</v>
      </c>
      <c r="F217" s="905">
        <v>40</v>
      </c>
      <c r="G217" s="905">
        <v>48</v>
      </c>
      <c r="H217" s="826">
        <f t="shared" si="20"/>
        <v>1.54</v>
      </c>
      <c r="I217" s="708">
        <v>55</v>
      </c>
      <c r="J217" s="708">
        <f t="shared" si="21"/>
        <v>84.7</v>
      </c>
      <c r="K217" s="708">
        <f t="shared" si="24"/>
        <v>12667.289701555514</v>
      </c>
      <c r="L217" s="624"/>
      <c r="M217" s="439"/>
      <c r="N217" s="731"/>
      <c r="O217" s="764"/>
      <c r="P217" s="721"/>
      <c r="Q217" s="733"/>
    </row>
    <row r="218" spans="1:17" ht="16.5" customHeight="1">
      <c r="A218" s="707">
        <f t="shared" si="19"/>
        <v>54</v>
      </c>
      <c r="B218" s="291" t="s">
        <v>707</v>
      </c>
      <c r="C218" s="722">
        <v>41948</v>
      </c>
      <c r="D218" s="722" t="s">
        <v>763</v>
      </c>
      <c r="E218" s="904">
        <v>46.5</v>
      </c>
      <c r="F218" s="905">
        <v>41.5</v>
      </c>
      <c r="G218" s="905">
        <v>27</v>
      </c>
      <c r="H218" s="826">
        <f t="shared" si="20"/>
        <v>1.29</v>
      </c>
      <c r="I218" s="708">
        <v>70</v>
      </c>
      <c r="J218" s="708">
        <f t="shared" si="21"/>
        <v>90.3</v>
      </c>
      <c r="K218" s="708">
        <f t="shared" si="24"/>
        <v>10610.911503251047</v>
      </c>
      <c r="L218" s="624"/>
      <c r="M218" s="439"/>
      <c r="N218" s="731"/>
      <c r="O218" s="764"/>
      <c r="P218" s="721"/>
      <c r="Q218" s="733"/>
    </row>
    <row r="219" spans="1:17" ht="16.5" customHeight="1">
      <c r="A219" s="707">
        <f t="shared" si="19"/>
        <v>55</v>
      </c>
      <c r="B219" s="291" t="s">
        <v>708</v>
      </c>
      <c r="C219" s="722">
        <v>41948</v>
      </c>
      <c r="D219" s="722" t="s">
        <v>763</v>
      </c>
      <c r="E219" s="904">
        <v>41.5</v>
      </c>
      <c r="F219" s="905">
        <v>38.5</v>
      </c>
      <c r="G219" s="905">
        <v>27</v>
      </c>
      <c r="H219" s="826">
        <f t="shared" si="20"/>
        <v>1.1299999999999999</v>
      </c>
      <c r="I219" s="708">
        <v>101</v>
      </c>
      <c r="J219" s="708">
        <f t="shared" si="21"/>
        <v>114.13</v>
      </c>
      <c r="K219" s="708">
        <f t="shared" si="24"/>
        <v>9294.8294563361869</v>
      </c>
      <c r="L219" s="624"/>
      <c r="M219" s="439"/>
      <c r="N219" s="731"/>
      <c r="O219" s="764"/>
      <c r="P219" s="721"/>
      <c r="Q219" s="733"/>
    </row>
    <row r="220" spans="1:17" ht="16.5" customHeight="1">
      <c r="A220" s="707">
        <f t="shared" si="19"/>
        <v>56</v>
      </c>
      <c r="B220" s="291" t="s">
        <v>789</v>
      </c>
      <c r="C220" s="722">
        <v>41948</v>
      </c>
      <c r="D220" s="722" t="s">
        <v>763</v>
      </c>
      <c r="E220" s="904">
        <v>45</v>
      </c>
      <c r="F220" s="905">
        <v>41</v>
      </c>
      <c r="G220" s="905">
        <v>11.5</v>
      </c>
      <c r="H220" s="826">
        <f t="shared" si="20"/>
        <v>0.98</v>
      </c>
      <c r="I220" s="708">
        <v>3030</v>
      </c>
      <c r="J220" s="708">
        <f t="shared" si="21"/>
        <v>2969.4</v>
      </c>
      <c r="K220" s="708">
        <f t="shared" si="24"/>
        <v>8061.0025373535082</v>
      </c>
      <c r="L220" s="624"/>
      <c r="M220" s="439"/>
      <c r="N220" s="731"/>
      <c r="O220" s="764"/>
      <c r="P220" s="721"/>
      <c r="Q220" s="733"/>
    </row>
    <row r="221" spans="1:17" ht="16.5" customHeight="1">
      <c r="A221" s="707">
        <f t="shared" si="19"/>
        <v>57</v>
      </c>
      <c r="B221" s="291" t="s">
        <v>764</v>
      </c>
      <c r="C221" s="722">
        <v>41950</v>
      </c>
      <c r="D221" s="722" t="s">
        <v>765</v>
      </c>
      <c r="E221" s="904">
        <v>42</v>
      </c>
      <c r="F221" s="905">
        <v>57</v>
      </c>
      <c r="G221" s="905"/>
      <c r="H221" s="826">
        <f t="shared" si="20"/>
        <v>0.24</v>
      </c>
      <c r="I221" s="708">
        <v>100</v>
      </c>
      <c r="J221" s="708">
        <f t="shared" si="21"/>
        <v>24</v>
      </c>
      <c r="K221" s="708">
        <f t="shared" si="24"/>
        <v>1974.1230703722877</v>
      </c>
      <c r="L221" s="624"/>
      <c r="M221" s="439"/>
      <c r="N221" s="731"/>
      <c r="O221" s="764"/>
      <c r="P221" s="721"/>
      <c r="Q221" s="733"/>
    </row>
    <row r="222" spans="1:17" ht="16.5" customHeight="1">
      <c r="A222" s="707">
        <f t="shared" si="19"/>
        <v>58</v>
      </c>
      <c r="B222" s="291" t="s">
        <v>766</v>
      </c>
      <c r="C222" s="722">
        <v>41950</v>
      </c>
      <c r="D222" s="722" t="s">
        <v>765</v>
      </c>
      <c r="E222" s="904">
        <v>58</v>
      </c>
      <c r="F222" s="905">
        <v>43</v>
      </c>
      <c r="G222" s="905">
        <v>31</v>
      </c>
      <c r="H222" s="826">
        <f t="shared" si="20"/>
        <v>1.59</v>
      </c>
      <c r="I222" s="708">
        <v>100</v>
      </c>
      <c r="J222" s="708">
        <f t="shared" si="21"/>
        <v>159</v>
      </c>
      <c r="K222" s="708">
        <f t="shared" si="24"/>
        <v>13078.565341216407</v>
      </c>
      <c r="L222" s="624"/>
      <c r="M222" s="439"/>
      <c r="N222" s="731"/>
      <c r="O222" s="764"/>
      <c r="P222" s="721"/>
      <c r="Q222" s="733"/>
    </row>
    <row r="223" spans="1:17" ht="16.5" customHeight="1">
      <c r="A223" s="707">
        <f t="shared" si="19"/>
        <v>59</v>
      </c>
      <c r="B223" s="291" t="s">
        <v>767</v>
      </c>
      <c r="C223" s="722">
        <v>41950</v>
      </c>
      <c r="D223" s="722" t="s">
        <v>765</v>
      </c>
      <c r="E223" s="904">
        <v>35</v>
      </c>
      <c r="F223" s="905">
        <v>25</v>
      </c>
      <c r="G223" s="905">
        <v>30</v>
      </c>
      <c r="H223" s="826">
        <f t="shared" si="20"/>
        <v>0.73</v>
      </c>
      <c r="I223" s="708">
        <v>209</v>
      </c>
      <c r="J223" s="708">
        <f t="shared" si="21"/>
        <v>152.57</v>
      </c>
      <c r="K223" s="708">
        <f t="shared" si="24"/>
        <v>6004.6243390490417</v>
      </c>
      <c r="L223" s="624"/>
      <c r="M223" s="439"/>
      <c r="N223" s="731"/>
      <c r="O223" s="764"/>
      <c r="P223" s="721"/>
      <c r="Q223" s="733"/>
    </row>
    <row r="224" spans="1:17" ht="16.5" customHeight="1">
      <c r="A224" s="707">
        <f t="shared" si="19"/>
        <v>60</v>
      </c>
      <c r="B224" s="291" t="s">
        <v>593</v>
      </c>
      <c r="C224" s="722">
        <v>41950</v>
      </c>
      <c r="D224" s="722" t="s">
        <v>768</v>
      </c>
      <c r="E224" s="904">
        <v>55</v>
      </c>
      <c r="F224" s="905">
        <v>55</v>
      </c>
      <c r="G224" s="905">
        <v>75</v>
      </c>
      <c r="H224" s="826">
        <f t="shared" si="20"/>
        <v>2.99</v>
      </c>
      <c r="I224" s="708">
        <v>206</v>
      </c>
      <c r="J224" s="708">
        <f t="shared" si="21"/>
        <v>615.94000000000005</v>
      </c>
      <c r="K224" s="708">
        <f t="shared" si="24"/>
        <v>24594.283251721419</v>
      </c>
      <c r="L224" s="624"/>
      <c r="M224" s="439"/>
      <c r="N224" s="731"/>
      <c r="O224" s="764"/>
      <c r="P224" s="721"/>
      <c r="Q224" s="733"/>
    </row>
    <row r="225" spans="1:17" ht="16.5" customHeight="1">
      <c r="A225" s="707">
        <f t="shared" si="19"/>
        <v>61</v>
      </c>
      <c r="B225" s="291" t="s">
        <v>436</v>
      </c>
      <c r="C225" s="722">
        <v>41955</v>
      </c>
      <c r="D225" s="722" t="s">
        <v>769</v>
      </c>
      <c r="E225" s="904">
        <v>49</v>
      </c>
      <c r="F225" s="905">
        <v>38</v>
      </c>
      <c r="G225" s="905">
        <v>12</v>
      </c>
      <c r="H225" s="826">
        <f t="shared" si="20"/>
        <v>0.95</v>
      </c>
      <c r="I225" s="708">
        <v>504</v>
      </c>
      <c r="J225" s="708">
        <f t="shared" si="21"/>
        <v>478.79999999999995</v>
      </c>
      <c r="K225" s="708">
        <f t="shared" si="24"/>
        <v>7814.2371535569719</v>
      </c>
      <c r="L225" s="624"/>
      <c r="M225" s="439"/>
      <c r="N225" s="731"/>
      <c r="O225" s="764"/>
      <c r="P225" s="721"/>
      <c r="Q225" s="733"/>
    </row>
    <row r="226" spans="1:17" ht="16.5" customHeight="1">
      <c r="A226" s="707">
        <f t="shared" si="19"/>
        <v>62</v>
      </c>
      <c r="B226" s="291" t="s">
        <v>436</v>
      </c>
      <c r="C226" s="722">
        <v>41955</v>
      </c>
      <c r="D226" s="722" t="s">
        <v>769</v>
      </c>
      <c r="E226" s="904">
        <v>49</v>
      </c>
      <c r="F226" s="905">
        <v>38</v>
      </c>
      <c r="G226" s="905">
        <v>12</v>
      </c>
      <c r="H226" s="826">
        <f t="shared" si="20"/>
        <v>0.95</v>
      </c>
      <c r="I226" s="708">
        <v>318</v>
      </c>
      <c r="J226" s="708">
        <f t="shared" si="21"/>
        <v>302.09999999999997</v>
      </c>
      <c r="K226" s="708">
        <f t="shared" si="24"/>
        <v>7814.2371535569719</v>
      </c>
      <c r="L226" s="624"/>
      <c r="M226" s="439"/>
      <c r="N226" s="731"/>
      <c r="O226" s="764"/>
      <c r="P226" s="721"/>
      <c r="Q226" s="733"/>
    </row>
    <row r="227" spans="1:17" ht="16.5" customHeight="1">
      <c r="A227" s="707">
        <f t="shared" si="19"/>
        <v>63</v>
      </c>
      <c r="B227" s="291" t="s">
        <v>771</v>
      </c>
      <c r="C227" s="722">
        <v>41955</v>
      </c>
      <c r="D227" s="722" t="s">
        <v>770</v>
      </c>
      <c r="E227" s="904">
        <v>74</v>
      </c>
      <c r="F227" s="905">
        <v>53</v>
      </c>
      <c r="G227" s="905">
        <v>33</v>
      </c>
      <c r="H227" s="826">
        <f t="shared" si="20"/>
        <v>2.31</v>
      </c>
      <c r="I227" s="708">
        <v>347</v>
      </c>
      <c r="J227" s="708">
        <f t="shared" si="21"/>
        <v>801.57</v>
      </c>
      <c r="K227" s="708">
        <f t="shared" si="24"/>
        <v>19000.93455233327</v>
      </c>
      <c r="L227" s="624"/>
      <c r="M227" s="439"/>
      <c r="N227" s="731"/>
      <c r="O227" s="764"/>
      <c r="P227" s="721"/>
      <c r="Q227" s="733"/>
    </row>
    <row r="228" spans="1:17" ht="16.5" customHeight="1">
      <c r="A228" s="707">
        <f t="shared" si="19"/>
        <v>64</v>
      </c>
      <c r="B228" s="291" t="s">
        <v>772</v>
      </c>
      <c r="C228" s="722">
        <v>41955</v>
      </c>
      <c r="D228" s="722" t="s">
        <v>770</v>
      </c>
      <c r="E228" s="904">
        <v>105</v>
      </c>
      <c r="F228" s="905">
        <v>57</v>
      </c>
      <c r="G228" s="905">
        <v>33</v>
      </c>
      <c r="H228" s="826">
        <f t="shared" si="20"/>
        <v>3.06</v>
      </c>
      <c r="I228" s="708">
        <v>593</v>
      </c>
      <c r="J228" s="708">
        <f t="shared" si="21"/>
        <v>1814.58</v>
      </c>
      <c r="K228" s="708">
        <f t="shared" si="24"/>
        <v>25170.069147246668</v>
      </c>
      <c r="L228" s="624"/>
      <c r="M228" s="439"/>
      <c r="N228" s="731"/>
      <c r="O228" s="764"/>
      <c r="P228" s="721"/>
      <c r="Q228" s="733"/>
    </row>
    <row r="229" spans="1:17" ht="16.5" customHeight="1">
      <c r="A229" s="707">
        <f t="shared" ref="A229:A292" si="25">IF(B229&lt;&gt;"",A228+1,"")</f>
        <v>65</v>
      </c>
      <c r="B229" s="291" t="s">
        <v>746</v>
      </c>
      <c r="C229" s="722">
        <v>41955</v>
      </c>
      <c r="D229" s="722" t="s">
        <v>770</v>
      </c>
      <c r="E229" s="904">
        <v>60</v>
      </c>
      <c r="F229" s="905">
        <v>25</v>
      </c>
      <c r="G229" s="905"/>
      <c r="H229" s="826">
        <f t="shared" si="20"/>
        <v>0.15</v>
      </c>
      <c r="I229" s="708">
        <v>1880</v>
      </c>
      <c r="J229" s="708">
        <f t="shared" si="21"/>
        <v>282</v>
      </c>
      <c r="K229" s="708">
        <f t="shared" si="24"/>
        <v>1233.8269189826799</v>
      </c>
      <c r="L229" s="624"/>
      <c r="M229" s="439"/>
      <c r="N229" s="731"/>
      <c r="O229" s="764"/>
      <c r="P229" s="721"/>
      <c r="Q229" s="733"/>
    </row>
    <row r="230" spans="1:17" ht="16.5" customHeight="1">
      <c r="A230" s="707">
        <f t="shared" si="25"/>
        <v>66</v>
      </c>
      <c r="B230" s="291" t="s">
        <v>670</v>
      </c>
      <c r="C230" s="722">
        <v>41956</v>
      </c>
      <c r="D230" s="722" t="s">
        <v>773</v>
      </c>
      <c r="E230" s="904">
        <v>43</v>
      </c>
      <c r="F230" s="905">
        <v>31</v>
      </c>
      <c r="G230" s="905">
        <v>25</v>
      </c>
      <c r="H230" s="826">
        <f t="shared" ref="H230:H293" si="26">IF(G230&lt;&gt;"",ROUND(((E230+F230)*2+5)*(F230+G230+3)/10000,2),ROUND(E230*F230/10000,2))</f>
        <v>0.9</v>
      </c>
      <c r="I230" s="708">
        <v>1010</v>
      </c>
      <c r="J230" s="708">
        <f t="shared" ref="J230:J293" si="27">H230*I230</f>
        <v>909</v>
      </c>
      <c r="K230" s="708">
        <f t="shared" ref="K230:K293" si="28">H230*$Q$198</f>
        <v>7402.9615138960789</v>
      </c>
      <c r="L230" s="624"/>
      <c r="M230" s="439"/>
      <c r="N230" s="731"/>
      <c r="O230" s="764"/>
      <c r="P230" s="721"/>
      <c r="Q230" s="733"/>
    </row>
    <row r="231" spans="1:17" ht="16.5" customHeight="1">
      <c r="A231" s="707">
        <f t="shared" si="25"/>
        <v>67</v>
      </c>
      <c r="B231" s="291" t="s">
        <v>515</v>
      </c>
      <c r="C231" s="722">
        <v>41958</v>
      </c>
      <c r="D231" s="722" t="s">
        <v>774</v>
      </c>
      <c r="E231" s="904">
        <v>59</v>
      </c>
      <c r="F231" s="905">
        <v>28</v>
      </c>
      <c r="G231" s="905">
        <v>17</v>
      </c>
      <c r="H231" s="826">
        <f t="shared" si="26"/>
        <v>0.86</v>
      </c>
      <c r="I231" s="708">
        <v>1012</v>
      </c>
      <c r="J231" s="708">
        <f t="shared" si="27"/>
        <v>870.31999999999994</v>
      </c>
      <c r="K231" s="708">
        <f t="shared" si="28"/>
        <v>7073.9410021673648</v>
      </c>
      <c r="L231" s="624"/>
      <c r="M231" s="439"/>
      <c r="N231" s="731"/>
      <c r="O231" s="764"/>
      <c r="P231" s="721"/>
      <c r="Q231" s="733"/>
    </row>
    <row r="232" spans="1:17" ht="16.5" customHeight="1">
      <c r="A232" s="707">
        <f t="shared" si="25"/>
        <v>68</v>
      </c>
      <c r="B232" s="291" t="s">
        <v>775</v>
      </c>
      <c r="C232" s="722">
        <v>41960</v>
      </c>
      <c r="D232" s="722" t="s">
        <v>776</v>
      </c>
      <c r="E232" s="904">
        <v>48.5</v>
      </c>
      <c r="F232" s="905">
        <v>23</v>
      </c>
      <c r="G232" s="905">
        <v>35</v>
      </c>
      <c r="H232" s="826">
        <f t="shared" si="26"/>
        <v>0.9</v>
      </c>
      <c r="I232" s="708">
        <v>1990</v>
      </c>
      <c r="J232" s="708">
        <f t="shared" si="27"/>
        <v>1791</v>
      </c>
      <c r="K232" s="708">
        <f t="shared" si="28"/>
        <v>7402.9615138960789</v>
      </c>
      <c r="L232" s="624"/>
      <c r="M232" s="439"/>
      <c r="N232" s="731"/>
      <c r="O232" s="764"/>
      <c r="P232" s="721"/>
      <c r="Q232" s="733"/>
    </row>
    <row r="233" spans="1:17" ht="16.5" customHeight="1">
      <c r="A233" s="707">
        <f t="shared" si="25"/>
        <v>69</v>
      </c>
      <c r="B233" s="291" t="s">
        <v>503</v>
      </c>
      <c r="C233" s="722">
        <v>41962</v>
      </c>
      <c r="D233" s="722" t="s">
        <v>778</v>
      </c>
      <c r="E233" s="904">
        <v>51.5</v>
      </c>
      <c r="F233" s="905">
        <v>26</v>
      </c>
      <c r="G233" s="905">
        <v>27</v>
      </c>
      <c r="H233" s="826">
        <f t="shared" si="26"/>
        <v>0.9</v>
      </c>
      <c r="I233" s="708">
        <v>609</v>
      </c>
      <c r="J233" s="708">
        <f t="shared" si="27"/>
        <v>548.1</v>
      </c>
      <c r="K233" s="708">
        <f t="shared" si="28"/>
        <v>7402.9615138960789</v>
      </c>
      <c r="L233" s="624"/>
      <c r="M233" s="439"/>
      <c r="N233" s="731"/>
      <c r="O233" s="764"/>
      <c r="P233" s="721"/>
      <c r="Q233" s="733"/>
    </row>
    <row r="234" spans="1:17" ht="16.5" customHeight="1">
      <c r="A234" s="707">
        <f t="shared" si="25"/>
        <v>70</v>
      </c>
      <c r="B234" s="291" t="s">
        <v>504</v>
      </c>
      <c r="C234" s="722">
        <v>41962</v>
      </c>
      <c r="D234" s="722" t="s">
        <v>778</v>
      </c>
      <c r="E234" s="904">
        <v>51.5</v>
      </c>
      <c r="F234" s="905">
        <v>27.5</v>
      </c>
      <c r="G234" s="905">
        <v>27.5</v>
      </c>
      <c r="H234" s="826">
        <f t="shared" si="26"/>
        <v>0.95</v>
      </c>
      <c r="I234" s="708">
        <v>213</v>
      </c>
      <c r="J234" s="708">
        <f t="shared" si="27"/>
        <v>202.35</v>
      </c>
      <c r="K234" s="708">
        <f t="shared" si="28"/>
        <v>7814.2371535569719</v>
      </c>
      <c r="L234" s="624"/>
      <c r="M234" s="439"/>
      <c r="N234" s="731"/>
      <c r="O234" s="764"/>
      <c r="P234" s="721"/>
      <c r="Q234" s="733"/>
    </row>
    <row r="235" spans="1:17" ht="16.5" customHeight="1">
      <c r="A235" s="707">
        <f t="shared" si="25"/>
        <v>71</v>
      </c>
      <c r="B235" s="291" t="s">
        <v>779</v>
      </c>
      <c r="C235" s="722">
        <v>41962</v>
      </c>
      <c r="D235" s="722" t="s">
        <v>778</v>
      </c>
      <c r="E235" s="904">
        <v>51.5</v>
      </c>
      <c r="F235" s="905">
        <v>25.5</v>
      </c>
      <c r="G235" s="905">
        <v>25.2</v>
      </c>
      <c r="H235" s="826">
        <f t="shared" si="26"/>
        <v>0.85</v>
      </c>
      <c r="I235" s="708">
        <v>796</v>
      </c>
      <c r="J235" s="708">
        <f t="shared" si="27"/>
        <v>676.6</v>
      </c>
      <c r="K235" s="708">
        <f t="shared" si="28"/>
        <v>6991.685874235186</v>
      </c>
      <c r="L235" s="624"/>
      <c r="M235" s="439"/>
      <c r="N235" s="731"/>
      <c r="O235" s="764"/>
      <c r="P235" s="721"/>
      <c r="Q235" s="733"/>
    </row>
    <row r="236" spans="1:17" ht="16.5" customHeight="1">
      <c r="A236" s="707">
        <f t="shared" si="25"/>
        <v>72</v>
      </c>
      <c r="B236" s="291" t="s">
        <v>406</v>
      </c>
      <c r="C236" s="722">
        <v>41962</v>
      </c>
      <c r="D236" s="722" t="s">
        <v>778</v>
      </c>
      <c r="E236" s="904">
        <v>52</v>
      </c>
      <c r="F236" s="905">
        <v>32</v>
      </c>
      <c r="G236" s="905">
        <v>22</v>
      </c>
      <c r="H236" s="826">
        <f t="shared" si="26"/>
        <v>0.99</v>
      </c>
      <c r="I236" s="708">
        <v>402</v>
      </c>
      <c r="J236" s="708">
        <f t="shared" si="27"/>
        <v>397.98</v>
      </c>
      <c r="K236" s="708">
        <f t="shared" si="28"/>
        <v>8143.2576652856869</v>
      </c>
      <c r="L236" s="624"/>
      <c r="M236" s="439"/>
      <c r="N236" s="731"/>
      <c r="O236" s="764"/>
      <c r="P236" s="721"/>
      <c r="Q236" s="733"/>
    </row>
    <row r="237" spans="1:17" ht="16.5" customHeight="1">
      <c r="A237" s="707">
        <f t="shared" si="25"/>
        <v>73</v>
      </c>
      <c r="B237" s="291" t="s">
        <v>780</v>
      </c>
      <c r="C237" s="722">
        <v>41962</v>
      </c>
      <c r="D237" s="722" t="s">
        <v>781</v>
      </c>
      <c r="E237" s="904">
        <v>27.3</v>
      </c>
      <c r="F237" s="905">
        <v>20.3</v>
      </c>
      <c r="G237" s="905">
        <v>31.3</v>
      </c>
      <c r="H237" s="826">
        <f t="shared" si="26"/>
        <v>0.55000000000000004</v>
      </c>
      <c r="I237" s="708">
        <v>975</v>
      </c>
      <c r="J237" s="708">
        <f t="shared" si="27"/>
        <v>536.25</v>
      </c>
      <c r="K237" s="708">
        <f t="shared" si="28"/>
        <v>4524.0320362698267</v>
      </c>
      <c r="L237" s="624"/>
      <c r="M237" s="439"/>
      <c r="N237" s="731"/>
      <c r="O237" s="764"/>
      <c r="P237" s="721"/>
      <c r="Q237" s="733"/>
    </row>
    <row r="238" spans="1:17" ht="16.5" customHeight="1">
      <c r="A238" s="707">
        <f t="shared" si="25"/>
        <v>74</v>
      </c>
      <c r="B238" s="291" t="s">
        <v>783</v>
      </c>
      <c r="C238" s="722">
        <v>41962</v>
      </c>
      <c r="D238" s="722" t="s">
        <v>781</v>
      </c>
      <c r="E238" s="904">
        <v>26.3</v>
      </c>
      <c r="F238" s="905">
        <v>30.3</v>
      </c>
      <c r="G238" s="905"/>
      <c r="H238" s="826">
        <f t="shared" si="26"/>
        <v>0.08</v>
      </c>
      <c r="I238" s="708">
        <v>1000</v>
      </c>
      <c r="J238" s="708">
        <f t="shared" si="27"/>
        <v>80</v>
      </c>
      <c r="K238" s="708">
        <f t="shared" si="28"/>
        <v>658.04102345742922</v>
      </c>
      <c r="L238" s="624"/>
      <c r="M238" s="439"/>
      <c r="N238" s="731"/>
      <c r="O238" s="764"/>
      <c r="P238" s="721"/>
      <c r="Q238" s="733"/>
    </row>
    <row r="239" spans="1:17" ht="16.5" customHeight="1">
      <c r="A239" s="707">
        <f t="shared" si="25"/>
        <v>75</v>
      </c>
      <c r="B239" s="291" t="s">
        <v>784</v>
      </c>
      <c r="C239" s="722">
        <v>41962</v>
      </c>
      <c r="D239" s="722" t="s">
        <v>781</v>
      </c>
      <c r="E239" s="904">
        <v>19.3</v>
      </c>
      <c r="F239" s="905">
        <v>30.3</v>
      </c>
      <c r="G239" s="905"/>
      <c r="H239" s="826">
        <f t="shared" si="26"/>
        <v>0.06</v>
      </c>
      <c r="I239" s="708">
        <v>1000</v>
      </c>
      <c r="J239" s="708">
        <f t="shared" si="27"/>
        <v>60</v>
      </c>
      <c r="K239" s="708">
        <f t="shared" si="28"/>
        <v>493.53076759307191</v>
      </c>
      <c r="L239" s="624"/>
      <c r="M239" s="439"/>
      <c r="N239" s="731"/>
      <c r="O239" s="764"/>
      <c r="P239" s="721"/>
      <c r="Q239" s="733"/>
    </row>
    <row r="240" spans="1:17" ht="16.5" customHeight="1">
      <c r="A240" s="707">
        <f t="shared" si="25"/>
        <v>76</v>
      </c>
      <c r="B240" s="291" t="s">
        <v>785</v>
      </c>
      <c r="C240" s="722">
        <v>41962</v>
      </c>
      <c r="D240" s="722" t="s">
        <v>781</v>
      </c>
      <c r="E240" s="904">
        <v>24.3</v>
      </c>
      <c r="F240" s="905">
        <v>14.8</v>
      </c>
      <c r="G240" s="905">
        <v>31.3</v>
      </c>
      <c r="H240" s="826">
        <f t="shared" si="26"/>
        <v>0.41</v>
      </c>
      <c r="I240" s="708">
        <v>978</v>
      </c>
      <c r="J240" s="708">
        <f t="shared" si="27"/>
        <v>400.97999999999996</v>
      </c>
      <c r="K240" s="708">
        <f t="shared" si="28"/>
        <v>3372.4602452193249</v>
      </c>
      <c r="L240" s="624"/>
      <c r="M240" s="439"/>
      <c r="N240" s="731"/>
      <c r="O240" s="764"/>
      <c r="P240" s="721"/>
      <c r="Q240" s="733"/>
    </row>
    <row r="241" spans="1:17" ht="16.5" customHeight="1">
      <c r="A241" s="707">
        <f t="shared" si="25"/>
        <v>77</v>
      </c>
      <c r="B241" s="291" t="s">
        <v>786</v>
      </c>
      <c r="C241" s="722">
        <v>41962</v>
      </c>
      <c r="D241" s="722" t="s">
        <v>781</v>
      </c>
      <c r="E241" s="904">
        <v>23.3</v>
      </c>
      <c r="F241" s="905">
        <v>30.3</v>
      </c>
      <c r="G241" s="905"/>
      <c r="H241" s="826">
        <f t="shared" si="26"/>
        <v>7.0000000000000007E-2</v>
      </c>
      <c r="I241" s="708">
        <v>1000</v>
      </c>
      <c r="J241" s="708">
        <f t="shared" si="27"/>
        <v>70</v>
      </c>
      <c r="K241" s="708">
        <f t="shared" si="28"/>
        <v>575.78589552525068</v>
      </c>
      <c r="L241" s="624"/>
      <c r="M241" s="439"/>
      <c r="N241" s="731"/>
      <c r="O241" s="764"/>
      <c r="P241" s="721"/>
      <c r="Q241" s="733"/>
    </row>
    <row r="242" spans="1:17" ht="16.5" customHeight="1">
      <c r="A242" s="707">
        <f t="shared" si="25"/>
        <v>78</v>
      </c>
      <c r="B242" s="291" t="s">
        <v>787</v>
      </c>
      <c r="C242" s="722">
        <v>41962</v>
      </c>
      <c r="D242" s="722" t="s">
        <v>781</v>
      </c>
      <c r="E242" s="904">
        <v>13.8</v>
      </c>
      <c r="F242" s="905">
        <v>30.3</v>
      </c>
      <c r="G242" s="905"/>
      <c r="H242" s="826">
        <f t="shared" si="26"/>
        <v>0.04</v>
      </c>
      <c r="I242" s="708">
        <v>1000</v>
      </c>
      <c r="J242" s="708">
        <f t="shared" si="27"/>
        <v>40</v>
      </c>
      <c r="K242" s="708">
        <f t="shared" si="28"/>
        <v>329.02051172871461</v>
      </c>
      <c r="L242" s="624"/>
      <c r="M242" s="439"/>
      <c r="N242" s="731"/>
      <c r="O242" s="764"/>
      <c r="P242" s="721"/>
      <c r="Q242" s="733"/>
    </row>
    <row r="243" spans="1:17" ht="16.5" customHeight="1">
      <c r="A243" s="707">
        <f t="shared" si="25"/>
        <v>79</v>
      </c>
      <c r="B243" s="291" t="s">
        <v>459</v>
      </c>
      <c r="C243" s="722">
        <v>41963</v>
      </c>
      <c r="D243" s="722" t="s">
        <v>788</v>
      </c>
      <c r="E243" s="904">
        <v>55</v>
      </c>
      <c r="F243" s="905">
        <v>28</v>
      </c>
      <c r="G243" s="905">
        <v>23</v>
      </c>
      <c r="H243" s="826">
        <f t="shared" si="26"/>
        <v>0.92</v>
      </c>
      <c r="I243" s="708">
        <v>993</v>
      </c>
      <c r="J243" s="708">
        <f t="shared" si="27"/>
        <v>913.56000000000006</v>
      </c>
      <c r="K243" s="708">
        <f t="shared" si="28"/>
        <v>7567.4717697604365</v>
      </c>
      <c r="L243" s="624"/>
      <c r="M243" s="439"/>
      <c r="N243" s="731"/>
      <c r="O243" s="764"/>
      <c r="P243" s="721"/>
      <c r="Q243" s="733"/>
    </row>
    <row r="244" spans="1:17" ht="16.5" customHeight="1">
      <c r="A244" s="707">
        <f t="shared" si="25"/>
        <v>80</v>
      </c>
      <c r="B244" s="291" t="s">
        <v>789</v>
      </c>
      <c r="C244" s="722">
        <v>41963</v>
      </c>
      <c r="D244" s="722" t="s">
        <v>790</v>
      </c>
      <c r="E244" s="904">
        <v>45</v>
      </c>
      <c r="F244" s="905">
        <v>41</v>
      </c>
      <c r="G244" s="905">
        <v>11.5</v>
      </c>
      <c r="H244" s="826">
        <f t="shared" si="26"/>
        <v>0.98</v>
      </c>
      <c r="I244" s="708">
        <v>3030</v>
      </c>
      <c r="J244" s="708">
        <f t="shared" si="27"/>
        <v>2969.4</v>
      </c>
      <c r="K244" s="708">
        <f t="shared" si="28"/>
        <v>8061.0025373535082</v>
      </c>
      <c r="L244" s="624"/>
      <c r="M244" s="439"/>
      <c r="N244" s="731"/>
      <c r="O244" s="764"/>
      <c r="P244" s="721"/>
      <c r="Q244" s="733"/>
    </row>
    <row r="245" spans="1:17" ht="16.5" customHeight="1">
      <c r="A245" s="707">
        <f t="shared" si="25"/>
        <v>81</v>
      </c>
      <c r="B245" s="291" t="s">
        <v>789</v>
      </c>
      <c r="C245" s="722">
        <v>41963</v>
      </c>
      <c r="D245" s="722" t="s">
        <v>790</v>
      </c>
      <c r="E245" s="904">
        <v>45</v>
      </c>
      <c r="F245" s="905">
        <v>41</v>
      </c>
      <c r="G245" s="905">
        <v>11.5</v>
      </c>
      <c r="H245" s="826">
        <f t="shared" si="26"/>
        <v>0.98</v>
      </c>
      <c r="I245" s="708">
        <v>219</v>
      </c>
      <c r="J245" s="708">
        <f t="shared" si="27"/>
        <v>214.62</v>
      </c>
      <c r="K245" s="708">
        <f t="shared" si="28"/>
        <v>8061.0025373535082</v>
      </c>
      <c r="L245" s="624"/>
      <c r="M245" s="439"/>
      <c r="N245" s="731"/>
      <c r="O245" s="764"/>
      <c r="P245" s="721"/>
      <c r="Q245" s="733"/>
    </row>
    <row r="246" spans="1:17" ht="16.5" customHeight="1">
      <c r="A246" s="707">
        <f t="shared" si="25"/>
        <v>82</v>
      </c>
      <c r="B246" s="291" t="s">
        <v>789</v>
      </c>
      <c r="C246" s="722">
        <v>41963</v>
      </c>
      <c r="D246" s="722" t="s">
        <v>790</v>
      </c>
      <c r="E246" s="904">
        <v>45</v>
      </c>
      <c r="F246" s="905">
        <v>41</v>
      </c>
      <c r="G246" s="905">
        <v>11.5</v>
      </c>
      <c r="H246" s="826">
        <f t="shared" si="26"/>
        <v>0.98</v>
      </c>
      <c r="I246" s="708">
        <v>3167</v>
      </c>
      <c r="J246" s="708">
        <f t="shared" si="27"/>
        <v>3103.66</v>
      </c>
      <c r="K246" s="708">
        <f t="shared" si="28"/>
        <v>8061.0025373535082</v>
      </c>
      <c r="L246" s="624"/>
      <c r="M246" s="439"/>
      <c r="N246" s="731"/>
      <c r="O246" s="764"/>
      <c r="P246" s="721"/>
      <c r="Q246" s="733"/>
    </row>
    <row r="247" spans="1:17" ht="16.5" customHeight="1">
      <c r="A247" s="707">
        <f t="shared" si="25"/>
        <v>83</v>
      </c>
      <c r="B247" s="189" t="s">
        <v>1206</v>
      </c>
      <c r="C247" s="722">
        <v>41964</v>
      </c>
      <c r="D247" s="722" t="s">
        <v>791</v>
      </c>
      <c r="E247" s="904">
        <v>45</v>
      </c>
      <c r="F247" s="905">
        <v>37</v>
      </c>
      <c r="G247" s="905">
        <v>27.5</v>
      </c>
      <c r="H247" s="826">
        <f t="shared" si="26"/>
        <v>1.1399999999999999</v>
      </c>
      <c r="I247" s="708">
        <v>780</v>
      </c>
      <c r="J247" s="708">
        <f t="shared" si="27"/>
        <v>889.19999999999993</v>
      </c>
      <c r="K247" s="708">
        <f t="shared" si="28"/>
        <v>9377.0845842683666</v>
      </c>
      <c r="L247" s="624"/>
      <c r="M247" s="439"/>
      <c r="N247" s="731"/>
      <c r="O247" s="764"/>
      <c r="P247" s="721"/>
      <c r="Q247" s="733"/>
    </row>
    <row r="248" spans="1:17" ht="16.5" customHeight="1">
      <c r="A248" s="707">
        <f t="shared" si="25"/>
        <v>84</v>
      </c>
      <c r="B248" s="291" t="s">
        <v>445</v>
      </c>
      <c r="C248" s="722">
        <v>41964</v>
      </c>
      <c r="D248" s="722" t="s">
        <v>791</v>
      </c>
      <c r="E248" s="904">
        <v>50</v>
      </c>
      <c r="F248" s="905">
        <v>20</v>
      </c>
      <c r="G248" s="905"/>
      <c r="H248" s="826">
        <f t="shared" si="26"/>
        <v>0.1</v>
      </c>
      <c r="I248" s="708">
        <v>1600</v>
      </c>
      <c r="J248" s="708">
        <f t="shared" si="27"/>
        <v>160</v>
      </c>
      <c r="K248" s="708">
        <f t="shared" si="28"/>
        <v>822.55127932178664</v>
      </c>
      <c r="L248" s="624"/>
      <c r="M248" s="439"/>
      <c r="N248" s="731"/>
      <c r="O248" s="764"/>
      <c r="P248" s="721"/>
      <c r="Q248" s="733"/>
    </row>
    <row r="249" spans="1:17" ht="16.5" customHeight="1">
      <c r="A249" s="707">
        <f t="shared" si="25"/>
        <v>85</v>
      </c>
      <c r="B249" s="291" t="s">
        <v>566</v>
      </c>
      <c r="C249" s="722">
        <v>41967</v>
      </c>
      <c r="D249" s="722" t="s">
        <v>792</v>
      </c>
      <c r="E249" s="904">
        <v>49</v>
      </c>
      <c r="F249" s="905">
        <v>38</v>
      </c>
      <c r="G249" s="905">
        <v>13</v>
      </c>
      <c r="H249" s="826">
        <f t="shared" si="26"/>
        <v>0.97</v>
      </c>
      <c r="I249" s="708">
        <v>511</v>
      </c>
      <c r="J249" s="708">
        <f t="shared" si="27"/>
        <v>495.66999999999996</v>
      </c>
      <c r="K249" s="708">
        <f t="shared" si="28"/>
        <v>7978.7474094213294</v>
      </c>
      <c r="L249" s="624"/>
      <c r="M249" s="439"/>
      <c r="N249" s="731"/>
      <c r="O249" s="764"/>
      <c r="P249" s="721"/>
      <c r="Q249" s="733"/>
    </row>
    <row r="250" spans="1:17" ht="16.5" customHeight="1">
      <c r="A250" s="707">
        <f t="shared" si="25"/>
        <v>86</v>
      </c>
      <c r="B250" s="291" t="s">
        <v>793</v>
      </c>
      <c r="C250" s="722">
        <v>41968</v>
      </c>
      <c r="D250" s="722" t="s">
        <v>794</v>
      </c>
      <c r="E250" s="904">
        <v>45.5</v>
      </c>
      <c r="F250" s="905">
        <v>41</v>
      </c>
      <c r="G250" s="905">
        <v>11.5</v>
      </c>
      <c r="H250" s="826">
        <f t="shared" si="26"/>
        <v>0.99</v>
      </c>
      <c r="I250" s="708">
        <v>3160</v>
      </c>
      <c r="J250" s="708">
        <f t="shared" si="27"/>
        <v>3128.4</v>
      </c>
      <c r="K250" s="708">
        <f t="shared" si="28"/>
        <v>8143.2576652856869</v>
      </c>
      <c r="L250" s="624"/>
      <c r="M250" s="439"/>
      <c r="N250" s="731"/>
      <c r="O250" s="764"/>
      <c r="P250" s="721"/>
      <c r="Q250" s="733"/>
    </row>
    <row r="251" spans="1:17" ht="16.5" customHeight="1">
      <c r="A251" s="707">
        <f t="shared" si="25"/>
        <v>87</v>
      </c>
      <c r="B251" s="291" t="s">
        <v>722</v>
      </c>
      <c r="C251" s="722">
        <v>41968</v>
      </c>
      <c r="D251" s="722" t="s">
        <v>795</v>
      </c>
      <c r="E251" s="904">
        <v>90</v>
      </c>
      <c r="F251" s="905">
        <v>56</v>
      </c>
      <c r="G251" s="905">
        <v>21</v>
      </c>
      <c r="H251" s="826">
        <f t="shared" si="26"/>
        <v>2.38</v>
      </c>
      <c r="I251" s="708">
        <v>33</v>
      </c>
      <c r="J251" s="708">
        <f t="shared" si="27"/>
        <v>78.539999999999992</v>
      </c>
      <c r="K251" s="708">
        <f t="shared" si="28"/>
        <v>19576.720447858519</v>
      </c>
      <c r="L251" s="624"/>
      <c r="M251" s="439"/>
      <c r="N251" s="731"/>
      <c r="O251" s="764"/>
      <c r="P251" s="721"/>
      <c r="Q251" s="733"/>
    </row>
    <row r="252" spans="1:17" ht="16.5" customHeight="1">
      <c r="A252" s="707">
        <f t="shared" si="25"/>
        <v>88</v>
      </c>
      <c r="B252" s="291" t="s">
        <v>771</v>
      </c>
      <c r="C252" s="722">
        <v>41968</v>
      </c>
      <c r="D252" s="722" t="s">
        <v>795</v>
      </c>
      <c r="E252" s="904">
        <v>74</v>
      </c>
      <c r="F252" s="905">
        <v>53</v>
      </c>
      <c r="G252" s="905">
        <v>33</v>
      </c>
      <c r="H252" s="826">
        <f t="shared" si="26"/>
        <v>2.31</v>
      </c>
      <c r="I252" s="708">
        <v>56</v>
      </c>
      <c r="J252" s="708">
        <f t="shared" si="27"/>
        <v>129.36000000000001</v>
      </c>
      <c r="K252" s="708">
        <f t="shared" si="28"/>
        <v>19000.93455233327</v>
      </c>
      <c r="L252" s="624"/>
      <c r="M252" s="439"/>
      <c r="N252" s="731"/>
      <c r="O252" s="764"/>
      <c r="P252" s="721"/>
      <c r="Q252" s="733"/>
    </row>
    <row r="253" spans="1:17" ht="16.5" customHeight="1">
      <c r="A253" s="707">
        <f t="shared" si="25"/>
        <v>89</v>
      </c>
      <c r="B253" s="291" t="s">
        <v>746</v>
      </c>
      <c r="C253" s="722">
        <v>41968</v>
      </c>
      <c r="D253" s="722" t="s">
        <v>795</v>
      </c>
      <c r="E253" s="904">
        <v>60</v>
      </c>
      <c r="F253" s="905">
        <v>25</v>
      </c>
      <c r="G253" s="905"/>
      <c r="H253" s="826">
        <f t="shared" si="26"/>
        <v>0.15</v>
      </c>
      <c r="I253" s="708">
        <v>178</v>
      </c>
      <c r="J253" s="708">
        <f t="shared" si="27"/>
        <v>26.7</v>
      </c>
      <c r="K253" s="708">
        <f t="shared" si="28"/>
        <v>1233.8269189826799</v>
      </c>
      <c r="L253" s="624"/>
      <c r="M253" s="439"/>
      <c r="N253" s="731"/>
      <c r="O253" s="764"/>
      <c r="P253" s="721"/>
      <c r="Q253" s="733"/>
    </row>
    <row r="254" spans="1:17" ht="16.5" customHeight="1">
      <c r="A254" s="707">
        <f t="shared" si="25"/>
        <v>90</v>
      </c>
      <c r="B254" s="291" t="s">
        <v>796</v>
      </c>
      <c r="C254" s="722">
        <v>41970</v>
      </c>
      <c r="D254" s="722" t="s">
        <v>797</v>
      </c>
      <c r="E254" s="904">
        <v>120</v>
      </c>
      <c r="F254" s="905">
        <v>147</v>
      </c>
      <c r="G254" s="905"/>
      <c r="H254" s="826">
        <f t="shared" si="26"/>
        <v>1.76</v>
      </c>
      <c r="I254" s="708">
        <v>100</v>
      </c>
      <c r="J254" s="708">
        <f t="shared" si="27"/>
        <v>176</v>
      </c>
      <c r="K254" s="708">
        <f t="shared" si="28"/>
        <v>14476.902516063443</v>
      </c>
      <c r="L254" s="624"/>
      <c r="M254" s="439"/>
      <c r="N254" s="731"/>
      <c r="O254" s="764"/>
      <c r="P254" s="721"/>
      <c r="Q254" s="733"/>
    </row>
    <row r="255" spans="1:17" ht="16.5" customHeight="1">
      <c r="A255" s="707">
        <f t="shared" si="25"/>
        <v>91</v>
      </c>
      <c r="B255" s="291" t="s">
        <v>508</v>
      </c>
      <c r="C255" s="722">
        <v>41970</v>
      </c>
      <c r="D255" s="722" t="s">
        <v>799</v>
      </c>
      <c r="E255" s="904">
        <v>39.5</v>
      </c>
      <c r="F255" s="905">
        <v>32.299999999999997</v>
      </c>
      <c r="G255" s="905">
        <v>27.7</v>
      </c>
      <c r="H255" s="826">
        <f t="shared" si="26"/>
        <v>0.94</v>
      </c>
      <c r="I255" s="708">
        <v>333</v>
      </c>
      <c r="J255" s="708">
        <f t="shared" si="27"/>
        <v>313.02</v>
      </c>
      <c r="K255" s="708">
        <f t="shared" si="28"/>
        <v>7731.9820256247931</v>
      </c>
      <c r="L255" s="624"/>
      <c r="M255" s="439"/>
      <c r="N255" s="731"/>
      <c r="O255" s="764"/>
      <c r="P255" s="721"/>
      <c r="Q255" s="733"/>
    </row>
    <row r="256" spans="1:17" ht="16.5" customHeight="1">
      <c r="A256" s="707">
        <f t="shared" si="25"/>
        <v>92</v>
      </c>
      <c r="B256" s="291" t="s">
        <v>487</v>
      </c>
      <c r="C256" s="722">
        <v>41970</v>
      </c>
      <c r="D256" s="722" t="s">
        <v>799</v>
      </c>
      <c r="E256" s="904">
        <v>43</v>
      </c>
      <c r="F256" s="905">
        <v>27.5</v>
      </c>
      <c r="G256" s="905">
        <v>33</v>
      </c>
      <c r="H256" s="826">
        <f t="shared" si="26"/>
        <v>0.93</v>
      </c>
      <c r="I256" s="708">
        <v>219</v>
      </c>
      <c r="J256" s="708">
        <f t="shared" si="27"/>
        <v>203.67000000000002</v>
      </c>
      <c r="K256" s="708">
        <f t="shared" si="28"/>
        <v>7649.7268976926152</v>
      </c>
      <c r="L256" s="624"/>
      <c r="M256" s="439"/>
      <c r="N256" s="731"/>
      <c r="O256" s="764"/>
      <c r="P256" s="721"/>
      <c r="Q256" s="733"/>
    </row>
    <row r="257" spans="1:17" ht="16.5" customHeight="1">
      <c r="A257" s="707">
        <f t="shared" si="25"/>
        <v>93</v>
      </c>
      <c r="B257" s="291" t="s">
        <v>486</v>
      </c>
      <c r="C257" s="722">
        <v>41970</v>
      </c>
      <c r="D257" s="722" t="s">
        <v>799</v>
      </c>
      <c r="E257" s="904">
        <v>41</v>
      </c>
      <c r="F257" s="905">
        <v>31</v>
      </c>
      <c r="G257" s="905">
        <v>25.5</v>
      </c>
      <c r="H257" s="826">
        <f t="shared" si="26"/>
        <v>0.89</v>
      </c>
      <c r="I257" s="708">
        <v>112</v>
      </c>
      <c r="J257" s="708">
        <f t="shared" si="27"/>
        <v>99.68</v>
      </c>
      <c r="K257" s="708">
        <f t="shared" si="28"/>
        <v>7320.7063859639002</v>
      </c>
      <c r="L257" s="624"/>
      <c r="M257" s="439"/>
      <c r="N257" s="731"/>
      <c r="O257" s="764"/>
      <c r="P257" s="721"/>
      <c r="Q257" s="733"/>
    </row>
    <row r="258" spans="1:17" ht="16.5" customHeight="1">
      <c r="A258" s="707">
        <f t="shared" si="25"/>
        <v>94</v>
      </c>
      <c r="B258" s="291" t="s">
        <v>630</v>
      </c>
      <c r="C258" s="722">
        <v>41970</v>
      </c>
      <c r="D258" s="722" t="s">
        <v>800</v>
      </c>
      <c r="E258" s="904">
        <v>32</v>
      </c>
      <c r="F258" s="905">
        <v>15.5</v>
      </c>
      <c r="G258" s="905">
        <v>25</v>
      </c>
      <c r="H258" s="826">
        <f t="shared" si="26"/>
        <v>0.44</v>
      </c>
      <c r="I258" s="708">
        <v>110</v>
      </c>
      <c r="J258" s="708">
        <f t="shared" si="27"/>
        <v>48.4</v>
      </c>
      <c r="K258" s="708">
        <f t="shared" si="28"/>
        <v>3619.2256290158607</v>
      </c>
      <c r="L258" s="624"/>
      <c r="M258" s="439"/>
      <c r="N258" s="731"/>
      <c r="O258" s="764"/>
      <c r="P258" s="721"/>
      <c r="Q258" s="733"/>
    </row>
    <row r="259" spans="1:17" ht="16.5" customHeight="1">
      <c r="A259" s="707">
        <f t="shared" si="25"/>
        <v>95</v>
      </c>
      <c r="B259" s="291" t="s">
        <v>632</v>
      </c>
      <c r="C259" s="722">
        <v>41970</v>
      </c>
      <c r="D259" s="722" t="s">
        <v>800</v>
      </c>
      <c r="E259" s="904">
        <v>50</v>
      </c>
      <c r="F259" s="905">
        <v>28</v>
      </c>
      <c r="G259" s="905">
        <v>17</v>
      </c>
      <c r="H259" s="826">
        <f t="shared" si="26"/>
        <v>0.77</v>
      </c>
      <c r="I259" s="708">
        <v>260</v>
      </c>
      <c r="J259" s="708">
        <f t="shared" si="27"/>
        <v>200.20000000000002</v>
      </c>
      <c r="K259" s="708">
        <f t="shared" si="28"/>
        <v>6333.6448507777568</v>
      </c>
      <c r="L259" s="624"/>
      <c r="M259" s="439"/>
      <c r="N259" s="731"/>
      <c r="O259" s="764"/>
      <c r="P259" s="721"/>
      <c r="Q259" s="733"/>
    </row>
    <row r="260" spans="1:17" ht="16.5" customHeight="1">
      <c r="A260" s="707">
        <f t="shared" si="25"/>
        <v>96</v>
      </c>
      <c r="B260" s="291" t="s">
        <v>631</v>
      </c>
      <c r="C260" s="722">
        <v>41970</v>
      </c>
      <c r="D260" s="722" t="s">
        <v>800</v>
      </c>
      <c r="E260" s="904">
        <v>38</v>
      </c>
      <c r="F260" s="905">
        <v>18.5</v>
      </c>
      <c r="G260" s="905">
        <v>18</v>
      </c>
      <c r="H260" s="826">
        <f t="shared" si="26"/>
        <v>0.47</v>
      </c>
      <c r="I260" s="708">
        <v>450</v>
      </c>
      <c r="J260" s="708">
        <f t="shared" si="27"/>
        <v>211.5</v>
      </c>
      <c r="K260" s="708">
        <f t="shared" si="28"/>
        <v>3865.9910128123965</v>
      </c>
      <c r="L260" s="624"/>
      <c r="M260" s="439"/>
      <c r="N260" s="731"/>
      <c r="O260" s="764"/>
      <c r="P260" s="721"/>
      <c r="Q260" s="733"/>
    </row>
    <row r="261" spans="1:17" ht="16.5" customHeight="1">
      <c r="A261" s="707">
        <f t="shared" si="25"/>
        <v>97</v>
      </c>
      <c r="B261" s="291" t="s">
        <v>670</v>
      </c>
      <c r="C261" s="722">
        <v>41972</v>
      </c>
      <c r="D261" s="722" t="s">
        <v>801</v>
      </c>
      <c r="E261" s="904">
        <v>43</v>
      </c>
      <c r="F261" s="905">
        <v>31</v>
      </c>
      <c r="G261" s="905">
        <v>25</v>
      </c>
      <c r="H261" s="826">
        <f t="shared" si="26"/>
        <v>0.9</v>
      </c>
      <c r="I261" s="708">
        <v>1000</v>
      </c>
      <c r="J261" s="708">
        <f t="shared" si="27"/>
        <v>900</v>
      </c>
      <c r="K261" s="708">
        <f t="shared" si="28"/>
        <v>7402.9615138960789</v>
      </c>
      <c r="L261" s="624"/>
      <c r="M261" s="439"/>
      <c r="N261" s="731"/>
      <c r="O261" s="764"/>
      <c r="P261" s="721"/>
      <c r="Q261" s="733"/>
    </row>
    <row r="262" spans="1:17" ht="16.5" customHeight="1">
      <c r="A262" s="707">
        <f t="shared" si="25"/>
        <v>98</v>
      </c>
      <c r="B262" s="291" t="s">
        <v>670</v>
      </c>
      <c r="C262" s="722">
        <v>41973</v>
      </c>
      <c r="D262" s="722" t="s">
        <v>802</v>
      </c>
      <c r="E262" s="904">
        <v>43</v>
      </c>
      <c r="F262" s="905">
        <v>31</v>
      </c>
      <c r="G262" s="905">
        <v>25</v>
      </c>
      <c r="H262" s="826">
        <f t="shared" si="26"/>
        <v>0.9</v>
      </c>
      <c r="I262" s="708">
        <v>987</v>
      </c>
      <c r="J262" s="708">
        <f t="shared" si="27"/>
        <v>888.30000000000007</v>
      </c>
      <c r="K262" s="708">
        <f t="shared" si="28"/>
        <v>7402.9615138960789</v>
      </c>
      <c r="L262" s="624"/>
      <c r="M262" s="439"/>
      <c r="N262" s="731"/>
      <c r="O262" s="764"/>
      <c r="P262" s="721"/>
      <c r="Q262" s="733"/>
    </row>
    <row r="263" spans="1:17" ht="16.5" customHeight="1">
      <c r="A263" s="707">
        <f t="shared" si="25"/>
        <v>99</v>
      </c>
      <c r="B263" s="291" t="s">
        <v>670</v>
      </c>
      <c r="C263" s="722">
        <v>41973</v>
      </c>
      <c r="D263" s="722" t="s">
        <v>802</v>
      </c>
      <c r="E263" s="904">
        <v>43</v>
      </c>
      <c r="F263" s="905">
        <v>31</v>
      </c>
      <c r="G263" s="905">
        <v>25</v>
      </c>
      <c r="H263" s="826">
        <f t="shared" si="26"/>
        <v>0.9</v>
      </c>
      <c r="I263" s="708">
        <v>226</v>
      </c>
      <c r="J263" s="708">
        <f t="shared" si="27"/>
        <v>203.4</v>
      </c>
      <c r="K263" s="708">
        <f t="shared" si="28"/>
        <v>7402.9615138960789</v>
      </c>
      <c r="L263" s="624"/>
      <c r="M263" s="439"/>
      <c r="N263" s="731"/>
      <c r="O263" s="764"/>
      <c r="P263" s="721"/>
      <c r="Q263" s="733"/>
    </row>
    <row r="264" spans="1:17" ht="16.5" customHeight="1">
      <c r="A264" s="707">
        <f t="shared" si="25"/>
        <v>100</v>
      </c>
      <c r="B264" s="291" t="s">
        <v>775</v>
      </c>
      <c r="C264" s="722">
        <v>41973</v>
      </c>
      <c r="D264" s="722" t="s">
        <v>803</v>
      </c>
      <c r="E264" s="904">
        <v>48.5</v>
      </c>
      <c r="F264" s="905">
        <v>23</v>
      </c>
      <c r="G264" s="905">
        <v>35</v>
      </c>
      <c r="H264" s="826">
        <f t="shared" si="26"/>
        <v>0.9</v>
      </c>
      <c r="I264" s="708">
        <v>1980</v>
      </c>
      <c r="J264" s="708">
        <f t="shared" si="27"/>
        <v>1782</v>
      </c>
      <c r="K264" s="708">
        <f t="shared" si="28"/>
        <v>7402.9615138960789</v>
      </c>
      <c r="L264" s="624"/>
      <c r="M264" s="439"/>
      <c r="N264" s="731"/>
      <c r="O264" s="764"/>
      <c r="P264" s="721"/>
      <c r="Q264" s="733"/>
    </row>
    <row r="265" spans="1:17" ht="16.5" customHeight="1">
      <c r="A265" s="707">
        <f t="shared" si="25"/>
        <v>101</v>
      </c>
      <c r="B265" s="291" t="s">
        <v>741</v>
      </c>
      <c r="C265" s="722">
        <v>41975</v>
      </c>
      <c r="D265" s="722" t="s">
        <v>804</v>
      </c>
      <c r="E265" s="904">
        <v>37.5</v>
      </c>
      <c r="F265" s="905">
        <v>25.3</v>
      </c>
      <c r="G265" s="905">
        <v>23.9</v>
      </c>
      <c r="H265" s="826">
        <f t="shared" si="26"/>
        <v>0.68</v>
      </c>
      <c r="I265" s="708">
        <v>1059</v>
      </c>
      <c r="J265" s="708">
        <f t="shared" si="27"/>
        <v>720.12</v>
      </c>
      <c r="K265" s="708">
        <f t="shared" si="28"/>
        <v>5593.3486993881488</v>
      </c>
      <c r="L265" s="624"/>
      <c r="M265" s="439"/>
      <c r="N265" s="731"/>
      <c r="O265" s="764"/>
      <c r="P265" s="721"/>
      <c r="Q265" s="733"/>
    </row>
    <row r="266" spans="1:17" ht="16.5" customHeight="1">
      <c r="A266" s="707">
        <f t="shared" si="25"/>
        <v>102</v>
      </c>
      <c r="B266" s="291" t="s">
        <v>805</v>
      </c>
      <c r="C266" s="722">
        <v>41979</v>
      </c>
      <c r="D266" s="722" t="s">
        <v>806</v>
      </c>
      <c r="E266" s="904">
        <v>32.5</v>
      </c>
      <c r="F266" s="905">
        <v>32.5</v>
      </c>
      <c r="G266" s="905">
        <v>29.5</v>
      </c>
      <c r="H266" s="826">
        <f t="shared" si="26"/>
        <v>0.88</v>
      </c>
      <c r="I266" s="708">
        <v>106</v>
      </c>
      <c r="J266" s="708">
        <f t="shared" si="27"/>
        <v>93.28</v>
      </c>
      <c r="K266" s="708">
        <f t="shared" si="28"/>
        <v>7238.4512580317214</v>
      </c>
      <c r="L266" s="624"/>
      <c r="M266" s="439"/>
      <c r="N266" s="731"/>
      <c r="O266" s="764"/>
      <c r="P266" s="721"/>
      <c r="Q266" s="733"/>
    </row>
    <row r="267" spans="1:17" ht="16.5" customHeight="1">
      <c r="A267" s="707">
        <f t="shared" si="25"/>
        <v>103</v>
      </c>
      <c r="B267" s="291" t="s">
        <v>754</v>
      </c>
      <c r="C267" s="722">
        <v>41979</v>
      </c>
      <c r="D267" s="722" t="s">
        <v>806</v>
      </c>
      <c r="E267" s="904">
        <v>51.5</v>
      </c>
      <c r="F267" s="905">
        <v>28.5</v>
      </c>
      <c r="G267" s="905">
        <v>7.2</v>
      </c>
      <c r="H267" s="826">
        <f t="shared" si="26"/>
        <v>0.64</v>
      </c>
      <c r="I267" s="708">
        <v>493</v>
      </c>
      <c r="J267" s="708">
        <f t="shared" si="27"/>
        <v>315.52</v>
      </c>
      <c r="K267" s="708">
        <f t="shared" si="28"/>
        <v>5264.3281876594338</v>
      </c>
      <c r="L267" s="624"/>
      <c r="M267" s="439"/>
      <c r="N267" s="731"/>
      <c r="O267" s="764"/>
      <c r="P267" s="721"/>
      <c r="Q267" s="733"/>
    </row>
    <row r="268" spans="1:17" ht="16.5" customHeight="1">
      <c r="A268" s="707">
        <f t="shared" si="25"/>
        <v>104</v>
      </c>
      <c r="B268" s="291" t="s">
        <v>807</v>
      </c>
      <c r="C268" s="722">
        <v>41979</v>
      </c>
      <c r="D268" s="722" t="s">
        <v>806</v>
      </c>
      <c r="E268" s="904">
        <v>42</v>
      </c>
      <c r="F268" s="905">
        <v>22</v>
      </c>
      <c r="G268" s="905">
        <v>6</v>
      </c>
      <c r="H268" s="826">
        <f t="shared" si="26"/>
        <v>0.41</v>
      </c>
      <c r="I268" s="708">
        <v>512</v>
      </c>
      <c r="J268" s="708">
        <f t="shared" si="27"/>
        <v>209.92</v>
      </c>
      <c r="K268" s="708">
        <f t="shared" si="28"/>
        <v>3372.4602452193249</v>
      </c>
      <c r="L268" s="624"/>
      <c r="M268" s="439"/>
      <c r="N268" s="731"/>
      <c r="O268" s="764"/>
      <c r="P268" s="721"/>
      <c r="Q268" s="733"/>
    </row>
    <row r="269" spans="1:17" ht="16.5" customHeight="1">
      <c r="A269" s="707">
        <f t="shared" si="25"/>
        <v>105</v>
      </c>
      <c r="B269" s="291" t="s">
        <v>690</v>
      </c>
      <c r="C269" s="722">
        <v>41979</v>
      </c>
      <c r="D269" s="722" t="s">
        <v>806</v>
      </c>
      <c r="E269" s="904">
        <v>45</v>
      </c>
      <c r="F269" s="905">
        <v>34.5</v>
      </c>
      <c r="G269" s="905">
        <v>7.2</v>
      </c>
      <c r="H269" s="826">
        <f t="shared" si="26"/>
        <v>0.73</v>
      </c>
      <c r="I269" s="708">
        <v>208</v>
      </c>
      <c r="J269" s="708">
        <f t="shared" si="27"/>
        <v>151.84</v>
      </c>
      <c r="K269" s="708">
        <f t="shared" si="28"/>
        <v>6004.6243390490417</v>
      </c>
      <c r="L269" s="624"/>
      <c r="M269" s="439"/>
      <c r="N269" s="731"/>
      <c r="O269" s="764"/>
      <c r="P269" s="721"/>
      <c r="Q269" s="733"/>
    </row>
    <row r="270" spans="1:17" ht="16.5" customHeight="1">
      <c r="A270" s="707">
        <f t="shared" si="25"/>
        <v>106</v>
      </c>
      <c r="B270" s="291" t="s">
        <v>639</v>
      </c>
      <c r="C270" s="722">
        <v>41979</v>
      </c>
      <c r="D270" s="722" t="s">
        <v>806</v>
      </c>
      <c r="E270" s="904">
        <v>22</v>
      </c>
      <c r="F270" s="905">
        <v>22</v>
      </c>
      <c r="G270" s="905">
        <v>29.5</v>
      </c>
      <c r="H270" s="826">
        <f t="shared" si="26"/>
        <v>0.51</v>
      </c>
      <c r="I270" s="708">
        <v>1016</v>
      </c>
      <c r="J270" s="708">
        <f t="shared" si="27"/>
        <v>518.16</v>
      </c>
      <c r="K270" s="708">
        <f t="shared" si="28"/>
        <v>4195.0115245411116</v>
      </c>
      <c r="L270" s="624"/>
      <c r="M270" s="439"/>
      <c r="N270" s="731"/>
      <c r="O270" s="764"/>
      <c r="P270" s="721"/>
      <c r="Q270" s="733"/>
    </row>
    <row r="271" spans="1:17" ht="16.5" customHeight="1">
      <c r="A271" s="707">
        <f t="shared" si="25"/>
        <v>107</v>
      </c>
      <c r="B271" s="291" t="s">
        <v>515</v>
      </c>
      <c r="C271" s="722">
        <v>41981</v>
      </c>
      <c r="D271" s="722" t="s">
        <v>808</v>
      </c>
      <c r="E271" s="904">
        <v>59</v>
      </c>
      <c r="F271" s="905">
        <v>38</v>
      </c>
      <c r="G271" s="905">
        <v>17</v>
      </c>
      <c r="H271" s="826">
        <f t="shared" si="26"/>
        <v>1.1499999999999999</v>
      </c>
      <c r="I271" s="708">
        <v>1015</v>
      </c>
      <c r="J271" s="708">
        <f t="shared" si="27"/>
        <v>1167.25</v>
      </c>
      <c r="K271" s="708">
        <f t="shared" si="28"/>
        <v>9459.3397122005445</v>
      </c>
      <c r="L271" s="624"/>
      <c r="M271" s="439"/>
      <c r="N271" s="731"/>
      <c r="O271" s="764"/>
      <c r="P271" s="721"/>
      <c r="Q271" s="733"/>
    </row>
    <row r="272" spans="1:17" ht="16.5" customHeight="1">
      <c r="A272" s="707">
        <f t="shared" si="25"/>
        <v>108</v>
      </c>
      <c r="B272" s="291" t="s">
        <v>436</v>
      </c>
      <c r="C272" s="722">
        <v>41982</v>
      </c>
      <c r="D272" s="722" t="s">
        <v>809</v>
      </c>
      <c r="E272" s="904">
        <v>49</v>
      </c>
      <c r="F272" s="905">
        <v>38</v>
      </c>
      <c r="G272" s="905">
        <v>12</v>
      </c>
      <c r="H272" s="826">
        <f t="shared" si="26"/>
        <v>0.95</v>
      </c>
      <c r="I272" s="708">
        <v>440</v>
      </c>
      <c r="J272" s="708">
        <f t="shared" si="27"/>
        <v>418</v>
      </c>
      <c r="K272" s="708">
        <f t="shared" si="28"/>
        <v>7814.2371535569719</v>
      </c>
      <c r="L272" s="624"/>
      <c r="M272" s="439"/>
      <c r="N272" s="731"/>
      <c r="O272" s="764"/>
      <c r="P272" s="721"/>
      <c r="Q272" s="733"/>
    </row>
    <row r="273" spans="1:17" ht="16.5" customHeight="1">
      <c r="A273" s="707">
        <f t="shared" si="25"/>
        <v>109</v>
      </c>
      <c r="B273" s="291" t="s">
        <v>810</v>
      </c>
      <c r="C273" s="722">
        <v>41982</v>
      </c>
      <c r="D273" s="722" t="s">
        <v>809</v>
      </c>
      <c r="E273" s="904">
        <v>33.5</v>
      </c>
      <c r="F273" s="905">
        <v>25.3</v>
      </c>
      <c r="G273" s="905">
        <v>18.7</v>
      </c>
      <c r="H273" s="826">
        <f t="shared" si="26"/>
        <v>0.57999999999999996</v>
      </c>
      <c r="I273" s="708">
        <v>403</v>
      </c>
      <c r="J273" s="708">
        <f t="shared" si="27"/>
        <v>233.73999999999998</v>
      </c>
      <c r="K273" s="708">
        <f t="shared" si="28"/>
        <v>4770.7974200663621</v>
      </c>
      <c r="L273" s="624"/>
      <c r="M273" s="439"/>
      <c r="N273" s="731"/>
      <c r="O273" s="764"/>
      <c r="P273" s="721"/>
      <c r="Q273" s="733"/>
    </row>
    <row r="274" spans="1:17" ht="16.5" customHeight="1">
      <c r="A274" s="707">
        <f t="shared" si="25"/>
        <v>110</v>
      </c>
      <c r="B274" s="291" t="s">
        <v>436</v>
      </c>
      <c r="C274" s="722">
        <v>41982</v>
      </c>
      <c r="D274" s="722" t="s">
        <v>811</v>
      </c>
      <c r="E274" s="904">
        <v>49</v>
      </c>
      <c r="F274" s="905">
        <v>38</v>
      </c>
      <c r="G274" s="905">
        <v>12</v>
      </c>
      <c r="H274" s="826">
        <f t="shared" si="26"/>
        <v>0.95</v>
      </c>
      <c r="I274" s="708">
        <v>440</v>
      </c>
      <c r="J274" s="708">
        <f t="shared" si="27"/>
        <v>418</v>
      </c>
      <c r="K274" s="708">
        <f t="shared" si="28"/>
        <v>7814.2371535569719</v>
      </c>
      <c r="L274" s="624"/>
      <c r="M274" s="439"/>
      <c r="N274" s="731"/>
      <c r="O274" s="764"/>
      <c r="P274" s="721"/>
      <c r="Q274" s="733"/>
    </row>
    <row r="275" spans="1:17" ht="16.5" customHeight="1">
      <c r="A275" s="707">
        <f t="shared" si="25"/>
        <v>111</v>
      </c>
      <c r="B275" s="291" t="s">
        <v>483</v>
      </c>
      <c r="C275" s="722">
        <v>41985</v>
      </c>
      <c r="D275" s="722" t="s">
        <v>812</v>
      </c>
      <c r="E275" s="904">
        <v>49.5</v>
      </c>
      <c r="F275" s="905">
        <v>38.5</v>
      </c>
      <c r="G275" s="905">
        <v>32.5</v>
      </c>
      <c r="H275" s="826">
        <f t="shared" si="26"/>
        <v>1.34</v>
      </c>
      <c r="I275" s="708">
        <v>411</v>
      </c>
      <c r="J275" s="708">
        <f t="shared" si="27"/>
        <v>550.74</v>
      </c>
      <c r="K275" s="708">
        <f t="shared" si="28"/>
        <v>11022.18714291194</v>
      </c>
      <c r="L275" s="624"/>
      <c r="M275" s="439"/>
      <c r="N275" s="731"/>
      <c r="O275" s="764"/>
      <c r="P275" s="721"/>
      <c r="Q275" s="733"/>
    </row>
    <row r="276" spans="1:17" ht="16.5" customHeight="1">
      <c r="A276" s="707">
        <f t="shared" si="25"/>
        <v>112</v>
      </c>
      <c r="B276" s="291" t="s">
        <v>813</v>
      </c>
      <c r="C276" s="722">
        <v>41985</v>
      </c>
      <c r="D276" s="722" t="s">
        <v>814</v>
      </c>
      <c r="E276" s="904">
        <v>100</v>
      </c>
      <c r="F276" s="905">
        <v>52</v>
      </c>
      <c r="G276" s="905">
        <v>27</v>
      </c>
      <c r="H276" s="826">
        <f t="shared" si="26"/>
        <v>2.5299999999999998</v>
      </c>
      <c r="I276" s="708">
        <v>89</v>
      </c>
      <c r="J276" s="708">
        <f t="shared" si="27"/>
        <v>225.17</v>
      </c>
      <c r="K276" s="708">
        <f t="shared" si="28"/>
        <v>20810.547366841198</v>
      </c>
      <c r="L276" s="624"/>
      <c r="M276" s="439"/>
      <c r="N276" s="731"/>
      <c r="O276" s="764"/>
      <c r="P276" s="721"/>
      <c r="Q276" s="733"/>
    </row>
    <row r="277" spans="1:17" ht="16.5" customHeight="1">
      <c r="A277" s="707">
        <f t="shared" si="25"/>
        <v>113</v>
      </c>
      <c r="B277" s="291" t="s">
        <v>815</v>
      </c>
      <c r="C277" s="722">
        <v>41985</v>
      </c>
      <c r="D277" s="722" t="s">
        <v>816</v>
      </c>
      <c r="E277" s="904">
        <v>103</v>
      </c>
      <c r="F277" s="905">
        <v>50</v>
      </c>
      <c r="G277" s="905">
        <v>180</v>
      </c>
      <c r="H277" s="826">
        <f t="shared" si="26"/>
        <v>7.25</v>
      </c>
      <c r="I277" s="708">
        <v>350</v>
      </c>
      <c r="J277" s="708">
        <f t="shared" si="27"/>
        <v>2537.5</v>
      </c>
      <c r="K277" s="708">
        <f t="shared" si="28"/>
        <v>59634.967750829528</v>
      </c>
      <c r="L277" s="624"/>
      <c r="M277" s="439"/>
      <c r="N277" s="731"/>
      <c r="O277" s="764"/>
      <c r="P277" s="721"/>
      <c r="Q277" s="733"/>
    </row>
    <row r="278" spans="1:17" ht="16.5" customHeight="1">
      <c r="A278" s="707">
        <f t="shared" si="25"/>
        <v>114</v>
      </c>
      <c r="B278" s="291" t="s">
        <v>817</v>
      </c>
      <c r="C278" s="722">
        <v>41986</v>
      </c>
      <c r="D278" s="722" t="s">
        <v>818</v>
      </c>
      <c r="E278" s="904">
        <v>48</v>
      </c>
      <c r="F278" s="905">
        <v>37.5</v>
      </c>
      <c r="G278" s="905">
        <v>12</v>
      </c>
      <c r="H278" s="826">
        <f t="shared" si="26"/>
        <v>0.92</v>
      </c>
      <c r="I278" s="708">
        <v>223</v>
      </c>
      <c r="J278" s="708">
        <f t="shared" si="27"/>
        <v>205.16</v>
      </c>
      <c r="K278" s="708">
        <f t="shared" si="28"/>
        <v>7567.4717697604365</v>
      </c>
      <c r="L278" s="624"/>
      <c r="M278" s="439"/>
      <c r="N278" s="731"/>
      <c r="O278" s="764"/>
      <c r="P278" s="721"/>
      <c r="Q278" s="733"/>
    </row>
    <row r="279" spans="1:17" ht="16.5" customHeight="1">
      <c r="A279" s="707">
        <f t="shared" si="25"/>
        <v>115</v>
      </c>
      <c r="B279" s="291" t="s">
        <v>819</v>
      </c>
      <c r="C279" s="722">
        <v>41986</v>
      </c>
      <c r="D279" s="722" t="s">
        <v>820</v>
      </c>
      <c r="E279" s="904">
        <v>102</v>
      </c>
      <c r="F279" s="905">
        <v>54</v>
      </c>
      <c r="G279" s="905">
        <v>178</v>
      </c>
      <c r="H279" s="826">
        <f t="shared" si="26"/>
        <v>7.45</v>
      </c>
      <c r="I279" s="708">
        <v>200</v>
      </c>
      <c r="J279" s="708">
        <f t="shared" si="27"/>
        <v>1490</v>
      </c>
      <c r="K279" s="708">
        <f t="shared" si="28"/>
        <v>61280.0703094731</v>
      </c>
      <c r="L279" s="624"/>
      <c r="M279" s="439"/>
      <c r="N279" s="731"/>
      <c r="O279" s="764"/>
      <c r="P279" s="721"/>
      <c r="Q279" s="733"/>
    </row>
    <row r="280" spans="1:17" ht="16.5" customHeight="1">
      <c r="A280" s="707">
        <f t="shared" si="25"/>
        <v>116</v>
      </c>
      <c r="B280" s="192" t="s">
        <v>703</v>
      </c>
      <c r="C280" s="722">
        <v>41986</v>
      </c>
      <c r="D280" s="722" t="s">
        <v>821</v>
      </c>
      <c r="E280" s="904">
        <v>36.5</v>
      </c>
      <c r="F280" s="905">
        <v>29.5</v>
      </c>
      <c r="G280" s="905">
        <v>35</v>
      </c>
      <c r="H280" s="826">
        <f t="shared" si="26"/>
        <v>0.92</v>
      </c>
      <c r="I280" s="708">
        <v>3160</v>
      </c>
      <c r="J280" s="708">
        <f t="shared" si="27"/>
        <v>2907.2000000000003</v>
      </c>
      <c r="K280" s="708">
        <f t="shared" si="28"/>
        <v>7567.4717697604365</v>
      </c>
      <c r="L280" s="624"/>
      <c r="M280" s="439"/>
      <c r="N280" s="731"/>
      <c r="O280" s="764"/>
      <c r="P280" s="721"/>
      <c r="Q280" s="733"/>
    </row>
    <row r="281" spans="1:17" ht="16.5" customHeight="1">
      <c r="A281" s="707">
        <f t="shared" si="25"/>
        <v>117</v>
      </c>
      <c r="B281" s="192" t="s">
        <v>708</v>
      </c>
      <c r="C281" s="722">
        <v>41986</v>
      </c>
      <c r="D281" s="722" t="s">
        <v>821</v>
      </c>
      <c r="E281" s="904">
        <v>41.5</v>
      </c>
      <c r="F281" s="905">
        <v>38.5</v>
      </c>
      <c r="G281" s="905">
        <v>27</v>
      </c>
      <c r="H281" s="826">
        <f t="shared" si="26"/>
        <v>1.1299999999999999</v>
      </c>
      <c r="I281" s="708">
        <v>301</v>
      </c>
      <c r="J281" s="708">
        <f t="shared" si="27"/>
        <v>340.13</v>
      </c>
      <c r="K281" s="708">
        <f t="shared" si="28"/>
        <v>9294.8294563361869</v>
      </c>
      <c r="L281" s="624"/>
      <c r="M281" s="439"/>
      <c r="N281" s="731"/>
      <c r="O281" s="764"/>
      <c r="P281" s="721"/>
      <c r="Q281" s="733"/>
    </row>
    <row r="282" spans="1:17" ht="16.5" customHeight="1">
      <c r="A282" s="707">
        <f t="shared" si="25"/>
        <v>118</v>
      </c>
      <c r="B282" s="291" t="s">
        <v>712</v>
      </c>
      <c r="C282" s="722">
        <v>41986</v>
      </c>
      <c r="D282" s="722" t="s">
        <v>822</v>
      </c>
      <c r="E282" s="904">
        <v>51</v>
      </c>
      <c r="F282" s="905">
        <v>37</v>
      </c>
      <c r="G282" s="905">
        <v>27</v>
      </c>
      <c r="H282" s="826">
        <f t="shared" si="26"/>
        <v>1.21</v>
      </c>
      <c r="I282" s="708">
        <v>20</v>
      </c>
      <c r="J282" s="708">
        <f t="shared" si="27"/>
        <v>24.2</v>
      </c>
      <c r="K282" s="708">
        <f t="shared" si="28"/>
        <v>9952.8704797936171</v>
      </c>
      <c r="L282" s="624"/>
      <c r="M282" s="439"/>
      <c r="N282" s="731"/>
      <c r="O282" s="764"/>
      <c r="P282" s="721"/>
      <c r="Q282" s="733"/>
    </row>
    <row r="283" spans="1:17" ht="16.5" customHeight="1">
      <c r="A283" s="707">
        <f t="shared" si="25"/>
        <v>119</v>
      </c>
      <c r="B283" s="291" t="s">
        <v>823</v>
      </c>
      <c r="C283" s="722">
        <v>41986</v>
      </c>
      <c r="D283" s="722" t="s">
        <v>822</v>
      </c>
      <c r="E283" s="904">
        <v>58</v>
      </c>
      <c r="F283" s="905">
        <v>35</v>
      </c>
      <c r="G283" s="905">
        <v>26</v>
      </c>
      <c r="H283" s="826">
        <f t="shared" si="26"/>
        <v>1.22</v>
      </c>
      <c r="I283" s="708">
        <v>47</v>
      </c>
      <c r="J283" s="708">
        <f t="shared" si="27"/>
        <v>57.339999999999996</v>
      </c>
      <c r="K283" s="708">
        <f t="shared" si="28"/>
        <v>10035.125607725797</v>
      </c>
      <c r="L283" s="624"/>
      <c r="M283" s="439"/>
      <c r="N283" s="731"/>
      <c r="O283" s="764"/>
      <c r="P283" s="721"/>
      <c r="Q283" s="733"/>
    </row>
    <row r="284" spans="1:17" ht="16.5" customHeight="1">
      <c r="A284" s="707">
        <f t="shared" si="25"/>
        <v>120</v>
      </c>
      <c r="B284" s="291" t="s">
        <v>824</v>
      </c>
      <c r="C284" s="722">
        <v>41986</v>
      </c>
      <c r="D284" s="722" t="s">
        <v>822</v>
      </c>
      <c r="E284" s="904">
        <v>54</v>
      </c>
      <c r="F284" s="905">
        <v>54</v>
      </c>
      <c r="G284" s="905">
        <v>26</v>
      </c>
      <c r="H284" s="826">
        <f t="shared" si="26"/>
        <v>1.83</v>
      </c>
      <c r="I284" s="708">
        <v>902</v>
      </c>
      <c r="J284" s="708">
        <f t="shared" si="27"/>
        <v>1650.66</v>
      </c>
      <c r="K284" s="708">
        <f t="shared" si="28"/>
        <v>15052.688411588695</v>
      </c>
      <c r="L284" s="624"/>
      <c r="M284" s="439"/>
      <c r="N284" s="731"/>
      <c r="O284" s="764"/>
      <c r="P284" s="721"/>
      <c r="Q284" s="733"/>
    </row>
    <row r="285" spans="1:17" ht="16.5" customHeight="1">
      <c r="A285" s="707">
        <f t="shared" si="25"/>
        <v>121</v>
      </c>
      <c r="B285" s="291" t="s">
        <v>825</v>
      </c>
      <c r="C285" s="722">
        <v>41988</v>
      </c>
      <c r="D285" s="722" t="s">
        <v>826</v>
      </c>
      <c r="E285" s="904">
        <v>51</v>
      </c>
      <c r="F285" s="905">
        <v>36</v>
      </c>
      <c r="G285" s="905">
        <v>34</v>
      </c>
      <c r="H285" s="826">
        <f t="shared" si="26"/>
        <v>1.31</v>
      </c>
      <c r="I285" s="708">
        <v>352</v>
      </c>
      <c r="J285" s="708">
        <f t="shared" si="27"/>
        <v>461.12</v>
      </c>
      <c r="K285" s="708">
        <f t="shared" si="28"/>
        <v>10775.421759115405</v>
      </c>
      <c r="L285" s="624"/>
      <c r="M285" s="439"/>
      <c r="N285" s="731"/>
      <c r="O285" s="764"/>
      <c r="P285" s="721"/>
      <c r="Q285" s="733"/>
    </row>
    <row r="286" spans="1:17" ht="16.5" customHeight="1">
      <c r="A286" s="707">
        <f t="shared" si="25"/>
        <v>122</v>
      </c>
      <c r="B286" s="291" t="s">
        <v>827</v>
      </c>
      <c r="C286" s="722">
        <v>41988</v>
      </c>
      <c r="D286" s="722" t="s">
        <v>826</v>
      </c>
      <c r="E286" s="904">
        <v>60</v>
      </c>
      <c r="F286" s="905">
        <v>40</v>
      </c>
      <c r="G286" s="905">
        <v>40</v>
      </c>
      <c r="H286" s="826">
        <f t="shared" si="26"/>
        <v>1.7</v>
      </c>
      <c r="I286" s="708">
        <v>52</v>
      </c>
      <c r="J286" s="708">
        <f t="shared" si="27"/>
        <v>88.399999999999991</v>
      </c>
      <c r="K286" s="708">
        <f t="shared" si="28"/>
        <v>13983.371748470372</v>
      </c>
      <c r="L286" s="624"/>
      <c r="M286" s="439"/>
      <c r="N286" s="731"/>
      <c r="O286" s="764"/>
      <c r="P286" s="721"/>
      <c r="Q286" s="733"/>
    </row>
    <row r="287" spans="1:17" ht="16.5" customHeight="1">
      <c r="A287" s="707">
        <f t="shared" si="25"/>
        <v>123</v>
      </c>
      <c r="B287" s="291" t="s">
        <v>828</v>
      </c>
      <c r="C287" s="722">
        <v>41988</v>
      </c>
      <c r="D287" s="722" t="s">
        <v>826</v>
      </c>
      <c r="E287" s="904">
        <v>63.5</v>
      </c>
      <c r="F287" s="905">
        <v>50.8</v>
      </c>
      <c r="G287" s="905">
        <v>30.48</v>
      </c>
      <c r="H287" s="826">
        <f t="shared" si="26"/>
        <v>1.97</v>
      </c>
      <c r="I287" s="708">
        <v>52</v>
      </c>
      <c r="J287" s="708">
        <f t="shared" si="27"/>
        <v>102.44</v>
      </c>
      <c r="K287" s="708">
        <f t="shared" si="28"/>
        <v>16204.260202639196</v>
      </c>
      <c r="L287" s="624"/>
      <c r="M287" s="439"/>
      <c r="N287" s="731"/>
      <c r="O287" s="764"/>
      <c r="P287" s="721"/>
      <c r="Q287" s="733"/>
    </row>
    <row r="288" spans="1:17" ht="16.5" customHeight="1">
      <c r="A288" s="707">
        <f t="shared" si="25"/>
        <v>124</v>
      </c>
      <c r="B288" s="291" t="s">
        <v>436</v>
      </c>
      <c r="C288" s="722">
        <v>41991</v>
      </c>
      <c r="D288" s="722" t="s">
        <v>829</v>
      </c>
      <c r="E288" s="904">
        <v>49</v>
      </c>
      <c r="F288" s="905">
        <v>38</v>
      </c>
      <c r="G288" s="905">
        <v>12</v>
      </c>
      <c r="H288" s="826">
        <f t="shared" si="26"/>
        <v>0.95</v>
      </c>
      <c r="I288" s="708">
        <v>522</v>
      </c>
      <c r="J288" s="708">
        <f t="shared" si="27"/>
        <v>495.9</v>
      </c>
      <c r="K288" s="708">
        <f t="shared" si="28"/>
        <v>7814.2371535569719</v>
      </c>
      <c r="L288" s="624"/>
      <c r="M288" s="439"/>
      <c r="N288" s="731"/>
      <c r="O288" s="764"/>
      <c r="P288" s="721"/>
      <c r="Q288" s="733"/>
    </row>
    <row r="289" spans="1:17" ht="16.5" customHeight="1">
      <c r="A289" s="707">
        <f t="shared" si="25"/>
        <v>125</v>
      </c>
      <c r="B289" s="291" t="s">
        <v>830</v>
      </c>
      <c r="C289" s="722">
        <v>41992</v>
      </c>
      <c r="D289" s="722" t="s">
        <v>831</v>
      </c>
      <c r="E289" s="904">
        <v>57.5</v>
      </c>
      <c r="F289" s="905">
        <v>59</v>
      </c>
      <c r="G289" s="905"/>
      <c r="H289" s="826">
        <f t="shared" si="26"/>
        <v>0.34</v>
      </c>
      <c r="I289" s="708">
        <v>2500</v>
      </c>
      <c r="J289" s="708">
        <f t="shared" si="27"/>
        <v>850.00000000000011</v>
      </c>
      <c r="K289" s="708">
        <f t="shared" si="28"/>
        <v>2796.6743496940744</v>
      </c>
      <c r="L289" s="624"/>
      <c r="M289" s="439"/>
      <c r="N289" s="731"/>
      <c r="O289" s="764"/>
      <c r="P289" s="721"/>
      <c r="Q289" s="733"/>
    </row>
    <row r="290" spans="1:17" ht="16.5" customHeight="1">
      <c r="A290" s="707">
        <f t="shared" si="25"/>
        <v>126</v>
      </c>
      <c r="B290" s="291" t="s">
        <v>833</v>
      </c>
      <c r="C290" s="722">
        <v>41992</v>
      </c>
      <c r="D290" s="722" t="s">
        <v>831</v>
      </c>
      <c r="E290" s="904">
        <v>95</v>
      </c>
      <c r="F290" s="905">
        <v>64</v>
      </c>
      <c r="G290" s="905"/>
      <c r="H290" s="826">
        <f t="shared" si="26"/>
        <v>0.61</v>
      </c>
      <c r="I290" s="708">
        <v>2200</v>
      </c>
      <c r="J290" s="708">
        <f t="shared" si="27"/>
        <v>1342</v>
      </c>
      <c r="K290" s="708">
        <f t="shared" si="28"/>
        <v>5017.5628038628984</v>
      </c>
      <c r="L290" s="624"/>
      <c r="M290" s="439"/>
      <c r="N290" s="731"/>
      <c r="O290" s="764"/>
      <c r="P290" s="721"/>
      <c r="Q290" s="733"/>
    </row>
    <row r="291" spans="1:17" ht="16.5" customHeight="1">
      <c r="A291" s="707">
        <f t="shared" si="25"/>
        <v>127</v>
      </c>
      <c r="B291" s="291" t="s">
        <v>834</v>
      </c>
      <c r="C291" s="722">
        <v>41993</v>
      </c>
      <c r="D291" s="722" t="s">
        <v>835</v>
      </c>
      <c r="E291" s="904">
        <v>130</v>
      </c>
      <c r="F291" s="905">
        <v>170</v>
      </c>
      <c r="G291" s="905"/>
      <c r="H291" s="826">
        <f t="shared" si="26"/>
        <v>2.21</v>
      </c>
      <c r="I291" s="708">
        <v>500</v>
      </c>
      <c r="J291" s="708">
        <f t="shared" si="27"/>
        <v>1105</v>
      </c>
      <c r="K291" s="708">
        <f t="shared" si="28"/>
        <v>18178.383273011485</v>
      </c>
      <c r="L291" s="624"/>
      <c r="M291" s="439"/>
      <c r="N291" s="731"/>
      <c r="O291" s="764"/>
      <c r="P291" s="721"/>
      <c r="Q291" s="733"/>
    </row>
    <row r="292" spans="1:17" ht="16.5" customHeight="1">
      <c r="A292" s="707">
        <f t="shared" si="25"/>
        <v>128</v>
      </c>
      <c r="B292" s="291" t="s">
        <v>836</v>
      </c>
      <c r="C292" s="722">
        <v>41993</v>
      </c>
      <c r="D292" s="722" t="s">
        <v>837</v>
      </c>
      <c r="E292" s="904">
        <v>50</v>
      </c>
      <c r="F292" s="905">
        <v>35</v>
      </c>
      <c r="G292" s="905">
        <v>35</v>
      </c>
      <c r="H292" s="826">
        <f t="shared" si="26"/>
        <v>1.28</v>
      </c>
      <c r="I292" s="708">
        <v>213</v>
      </c>
      <c r="J292" s="708">
        <f t="shared" si="27"/>
        <v>272.64</v>
      </c>
      <c r="K292" s="708">
        <f t="shared" si="28"/>
        <v>10528.656375318868</v>
      </c>
      <c r="L292" s="624"/>
      <c r="M292" s="439"/>
      <c r="N292" s="731"/>
      <c r="O292" s="764"/>
      <c r="P292" s="721"/>
      <c r="Q292" s="733"/>
    </row>
    <row r="293" spans="1:17" ht="16.5" customHeight="1">
      <c r="A293" s="707">
        <f t="shared" ref="A293:A339" si="29">IF(B293&lt;&gt;"",A292+1,"")</f>
        <v>129</v>
      </c>
      <c r="B293" s="189" t="s">
        <v>1206</v>
      </c>
      <c r="C293" s="722">
        <v>41995</v>
      </c>
      <c r="D293" s="722" t="s">
        <v>839</v>
      </c>
      <c r="E293" s="904">
        <v>45</v>
      </c>
      <c r="F293" s="905">
        <v>37</v>
      </c>
      <c r="G293" s="905">
        <v>27.5</v>
      </c>
      <c r="H293" s="826">
        <f t="shared" si="26"/>
        <v>1.1399999999999999</v>
      </c>
      <c r="I293" s="708">
        <v>819</v>
      </c>
      <c r="J293" s="708">
        <f t="shared" si="27"/>
        <v>933.66</v>
      </c>
      <c r="K293" s="708">
        <f t="shared" si="28"/>
        <v>9377.0845842683666</v>
      </c>
      <c r="L293" s="624"/>
      <c r="M293" s="439"/>
      <c r="N293" s="731"/>
      <c r="O293" s="764"/>
      <c r="P293" s="721"/>
      <c r="Q293" s="733"/>
    </row>
    <row r="294" spans="1:17" ht="16.5" customHeight="1">
      <c r="A294" s="707">
        <f t="shared" si="29"/>
        <v>130</v>
      </c>
      <c r="B294" s="291" t="s">
        <v>445</v>
      </c>
      <c r="C294" s="722">
        <v>41995</v>
      </c>
      <c r="D294" s="722" t="s">
        <v>839</v>
      </c>
      <c r="E294" s="904">
        <v>50</v>
      </c>
      <c r="F294" s="905">
        <v>20</v>
      </c>
      <c r="G294" s="905"/>
      <c r="H294" s="826">
        <f t="shared" ref="H294:H339" si="30">IF(G294&lt;&gt;"",ROUND(((E294+F294)*2+5)*(F294+G294+3)/10000,2),ROUND(E294*F294/10000,2))</f>
        <v>0.1</v>
      </c>
      <c r="I294" s="708">
        <v>1638</v>
      </c>
      <c r="J294" s="708">
        <f t="shared" ref="J294:J339" si="31">H294*I294</f>
        <v>163.80000000000001</v>
      </c>
      <c r="K294" s="708">
        <f t="shared" ref="K294:K339" si="32">H294*$Q$198</f>
        <v>822.55127932178664</v>
      </c>
      <c r="L294" s="624"/>
      <c r="M294" s="439"/>
      <c r="N294" s="731"/>
      <c r="O294" s="764"/>
      <c r="P294" s="721"/>
      <c r="Q294" s="733"/>
    </row>
    <row r="295" spans="1:17" ht="16.5" customHeight="1">
      <c r="A295" s="707">
        <f t="shared" si="29"/>
        <v>131</v>
      </c>
      <c r="B295" s="291" t="s">
        <v>741</v>
      </c>
      <c r="C295" s="722">
        <v>41997</v>
      </c>
      <c r="D295" s="722" t="s">
        <v>840</v>
      </c>
      <c r="E295" s="904">
        <v>37.5</v>
      </c>
      <c r="F295" s="905">
        <v>25.3</v>
      </c>
      <c r="G295" s="905">
        <v>23.9</v>
      </c>
      <c r="H295" s="826">
        <f t="shared" si="30"/>
        <v>0.68</v>
      </c>
      <c r="I295" s="708">
        <v>517</v>
      </c>
      <c r="J295" s="708">
        <f t="shared" si="31"/>
        <v>351.56</v>
      </c>
      <c r="K295" s="708">
        <f t="shared" si="32"/>
        <v>5593.3486993881488</v>
      </c>
      <c r="L295" s="624"/>
      <c r="M295" s="439"/>
      <c r="N295" s="731"/>
      <c r="O295" s="764"/>
      <c r="P295" s="721"/>
      <c r="Q295" s="733"/>
    </row>
    <row r="296" spans="1:17" ht="16.5" customHeight="1">
      <c r="A296" s="707">
        <f t="shared" si="29"/>
        <v>132</v>
      </c>
      <c r="B296" s="291" t="s">
        <v>841</v>
      </c>
      <c r="C296" s="722">
        <v>41997</v>
      </c>
      <c r="D296" s="722" t="s">
        <v>842</v>
      </c>
      <c r="E296" s="904">
        <v>51</v>
      </c>
      <c r="F296" s="905">
        <v>36</v>
      </c>
      <c r="G296" s="905">
        <v>15</v>
      </c>
      <c r="H296" s="826">
        <f t="shared" si="30"/>
        <v>0.97</v>
      </c>
      <c r="I296" s="708">
        <v>701</v>
      </c>
      <c r="J296" s="708">
        <f t="shared" si="31"/>
        <v>679.97</v>
      </c>
      <c r="K296" s="708">
        <f t="shared" si="32"/>
        <v>7978.7474094213294</v>
      </c>
      <c r="L296" s="624"/>
      <c r="M296" s="439"/>
      <c r="N296" s="731"/>
      <c r="O296" s="764"/>
      <c r="P296" s="721"/>
      <c r="Q296" s="733"/>
    </row>
    <row r="297" spans="1:17" ht="16.5" customHeight="1">
      <c r="A297" s="707">
        <f t="shared" si="29"/>
        <v>133</v>
      </c>
      <c r="B297" s="291" t="s">
        <v>843</v>
      </c>
      <c r="C297" s="722">
        <v>41997</v>
      </c>
      <c r="D297" s="722" t="s">
        <v>842</v>
      </c>
      <c r="E297" s="904">
        <v>69</v>
      </c>
      <c r="F297" s="905">
        <v>51</v>
      </c>
      <c r="G297" s="905">
        <v>28</v>
      </c>
      <c r="H297" s="826">
        <f t="shared" si="30"/>
        <v>2.0099999999999998</v>
      </c>
      <c r="I297" s="708">
        <v>59</v>
      </c>
      <c r="J297" s="708">
        <f t="shared" si="31"/>
        <v>118.58999999999999</v>
      </c>
      <c r="K297" s="708">
        <f t="shared" si="32"/>
        <v>16533.280714367909</v>
      </c>
      <c r="L297" s="624"/>
      <c r="M297" s="439"/>
      <c r="N297" s="731"/>
      <c r="O297" s="764"/>
      <c r="P297" s="721"/>
      <c r="Q297" s="733"/>
    </row>
    <row r="298" spans="1:17" ht="16.5" customHeight="1">
      <c r="A298" s="707">
        <f t="shared" si="29"/>
        <v>134</v>
      </c>
      <c r="B298" s="291" t="s">
        <v>1201</v>
      </c>
      <c r="C298" s="722">
        <v>41997</v>
      </c>
      <c r="D298" s="722" t="s">
        <v>842</v>
      </c>
      <c r="E298" s="904">
        <v>41</v>
      </c>
      <c r="F298" s="905">
        <v>26</v>
      </c>
      <c r="G298" s="905"/>
      <c r="H298" s="826">
        <f t="shared" si="30"/>
        <v>0.11</v>
      </c>
      <c r="I298" s="708">
        <v>1402</v>
      </c>
      <c r="J298" s="708">
        <f t="shared" si="31"/>
        <v>154.22</v>
      </c>
      <c r="K298" s="708">
        <f t="shared" si="32"/>
        <v>904.80640725396518</v>
      </c>
      <c r="L298" s="624"/>
      <c r="M298" s="439"/>
      <c r="N298" s="731"/>
      <c r="O298" s="764"/>
      <c r="P298" s="721"/>
      <c r="Q298" s="733"/>
    </row>
    <row r="299" spans="1:17" ht="16.5" customHeight="1">
      <c r="A299" s="707">
        <f t="shared" si="29"/>
        <v>135</v>
      </c>
      <c r="B299" s="291" t="s">
        <v>1202</v>
      </c>
      <c r="C299" s="722">
        <v>41997</v>
      </c>
      <c r="D299" s="722" t="s">
        <v>842</v>
      </c>
      <c r="E299" s="904">
        <v>59</v>
      </c>
      <c r="F299" s="905">
        <v>41</v>
      </c>
      <c r="G299" s="905"/>
      <c r="H299" s="826">
        <f t="shared" si="30"/>
        <v>0.24</v>
      </c>
      <c r="I299" s="708">
        <v>118</v>
      </c>
      <c r="J299" s="708">
        <f t="shared" si="31"/>
        <v>28.32</v>
      </c>
      <c r="K299" s="708">
        <f t="shared" si="32"/>
        <v>1974.1230703722877</v>
      </c>
      <c r="L299" s="624"/>
      <c r="M299" s="439"/>
      <c r="N299" s="731"/>
      <c r="O299" s="764"/>
      <c r="P299" s="721"/>
      <c r="Q299" s="733"/>
    </row>
    <row r="300" spans="1:17" ht="16.5" customHeight="1">
      <c r="A300" s="707">
        <f t="shared" si="29"/>
        <v>136</v>
      </c>
      <c r="B300" s="291" t="s">
        <v>844</v>
      </c>
      <c r="C300" s="722">
        <v>41997</v>
      </c>
      <c r="D300" s="722" t="s">
        <v>845</v>
      </c>
      <c r="E300" s="904">
        <v>35</v>
      </c>
      <c r="F300" s="905">
        <v>27</v>
      </c>
      <c r="G300" s="905">
        <v>22</v>
      </c>
      <c r="H300" s="826">
        <f t="shared" si="30"/>
        <v>0.67</v>
      </c>
      <c r="I300" s="708">
        <v>42</v>
      </c>
      <c r="J300" s="708">
        <f t="shared" si="31"/>
        <v>28.14</v>
      </c>
      <c r="K300" s="708">
        <f t="shared" si="32"/>
        <v>5511.0935714559701</v>
      </c>
      <c r="L300" s="624"/>
      <c r="M300" s="439"/>
      <c r="N300" s="731"/>
      <c r="O300" s="764"/>
      <c r="P300" s="721"/>
      <c r="Q300" s="733"/>
    </row>
    <row r="301" spans="1:17" ht="16.5" customHeight="1">
      <c r="A301" s="707">
        <f t="shared" si="29"/>
        <v>137</v>
      </c>
      <c r="B301" s="291" t="s">
        <v>847</v>
      </c>
      <c r="C301" s="722">
        <v>41997</v>
      </c>
      <c r="D301" s="722" t="s">
        <v>845</v>
      </c>
      <c r="E301" s="904">
        <v>38</v>
      </c>
      <c r="F301" s="905">
        <v>33</v>
      </c>
      <c r="G301" s="905">
        <v>22</v>
      </c>
      <c r="H301" s="826">
        <f t="shared" si="30"/>
        <v>0.85</v>
      </c>
      <c r="I301" s="708">
        <v>137</v>
      </c>
      <c r="J301" s="708">
        <f t="shared" si="31"/>
        <v>116.45</v>
      </c>
      <c r="K301" s="708">
        <f t="shared" si="32"/>
        <v>6991.685874235186</v>
      </c>
      <c r="L301" s="624"/>
      <c r="M301" s="439"/>
      <c r="N301" s="731"/>
      <c r="O301" s="764"/>
      <c r="P301" s="721"/>
      <c r="Q301" s="733"/>
    </row>
    <row r="302" spans="1:17" ht="16.5" customHeight="1">
      <c r="A302" s="707">
        <f t="shared" si="29"/>
        <v>138</v>
      </c>
      <c r="B302" s="291" t="s">
        <v>848</v>
      </c>
      <c r="C302" s="722">
        <v>41997</v>
      </c>
      <c r="D302" s="722" t="s">
        <v>845</v>
      </c>
      <c r="E302" s="904">
        <v>38</v>
      </c>
      <c r="F302" s="905">
        <v>35</v>
      </c>
      <c r="G302" s="905">
        <v>20</v>
      </c>
      <c r="H302" s="826">
        <f t="shared" si="30"/>
        <v>0.88</v>
      </c>
      <c r="I302" s="708">
        <v>44</v>
      </c>
      <c r="J302" s="708">
        <f t="shared" si="31"/>
        <v>38.72</v>
      </c>
      <c r="K302" s="708">
        <f t="shared" si="32"/>
        <v>7238.4512580317214</v>
      </c>
      <c r="L302" s="624"/>
      <c r="M302" s="439"/>
      <c r="N302" s="731"/>
      <c r="O302" s="764"/>
      <c r="P302" s="721"/>
      <c r="Q302" s="733"/>
    </row>
    <row r="303" spans="1:17" ht="16.5" customHeight="1">
      <c r="A303" s="707">
        <f t="shared" si="29"/>
        <v>139</v>
      </c>
      <c r="B303" s="291" t="s">
        <v>849</v>
      </c>
      <c r="C303" s="722">
        <v>41997</v>
      </c>
      <c r="D303" s="722" t="s">
        <v>845</v>
      </c>
      <c r="E303" s="904">
        <v>55</v>
      </c>
      <c r="F303" s="905">
        <v>27</v>
      </c>
      <c r="G303" s="905">
        <v>24</v>
      </c>
      <c r="H303" s="826">
        <f t="shared" si="30"/>
        <v>0.91</v>
      </c>
      <c r="I303" s="708">
        <v>966</v>
      </c>
      <c r="J303" s="708">
        <f t="shared" si="31"/>
        <v>879.06000000000006</v>
      </c>
      <c r="K303" s="708">
        <f t="shared" si="32"/>
        <v>7485.2166418282577</v>
      </c>
      <c r="L303" s="624"/>
      <c r="M303" s="439"/>
      <c r="N303" s="731"/>
      <c r="O303" s="764"/>
      <c r="P303" s="721"/>
      <c r="Q303" s="733"/>
    </row>
    <row r="304" spans="1:17" ht="16.5" customHeight="1">
      <c r="A304" s="707">
        <f t="shared" si="29"/>
        <v>140</v>
      </c>
      <c r="B304" s="291" t="s">
        <v>850</v>
      </c>
      <c r="C304" s="722">
        <v>41997</v>
      </c>
      <c r="D304" s="722" t="s">
        <v>845</v>
      </c>
      <c r="E304" s="904">
        <v>43</v>
      </c>
      <c r="F304" s="905">
        <v>41</v>
      </c>
      <c r="G304" s="905">
        <v>22</v>
      </c>
      <c r="H304" s="826">
        <f t="shared" si="30"/>
        <v>1.1399999999999999</v>
      </c>
      <c r="I304" s="708">
        <v>105</v>
      </c>
      <c r="J304" s="708">
        <f t="shared" si="31"/>
        <v>119.69999999999999</v>
      </c>
      <c r="K304" s="708">
        <f t="shared" si="32"/>
        <v>9377.0845842683666</v>
      </c>
      <c r="L304" s="624"/>
      <c r="M304" s="439"/>
      <c r="N304" s="731"/>
      <c r="O304" s="764"/>
      <c r="P304" s="721"/>
      <c r="Q304" s="733"/>
    </row>
    <row r="305" spans="1:17" ht="16.5" customHeight="1">
      <c r="A305" s="707">
        <f t="shared" si="29"/>
        <v>141</v>
      </c>
      <c r="B305" s="291" t="s">
        <v>851</v>
      </c>
      <c r="C305" s="722">
        <v>41997</v>
      </c>
      <c r="D305" s="722" t="s">
        <v>845</v>
      </c>
      <c r="E305" s="904">
        <v>43</v>
      </c>
      <c r="F305" s="905">
        <v>41</v>
      </c>
      <c r="G305" s="905">
        <v>23</v>
      </c>
      <c r="H305" s="826">
        <f t="shared" si="30"/>
        <v>1.1599999999999999</v>
      </c>
      <c r="I305" s="708">
        <v>25</v>
      </c>
      <c r="J305" s="708">
        <f t="shared" si="31"/>
        <v>28.999999999999996</v>
      </c>
      <c r="K305" s="708">
        <f t="shared" si="32"/>
        <v>9541.5948401327241</v>
      </c>
      <c r="L305" s="624"/>
      <c r="M305" s="439"/>
      <c r="N305" s="731"/>
      <c r="O305" s="764"/>
      <c r="P305" s="721"/>
      <c r="Q305" s="733"/>
    </row>
    <row r="306" spans="1:17" ht="16.5" customHeight="1">
      <c r="A306" s="707">
        <f t="shared" si="29"/>
        <v>142</v>
      </c>
      <c r="B306" s="291" t="s">
        <v>852</v>
      </c>
      <c r="C306" s="722">
        <v>41997</v>
      </c>
      <c r="D306" s="722" t="s">
        <v>845</v>
      </c>
      <c r="E306" s="904">
        <v>46</v>
      </c>
      <c r="F306" s="905">
        <v>44</v>
      </c>
      <c r="G306" s="905">
        <v>22</v>
      </c>
      <c r="H306" s="826">
        <f t="shared" si="30"/>
        <v>1.28</v>
      </c>
      <c r="I306" s="708">
        <v>104</v>
      </c>
      <c r="J306" s="708">
        <f t="shared" si="31"/>
        <v>133.12</v>
      </c>
      <c r="K306" s="708">
        <f t="shared" si="32"/>
        <v>10528.656375318868</v>
      </c>
      <c r="L306" s="624"/>
      <c r="M306" s="439"/>
      <c r="N306" s="731"/>
      <c r="O306" s="764"/>
      <c r="P306" s="721"/>
      <c r="Q306" s="733"/>
    </row>
    <row r="307" spans="1:17" ht="16.5" customHeight="1">
      <c r="A307" s="707">
        <f t="shared" si="29"/>
        <v>143</v>
      </c>
      <c r="B307" s="291" t="s">
        <v>853</v>
      </c>
      <c r="C307" s="722">
        <v>41997</v>
      </c>
      <c r="D307" s="722" t="s">
        <v>845</v>
      </c>
      <c r="E307" s="904">
        <v>49</v>
      </c>
      <c r="F307" s="905">
        <v>44</v>
      </c>
      <c r="G307" s="905">
        <v>22</v>
      </c>
      <c r="H307" s="826">
        <f t="shared" si="30"/>
        <v>1.32</v>
      </c>
      <c r="I307" s="708">
        <v>108</v>
      </c>
      <c r="J307" s="708">
        <f t="shared" si="31"/>
        <v>142.56</v>
      </c>
      <c r="K307" s="708">
        <f t="shared" si="32"/>
        <v>10857.676887047583</v>
      </c>
      <c r="L307" s="624"/>
      <c r="M307" s="439"/>
      <c r="N307" s="731"/>
      <c r="O307" s="764"/>
      <c r="P307" s="721"/>
      <c r="Q307" s="733"/>
    </row>
    <row r="308" spans="1:17" ht="16.5" customHeight="1">
      <c r="A308" s="707">
        <f t="shared" si="29"/>
        <v>144</v>
      </c>
      <c r="B308" s="291" t="s">
        <v>854</v>
      </c>
      <c r="C308" s="722">
        <v>41997</v>
      </c>
      <c r="D308" s="722" t="s">
        <v>845</v>
      </c>
      <c r="E308" s="904">
        <v>55</v>
      </c>
      <c r="F308" s="905">
        <v>51</v>
      </c>
      <c r="G308" s="905">
        <v>16</v>
      </c>
      <c r="H308" s="826">
        <f t="shared" si="30"/>
        <v>1.52</v>
      </c>
      <c r="I308" s="708">
        <v>32</v>
      </c>
      <c r="J308" s="708">
        <f t="shared" si="31"/>
        <v>48.64</v>
      </c>
      <c r="K308" s="708">
        <f t="shared" si="32"/>
        <v>12502.779445691156</v>
      </c>
      <c r="L308" s="624"/>
      <c r="M308" s="439"/>
      <c r="N308" s="731"/>
      <c r="O308" s="764"/>
      <c r="P308" s="721"/>
      <c r="Q308" s="733"/>
    </row>
    <row r="309" spans="1:17" ht="16.5" customHeight="1">
      <c r="A309" s="707">
        <f t="shared" si="29"/>
        <v>145</v>
      </c>
      <c r="B309" s="291" t="s">
        <v>855</v>
      </c>
      <c r="C309" s="722">
        <v>41997</v>
      </c>
      <c r="D309" s="722" t="s">
        <v>845</v>
      </c>
      <c r="E309" s="904">
        <v>55</v>
      </c>
      <c r="F309" s="905">
        <v>51</v>
      </c>
      <c r="G309" s="905">
        <v>22</v>
      </c>
      <c r="H309" s="826">
        <f t="shared" si="30"/>
        <v>1.65</v>
      </c>
      <c r="I309" s="708">
        <v>63</v>
      </c>
      <c r="J309" s="708">
        <f t="shared" si="31"/>
        <v>103.94999999999999</v>
      </c>
      <c r="K309" s="708">
        <f t="shared" si="32"/>
        <v>13572.096108809477</v>
      </c>
      <c r="L309" s="624"/>
      <c r="M309" s="439"/>
      <c r="N309" s="731"/>
      <c r="O309" s="764"/>
      <c r="P309" s="721"/>
      <c r="Q309" s="733"/>
    </row>
    <row r="310" spans="1:17" ht="16.5" customHeight="1">
      <c r="A310" s="707">
        <f t="shared" si="29"/>
        <v>146</v>
      </c>
      <c r="B310" s="291" t="s">
        <v>436</v>
      </c>
      <c r="C310" s="722">
        <v>41998</v>
      </c>
      <c r="D310" s="722" t="s">
        <v>856</v>
      </c>
      <c r="E310" s="904">
        <v>49</v>
      </c>
      <c r="F310" s="905">
        <v>38</v>
      </c>
      <c r="G310" s="905">
        <v>12</v>
      </c>
      <c r="H310" s="826">
        <f t="shared" si="30"/>
        <v>0.95</v>
      </c>
      <c r="I310" s="708">
        <v>500</v>
      </c>
      <c r="J310" s="708">
        <f t="shared" si="31"/>
        <v>475</v>
      </c>
      <c r="K310" s="708">
        <f t="shared" si="32"/>
        <v>7814.2371535569719</v>
      </c>
      <c r="L310" s="624"/>
      <c r="M310" s="439"/>
      <c r="N310" s="731"/>
      <c r="O310" s="764"/>
      <c r="P310" s="721"/>
      <c r="Q310" s="733"/>
    </row>
    <row r="311" spans="1:17" ht="16.5" customHeight="1">
      <c r="A311" s="707">
        <f t="shared" si="29"/>
        <v>147</v>
      </c>
      <c r="B311" s="291" t="s">
        <v>459</v>
      </c>
      <c r="C311" s="722">
        <v>41998</v>
      </c>
      <c r="D311" s="722" t="s">
        <v>857</v>
      </c>
      <c r="E311" s="904">
        <v>55</v>
      </c>
      <c r="F311" s="905">
        <v>28</v>
      </c>
      <c r="G311" s="905">
        <v>23</v>
      </c>
      <c r="H311" s="826">
        <f t="shared" si="30"/>
        <v>0.92</v>
      </c>
      <c r="I311" s="708">
        <v>1000</v>
      </c>
      <c r="J311" s="708">
        <f t="shared" si="31"/>
        <v>920</v>
      </c>
      <c r="K311" s="708">
        <f t="shared" si="32"/>
        <v>7567.4717697604365</v>
      </c>
      <c r="L311" s="624"/>
      <c r="M311" s="439"/>
      <c r="N311" s="731"/>
      <c r="O311" s="764"/>
      <c r="P311" s="721"/>
      <c r="Q311" s="733"/>
    </row>
    <row r="312" spans="1:17" ht="16.5" customHeight="1">
      <c r="A312" s="707">
        <f t="shared" si="29"/>
        <v>148</v>
      </c>
      <c r="B312" s="291" t="s">
        <v>858</v>
      </c>
      <c r="C312" s="722">
        <v>41998</v>
      </c>
      <c r="D312" s="722" t="s">
        <v>859</v>
      </c>
      <c r="E312" s="904">
        <v>80</v>
      </c>
      <c r="F312" s="905">
        <v>54</v>
      </c>
      <c r="G312" s="905">
        <v>33</v>
      </c>
      <c r="H312" s="826">
        <f t="shared" si="30"/>
        <v>2.46</v>
      </c>
      <c r="I312" s="708">
        <v>45</v>
      </c>
      <c r="J312" s="708">
        <f t="shared" si="31"/>
        <v>110.7</v>
      </c>
      <c r="K312" s="708">
        <f t="shared" si="32"/>
        <v>20234.761471315949</v>
      </c>
      <c r="L312" s="624"/>
      <c r="M312" s="439"/>
      <c r="N312" s="731"/>
      <c r="O312" s="764"/>
      <c r="P312" s="721"/>
      <c r="Q312" s="733"/>
    </row>
    <row r="313" spans="1:17" ht="16.5" customHeight="1">
      <c r="A313" s="707">
        <f t="shared" si="29"/>
        <v>149</v>
      </c>
      <c r="B313" s="291" t="s">
        <v>746</v>
      </c>
      <c r="C313" s="722">
        <v>41998</v>
      </c>
      <c r="D313" s="722" t="s">
        <v>859</v>
      </c>
      <c r="E313" s="904">
        <v>60</v>
      </c>
      <c r="F313" s="905">
        <v>25</v>
      </c>
      <c r="G313" s="905"/>
      <c r="H313" s="826">
        <f t="shared" si="30"/>
        <v>0.15</v>
      </c>
      <c r="I313" s="708">
        <v>90</v>
      </c>
      <c r="J313" s="708">
        <f t="shared" si="31"/>
        <v>13.5</v>
      </c>
      <c r="K313" s="708">
        <f t="shared" si="32"/>
        <v>1233.8269189826799</v>
      </c>
      <c r="L313" s="624"/>
      <c r="M313" s="439"/>
      <c r="N313" s="731"/>
      <c r="O313" s="764"/>
      <c r="P313" s="721"/>
      <c r="Q313" s="733"/>
    </row>
    <row r="314" spans="1:17" ht="16.5" customHeight="1">
      <c r="A314" s="707">
        <f t="shared" si="29"/>
        <v>150</v>
      </c>
      <c r="B314" s="291" t="s">
        <v>860</v>
      </c>
      <c r="C314" s="722">
        <v>41999</v>
      </c>
      <c r="D314" s="722" t="s">
        <v>861</v>
      </c>
      <c r="E314" s="904">
        <v>61</v>
      </c>
      <c r="F314" s="905">
        <v>51</v>
      </c>
      <c r="G314" s="905">
        <v>30</v>
      </c>
      <c r="H314" s="826">
        <f t="shared" si="30"/>
        <v>1.92</v>
      </c>
      <c r="I314" s="708">
        <v>305</v>
      </c>
      <c r="J314" s="708">
        <f t="shared" si="31"/>
        <v>585.6</v>
      </c>
      <c r="K314" s="708">
        <f t="shared" si="32"/>
        <v>15792.984562978301</v>
      </c>
      <c r="L314" s="624"/>
      <c r="M314" s="439"/>
      <c r="N314" s="731"/>
      <c r="O314" s="764"/>
      <c r="P314" s="721"/>
      <c r="Q314" s="733"/>
    </row>
    <row r="315" spans="1:17" ht="16.5" customHeight="1">
      <c r="A315" s="707">
        <f t="shared" si="29"/>
        <v>151</v>
      </c>
      <c r="B315" s="291" t="s">
        <v>863</v>
      </c>
      <c r="C315" s="722">
        <v>41999</v>
      </c>
      <c r="D315" s="722" t="s">
        <v>861</v>
      </c>
      <c r="E315" s="904">
        <v>52</v>
      </c>
      <c r="F315" s="905">
        <v>26.5</v>
      </c>
      <c r="G315" s="905">
        <v>26.5</v>
      </c>
      <c r="H315" s="826">
        <f t="shared" si="30"/>
        <v>0.91</v>
      </c>
      <c r="I315" s="708">
        <v>615</v>
      </c>
      <c r="J315" s="708">
        <f t="shared" si="31"/>
        <v>559.65</v>
      </c>
      <c r="K315" s="708">
        <f t="shared" si="32"/>
        <v>7485.2166418282577</v>
      </c>
      <c r="L315" s="624"/>
      <c r="M315" s="439"/>
      <c r="N315" s="731"/>
      <c r="O315" s="764"/>
      <c r="P315" s="721"/>
      <c r="Q315" s="733"/>
    </row>
    <row r="316" spans="1:17" ht="16.5" customHeight="1">
      <c r="A316" s="707">
        <f t="shared" si="29"/>
        <v>152</v>
      </c>
      <c r="B316" s="192" t="s">
        <v>864</v>
      </c>
      <c r="C316" s="722">
        <v>41999</v>
      </c>
      <c r="D316" s="722" t="s">
        <v>861</v>
      </c>
      <c r="E316" s="904">
        <v>52</v>
      </c>
      <c r="F316" s="905">
        <v>24.5</v>
      </c>
      <c r="G316" s="905">
        <v>24.5</v>
      </c>
      <c r="H316" s="826">
        <f t="shared" si="30"/>
        <v>0.82</v>
      </c>
      <c r="I316" s="251">
        <v>953</v>
      </c>
      <c r="J316" s="708">
        <f t="shared" si="31"/>
        <v>781.45999999999992</v>
      </c>
      <c r="K316" s="708">
        <f t="shared" si="32"/>
        <v>6744.9204904386497</v>
      </c>
      <c r="L316" s="624"/>
      <c r="M316" s="439"/>
      <c r="N316" s="731"/>
      <c r="O316" s="764"/>
      <c r="P316" s="721"/>
      <c r="Q316" s="733"/>
    </row>
    <row r="317" spans="1:17" ht="16.5" customHeight="1">
      <c r="A317" s="707">
        <f t="shared" si="29"/>
        <v>153</v>
      </c>
      <c r="B317" s="192" t="s">
        <v>865</v>
      </c>
      <c r="C317" s="722">
        <v>41999</v>
      </c>
      <c r="D317" s="722" t="s">
        <v>861</v>
      </c>
      <c r="E317" s="904">
        <v>46</v>
      </c>
      <c r="F317" s="905">
        <v>23</v>
      </c>
      <c r="G317" s="905">
        <v>32.5</v>
      </c>
      <c r="H317" s="826">
        <f t="shared" si="30"/>
        <v>0.84</v>
      </c>
      <c r="I317" s="251">
        <v>300</v>
      </c>
      <c r="J317" s="708">
        <f t="shared" si="31"/>
        <v>252</v>
      </c>
      <c r="K317" s="708">
        <f t="shared" si="32"/>
        <v>6909.4307463030073</v>
      </c>
      <c r="L317" s="624"/>
      <c r="M317" s="439"/>
      <c r="N317" s="731"/>
      <c r="O317" s="764"/>
      <c r="P317" s="721"/>
      <c r="Q317" s="733"/>
    </row>
    <row r="318" spans="1:17" ht="16.5" customHeight="1">
      <c r="A318" s="707">
        <f t="shared" si="29"/>
        <v>154</v>
      </c>
      <c r="B318" s="192" t="s">
        <v>866</v>
      </c>
      <c r="C318" s="722">
        <v>41999</v>
      </c>
      <c r="D318" s="722" t="s">
        <v>867</v>
      </c>
      <c r="E318" s="904">
        <v>37.5</v>
      </c>
      <c r="F318" s="905">
        <v>22.8</v>
      </c>
      <c r="G318" s="905">
        <v>27</v>
      </c>
      <c r="H318" s="826">
        <f t="shared" si="30"/>
        <v>0.66</v>
      </c>
      <c r="I318" s="251">
        <v>416</v>
      </c>
      <c r="J318" s="708">
        <f t="shared" si="31"/>
        <v>274.56</v>
      </c>
      <c r="K318" s="708">
        <f t="shared" si="32"/>
        <v>5428.8384435237913</v>
      </c>
      <c r="L318" s="624"/>
      <c r="M318" s="439"/>
      <c r="N318" s="731"/>
      <c r="O318" s="764"/>
      <c r="P318" s="721"/>
      <c r="Q318" s="733"/>
    </row>
    <row r="319" spans="1:17" ht="16.5" customHeight="1">
      <c r="A319" s="707">
        <f t="shared" si="29"/>
        <v>155</v>
      </c>
      <c r="B319" s="192" t="s">
        <v>866</v>
      </c>
      <c r="C319" s="722">
        <v>41999</v>
      </c>
      <c r="D319" s="722" t="s">
        <v>867</v>
      </c>
      <c r="E319" s="904">
        <v>37.5</v>
      </c>
      <c r="F319" s="905">
        <v>22.8</v>
      </c>
      <c r="G319" s="905">
        <v>27</v>
      </c>
      <c r="H319" s="826">
        <f t="shared" si="30"/>
        <v>0.66</v>
      </c>
      <c r="I319" s="251">
        <v>602</v>
      </c>
      <c r="J319" s="708">
        <f t="shared" si="31"/>
        <v>397.32</v>
      </c>
      <c r="K319" s="708">
        <f t="shared" si="32"/>
        <v>5428.8384435237913</v>
      </c>
      <c r="L319" s="624"/>
      <c r="M319" s="439"/>
      <c r="N319" s="731"/>
      <c r="O319" s="764"/>
      <c r="P319" s="721"/>
      <c r="Q319" s="733"/>
    </row>
    <row r="320" spans="1:17" ht="16.5" customHeight="1">
      <c r="A320" s="707">
        <f t="shared" si="29"/>
        <v>156</v>
      </c>
      <c r="B320" s="192" t="s">
        <v>868</v>
      </c>
      <c r="C320" s="722">
        <v>41999</v>
      </c>
      <c r="D320" s="722" t="s">
        <v>867</v>
      </c>
      <c r="E320" s="904">
        <v>36.5</v>
      </c>
      <c r="F320" s="905">
        <v>24</v>
      </c>
      <c r="G320" s="905">
        <v>19</v>
      </c>
      <c r="H320" s="826">
        <f t="shared" si="30"/>
        <v>0.57999999999999996</v>
      </c>
      <c r="I320" s="251">
        <v>413</v>
      </c>
      <c r="J320" s="708">
        <f t="shared" si="31"/>
        <v>239.54</v>
      </c>
      <c r="K320" s="708">
        <f t="shared" si="32"/>
        <v>4770.7974200663621</v>
      </c>
      <c r="L320" s="624"/>
      <c r="M320" s="439"/>
      <c r="N320" s="731"/>
      <c r="O320" s="764"/>
      <c r="P320" s="721"/>
      <c r="Q320" s="733"/>
    </row>
    <row r="321" spans="1:17" ht="16.5" customHeight="1">
      <c r="A321" s="707">
        <f t="shared" si="29"/>
        <v>157</v>
      </c>
      <c r="B321" s="192" t="s">
        <v>670</v>
      </c>
      <c r="C321" s="722">
        <v>42000</v>
      </c>
      <c r="D321" s="722" t="s">
        <v>869</v>
      </c>
      <c r="E321" s="904">
        <v>43</v>
      </c>
      <c r="F321" s="905">
        <v>31</v>
      </c>
      <c r="G321" s="905">
        <v>25</v>
      </c>
      <c r="H321" s="826">
        <f t="shared" si="30"/>
        <v>0.9</v>
      </c>
      <c r="I321" s="251">
        <v>1528</v>
      </c>
      <c r="J321" s="708">
        <f t="shared" si="31"/>
        <v>1375.2</v>
      </c>
      <c r="K321" s="708">
        <f t="shared" si="32"/>
        <v>7402.9615138960789</v>
      </c>
      <c r="L321" s="624"/>
      <c r="M321" s="439"/>
      <c r="N321" s="731"/>
      <c r="O321" s="764"/>
      <c r="P321" s="721"/>
      <c r="Q321" s="733"/>
    </row>
    <row r="322" spans="1:17" ht="16.5" customHeight="1">
      <c r="A322" s="707">
        <f t="shared" si="29"/>
        <v>158</v>
      </c>
      <c r="B322" s="192" t="s">
        <v>515</v>
      </c>
      <c r="C322" s="722">
        <v>42000</v>
      </c>
      <c r="D322" s="722" t="s">
        <v>870</v>
      </c>
      <c r="E322" s="904">
        <v>59</v>
      </c>
      <c r="F322" s="905">
        <v>38</v>
      </c>
      <c r="G322" s="905">
        <v>17</v>
      </c>
      <c r="H322" s="826">
        <f t="shared" si="30"/>
        <v>1.1499999999999999</v>
      </c>
      <c r="I322" s="251">
        <v>1010</v>
      </c>
      <c r="J322" s="708">
        <f t="shared" si="31"/>
        <v>1161.5</v>
      </c>
      <c r="K322" s="708">
        <f t="shared" si="32"/>
        <v>9459.3397122005445</v>
      </c>
      <c r="L322" s="624"/>
      <c r="M322" s="439"/>
      <c r="N322" s="731"/>
      <c r="O322" s="764"/>
      <c r="P322" s="721"/>
      <c r="Q322" s="733"/>
    </row>
    <row r="323" spans="1:17" ht="16.5" customHeight="1">
      <c r="A323" s="707">
        <f t="shared" si="29"/>
        <v>159</v>
      </c>
      <c r="B323" s="192" t="s">
        <v>871</v>
      </c>
      <c r="C323" s="722">
        <v>42003</v>
      </c>
      <c r="D323" s="722" t="s">
        <v>872</v>
      </c>
      <c r="E323" s="904">
        <v>39.5</v>
      </c>
      <c r="F323" s="905">
        <v>32.299999999999997</v>
      </c>
      <c r="G323" s="905">
        <v>27.7</v>
      </c>
      <c r="H323" s="826">
        <f t="shared" si="30"/>
        <v>0.94</v>
      </c>
      <c r="I323" s="251">
        <v>310</v>
      </c>
      <c r="J323" s="708">
        <f t="shared" si="31"/>
        <v>291.39999999999998</v>
      </c>
      <c r="K323" s="708">
        <f t="shared" si="32"/>
        <v>7731.9820256247931</v>
      </c>
      <c r="L323" s="624"/>
      <c r="M323" s="439"/>
      <c r="N323" s="731"/>
      <c r="O323" s="764"/>
      <c r="P323" s="721"/>
      <c r="Q323" s="733"/>
    </row>
    <row r="324" spans="1:17" ht="16.5" customHeight="1">
      <c r="A324" s="707">
        <f t="shared" si="29"/>
        <v>160</v>
      </c>
      <c r="B324" s="192" t="s">
        <v>873</v>
      </c>
      <c r="C324" s="722">
        <v>42003</v>
      </c>
      <c r="D324" s="722" t="s">
        <v>872</v>
      </c>
      <c r="E324" s="904">
        <v>35</v>
      </c>
      <c r="F324" s="905">
        <v>35</v>
      </c>
      <c r="G324" s="905">
        <v>29</v>
      </c>
      <c r="H324" s="826">
        <f t="shared" si="30"/>
        <v>0.97</v>
      </c>
      <c r="I324" s="251">
        <v>219</v>
      </c>
      <c r="J324" s="708">
        <f t="shared" si="31"/>
        <v>212.43</v>
      </c>
      <c r="K324" s="708">
        <f t="shared" si="32"/>
        <v>7978.7474094213294</v>
      </c>
      <c r="L324" s="624"/>
      <c r="M324" s="439"/>
      <c r="N324" s="731"/>
      <c r="O324" s="764"/>
      <c r="P324" s="721"/>
      <c r="Q324" s="733"/>
    </row>
    <row r="325" spans="1:17" ht="16.5" customHeight="1">
      <c r="A325" s="707">
        <f t="shared" si="29"/>
        <v>161</v>
      </c>
      <c r="B325" s="192" t="s">
        <v>874</v>
      </c>
      <c r="C325" s="722">
        <v>42003</v>
      </c>
      <c r="D325" s="722" t="s">
        <v>875</v>
      </c>
      <c r="E325" s="904">
        <v>84</v>
      </c>
      <c r="F325" s="905">
        <v>58</v>
      </c>
      <c r="G325" s="905">
        <v>30</v>
      </c>
      <c r="H325" s="826">
        <f t="shared" si="30"/>
        <v>2.63</v>
      </c>
      <c r="I325" s="251">
        <v>30</v>
      </c>
      <c r="J325" s="708">
        <f t="shared" si="31"/>
        <v>78.899999999999991</v>
      </c>
      <c r="K325" s="708">
        <f t="shared" si="32"/>
        <v>21633.098646162987</v>
      </c>
      <c r="L325" s="624"/>
      <c r="M325" s="439"/>
      <c r="N325" s="731"/>
      <c r="O325" s="764"/>
      <c r="P325" s="721"/>
      <c r="Q325" s="733"/>
    </row>
    <row r="326" spans="1:17" ht="16.5" customHeight="1">
      <c r="A326" s="707">
        <f t="shared" si="29"/>
        <v>162</v>
      </c>
      <c r="B326" s="192" t="s">
        <v>746</v>
      </c>
      <c r="C326" s="722">
        <v>42003</v>
      </c>
      <c r="D326" s="722" t="s">
        <v>875</v>
      </c>
      <c r="E326" s="904">
        <v>60</v>
      </c>
      <c r="F326" s="905">
        <v>25</v>
      </c>
      <c r="G326" s="905"/>
      <c r="H326" s="826">
        <f t="shared" si="30"/>
        <v>0.15</v>
      </c>
      <c r="I326" s="251">
        <v>60</v>
      </c>
      <c r="J326" s="708">
        <f t="shared" si="31"/>
        <v>9</v>
      </c>
      <c r="K326" s="708">
        <f t="shared" si="32"/>
        <v>1233.8269189826799</v>
      </c>
      <c r="L326" s="624"/>
      <c r="M326" s="439"/>
      <c r="N326" s="731"/>
      <c r="O326" s="764"/>
      <c r="P326" s="721"/>
      <c r="Q326" s="733"/>
    </row>
    <row r="327" spans="1:17" ht="16.5" customHeight="1">
      <c r="A327" s="707">
        <f t="shared" si="29"/>
        <v>163</v>
      </c>
      <c r="B327" s="192" t="s">
        <v>554</v>
      </c>
      <c r="C327" s="722">
        <v>42003</v>
      </c>
      <c r="D327" s="722" t="s">
        <v>876</v>
      </c>
      <c r="E327" s="904">
        <v>63.5</v>
      </c>
      <c r="F327" s="905">
        <v>63.5</v>
      </c>
      <c r="G327" s="905">
        <v>30.5</v>
      </c>
      <c r="H327" s="826">
        <f t="shared" si="30"/>
        <v>2.5099999999999998</v>
      </c>
      <c r="I327" s="251">
        <v>650</v>
      </c>
      <c r="J327" s="708">
        <f t="shared" si="31"/>
        <v>1631.4999999999998</v>
      </c>
      <c r="K327" s="708">
        <f t="shared" si="32"/>
        <v>20646.037110976842</v>
      </c>
      <c r="L327" s="624"/>
      <c r="M327" s="439"/>
      <c r="N327" s="731"/>
      <c r="O327" s="764"/>
      <c r="P327" s="721"/>
      <c r="Q327" s="733"/>
    </row>
    <row r="328" spans="1:17" ht="16.5" customHeight="1">
      <c r="A328" s="707">
        <f t="shared" si="29"/>
        <v>164</v>
      </c>
      <c r="B328" s="192" t="s">
        <v>512</v>
      </c>
      <c r="C328" s="722">
        <v>42004</v>
      </c>
      <c r="D328" s="722" t="s">
        <v>877</v>
      </c>
      <c r="E328" s="904">
        <v>32.5</v>
      </c>
      <c r="F328" s="905">
        <v>32.5</v>
      </c>
      <c r="G328" s="905">
        <v>16</v>
      </c>
      <c r="H328" s="826">
        <f t="shared" si="30"/>
        <v>0.7</v>
      </c>
      <c r="I328" s="251">
        <v>307</v>
      </c>
      <c r="J328" s="708">
        <f t="shared" si="31"/>
        <v>214.89999999999998</v>
      </c>
      <c r="K328" s="708">
        <f t="shared" si="32"/>
        <v>5757.8589552525054</v>
      </c>
      <c r="L328" s="624"/>
      <c r="M328" s="439"/>
      <c r="N328" s="731"/>
      <c r="O328" s="764"/>
      <c r="P328" s="721"/>
      <c r="Q328" s="733"/>
    </row>
    <row r="329" spans="1:17" ht="16.5" customHeight="1">
      <c r="A329" s="707">
        <f t="shared" si="29"/>
        <v>165</v>
      </c>
      <c r="B329" s="192" t="s">
        <v>486</v>
      </c>
      <c r="C329" s="722">
        <v>42004</v>
      </c>
      <c r="D329" s="722" t="s">
        <v>877</v>
      </c>
      <c r="E329" s="904">
        <v>41</v>
      </c>
      <c r="F329" s="905">
        <v>31</v>
      </c>
      <c r="G329" s="905">
        <v>25.5</v>
      </c>
      <c r="H329" s="826">
        <f t="shared" si="30"/>
        <v>0.89</v>
      </c>
      <c r="I329" s="251">
        <v>200</v>
      </c>
      <c r="J329" s="708">
        <f t="shared" si="31"/>
        <v>178</v>
      </c>
      <c r="K329" s="708">
        <f t="shared" si="32"/>
        <v>7320.7063859639002</v>
      </c>
      <c r="L329" s="624"/>
      <c r="M329" s="439"/>
      <c r="N329" s="731"/>
      <c r="O329" s="764"/>
      <c r="P329" s="721"/>
      <c r="Q329" s="733"/>
    </row>
    <row r="330" spans="1:17" ht="16.5" customHeight="1">
      <c r="A330" s="707">
        <f t="shared" si="29"/>
        <v>166</v>
      </c>
      <c r="B330" s="192" t="s">
        <v>775</v>
      </c>
      <c r="C330" s="722">
        <v>42004</v>
      </c>
      <c r="D330" s="722" t="s">
        <v>878</v>
      </c>
      <c r="E330" s="904">
        <v>48.5</v>
      </c>
      <c r="F330" s="905">
        <v>23</v>
      </c>
      <c r="G330" s="905">
        <v>35</v>
      </c>
      <c r="H330" s="826">
        <f t="shared" si="30"/>
        <v>0.9</v>
      </c>
      <c r="I330" s="251">
        <v>2500</v>
      </c>
      <c r="J330" s="708">
        <f t="shared" si="31"/>
        <v>2250</v>
      </c>
      <c r="K330" s="708">
        <f t="shared" si="32"/>
        <v>7402.9615138960789</v>
      </c>
      <c r="L330" s="624"/>
      <c r="M330" s="439"/>
      <c r="N330" s="731"/>
      <c r="O330" s="764"/>
      <c r="P330" s="721"/>
      <c r="Q330" s="733"/>
    </row>
    <row r="331" spans="1:17" ht="16.5" customHeight="1">
      <c r="A331" s="707">
        <f t="shared" si="29"/>
        <v>167</v>
      </c>
      <c r="B331" s="192" t="s">
        <v>879</v>
      </c>
      <c r="C331" s="722">
        <v>42004</v>
      </c>
      <c r="D331" s="722" t="s">
        <v>880</v>
      </c>
      <c r="E331" s="904">
        <v>31</v>
      </c>
      <c r="F331" s="905">
        <v>23.5</v>
      </c>
      <c r="G331" s="905">
        <v>10</v>
      </c>
      <c r="H331" s="826">
        <f t="shared" si="30"/>
        <v>0.42</v>
      </c>
      <c r="I331" s="251">
        <v>2050</v>
      </c>
      <c r="J331" s="708">
        <f t="shared" si="31"/>
        <v>861</v>
      </c>
      <c r="K331" s="708">
        <f t="shared" si="32"/>
        <v>3454.7153731515036</v>
      </c>
      <c r="L331" s="624"/>
      <c r="M331" s="439"/>
      <c r="N331" s="731"/>
      <c r="O331" s="764"/>
      <c r="P331" s="721"/>
      <c r="Q331" s="733"/>
    </row>
    <row r="332" spans="1:17" ht="16.5" customHeight="1">
      <c r="A332" s="707">
        <f t="shared" si="29"/>
        <v>168</v>
      </c>
      <c r="B332" s="192" t="s">
        <v>881</v>
      </c>
      <c r="C332" s="722">
        <v>42004</v>
      </c>
      <c r="D332" s="722" t="s">
        <v>880</v>
      </c>
      <c r="E332" s="904">
        <v>51</v>
      </c>
      <c r="F332" s="905">
        <v>23.5</v>
      </c>
      <c r="G332" s="905">
        <v>14.5</v>
      </c>
      <c r="H332" s="826">
        <f t="shared" si="30"/>
        <v>0.63</v>
      </c>
      <c r="I332" s="251">
        <v>210</v>
      </c>
      <c r="J332" s="708">
        <f t="shared" si="31"/>
        <v>132.30000000000001</v>
      </c>
      <c r="K332" s="708">
        <f t="shared" si="32"/>
        <v>5182.073059727255</v>
      </c>
      <c r="L332" s="624"/>
      <c r="M332" s="439"/>
      <c r="N332" s="731"/>
      <c r="O332" s="764"/>
      <c r="P332" s="941"/>
      <c r="Q332" s="733"/>
    </row>
    <row r="333" spans="1:17" ht="16.5" customHeight="1">
      <c r="A333" s="707">
        <f t="shared" si="29"/>
        <v>169</v>
      </c>
      <c r="B333" s="192" t="s">
        <v>882</v>
      </c>
      <c r="C333" s="722">
        <v>42004</v>
      </c>
      <c r="D333" s="722" t="s">
        <v>880</v>
      </c>
      <c r="E333" s="904">
        <v>46</v>
      </c>
      <c r="F333" s="905">
        <v>24</v>
      </c>
      <c r="G333" s="905">
        <v>18</v>
      </c>
      <c r="H333" s="826">
        <f t="shared" si="30"/>
        <v>0.65</v>
      </c>
      <c r="I333" s="251">
        <v>130</v>
      </c>
      <c r="J333" s="708">
        <f t="shared" si="31"/>
        <v>84.5</v>
      </c>
      <c r="K333" s="708">
        <f t="shared" si="32"/>
        <v>5346.5833155916125</v>
      </c>
      <c r="L333" s="624"/>
      <c r="M333" s="439"/>
      <c r="N333" s="731"/>
      <c r="O333" s="764"/>
      <c r="P333" s="721"/>
      <c r="Q333" s="733"/>
    </row>
    <row r="334" spans="1:17" ht="16.5" customHeight="1">
      <c r="A334" s="707">
        <f t="shared" si="29"/>
        <v>170</v>
      </c>
      <c r="B334" s="192" t="s">
        <v>883</v>
      </c>
      <c r="C334" s="722">
        <v>42004</v>
      </c>
      <c r="D334" s="722" t="s">
        <v>880</v>
      </c>
      <c r="E334" s="904">
        <v>38</v>
      </c>
      <c r="F334" s="905">
        <v>23.5</v>
      </c>
      <c r="G334" s="905">
        <v>18</v>
      </c>
      <c r="H334" s="826">
        <f t="shared" si="30"/>
        <v>0.56999999999999995</v>
      </c>
      <c r="I334" s="251">
        <v>170</v>
      </c>
      <c r="J334" s="708">
        <f t="shared" si="31"/>
        <v>96.899999999999991</v>
      </c>
      <c r="K334" s="708">
        <f t="shared" si="32"/>
        <v>4688.5422921341833</v>
      </c>
      <c r="L334" s="624"/>
      <c r="M334" s="439"/>
      <c r="N334" s="731"/>
      <c r="O334" s="764"/>
      <c r="P334" s="721"/>
      <c r="Q334" s="733"/>
    </row>
    <row r="335" spans="1:17" ht="16.5" customHeight="1">
      <c r="A335" s="707">
        <f t="shared" si="29"/>
        <v>171</v>
      </c>
      <c r="B335" s="192" t="s">
        <v>884</v>
      </c>
      <c r="C335" s="722">
        <v>42004</v>
      </c>
      <c r="D335" s="722" t="s">
        <v>885</v>
      </c>
      <c r="E335" s="904">
        <v>183</v>
      </c>
      <c r="F335" s="905">
        <v>15</v>
      </c>
      <c r="G335" s="905">
        <v>10</v>
      </c>
      <c r="H335" s="826">
        <f t="shared" si="30"/>
        <v>1.1200000000000001</v>
      </c>
      <c r="I335" s="251">
        <v>200</v>
      </c>
      <c r="J335" s="708">
        <f t="shared" si="31"/>
        <v>224.00000000000003</v>
      </c>
      <c r="K335" s="708">
        <f t="shared" si="32"/>
        <v>9212.5743284040109</v>
      </c>
      <c r="L335" s="624"/>
      <c r="M335" s="439"/>
      <c r="N335" s="731"/>
      <c r="O335" s="764"/>
      <c r="P335" s="721"/>
      <c r="Q335" s="733"/>
    </row>
    <row r="336" spans="1:17" ht="16.5" customHeight="1">
      <c r="A336" s="707">
        <f t="shared" si="29"/>
        <v>172</v>
      </c>
      <c r="B336" s="192" t="s">
        <v>887</v>
      </c>
      <c r="C336" s="722">
        <v>42004</v>
      </c>
      <c r="D336" s="722" t="s">
        <v>885</v>
      </c>
      <c r="E336" s="904">
        <v>143</v>
      </c>
      <c r="F336" s="905">
        <v>49</v>
      </c>
      <c r="G336" s="905">
        <v>51</v>
      </c>
      <c r="H336" s="826">
        <f t="shared" si="30"/>
        <v>4.01</v>
      </c>
      <c r="I336" s="251">
        <v>100</v>
      </c>
      <c r="J336" s="708">
        <f t="shared" si="31"/>
        <v>401</v>
      </c>
      <c r="K336" s="708">
        <f t="shared" si="32"/>
        <v>32984.306300803641</v>
      </c>
      <c r="L336" s="624"/>
      <c r="M336" s="439"/>
      <c r="N336" s="731"/>
      <c r="O336" s="764"/>
      <c r="P336" s="721"/>
      <c r="Q336" s="733"/>
    </row>
    <row r="337" spans="1:17" ht="16.5" customHeight="1">
      <c r="A337" s="707">
        <f t="shared" si="29"/>
        <v>173</v>
      </c>
      <c r="B337" s="192" t="s">
        <v>888</v>
      </c>
      <c r="C337" s="722">
        <v>42004</v>
      </c>
      <c r="D337" s="722" t="s">
        <v>885</v>
      </c>
      <c r="E337" s="904">
        <v>151</v>
      </c>
      <c r="F337" s="905">
        <v>49</v>
      </c>
      <c r="G337" s="905">
        <v>51</v>
      </c>
      <c r="H337" s="826">
        <f t="shared" si="30"/>
        <v>4.17</v>
      </c>
      <c r="I337" s="251">
        <v>100</v>
      </c>
      <c r="J337" s="708">
        <f t="shared" si="31"/>
        <v>417</v>
      </c>
      <c r="K337" s="708">
        <f t="shared" si="32"/>
        <v>34300.388347718501</v>
      </c>
      <c r="L337" s="624"/>
      <c r="M337" s="439"/>
      <c r="N337" s="731"/>
      <c r="O337" s="764"/>
      <c r="P337" s="721"/>
      <c r="Q337" s="733"/>
    </row>
    <row r="338" spans="1:17" ht="16.5" customHeight="1">
      <c r="A338" s="707">
        <f t="shared" si="29"/>
        <v>174</v>
      </c>
      <c r="B338" s="192" t="s">
        <v>889</v>
      </c>
      <c r="C338" s="722">
        <v>42004</v>
      </c>
      <c r="D338" s="722" t="s">
        <v>885</v>
      </c>
      <c r="E338" s="904">
        <v>119</v>
      </c>
      <c r="F338" s="905">
        <v>49</v>
      </c>
      <c r="G338" s="905">
        <v>51</v>
      </c>
      <c r="H338" s="826">
        <f t="shared" si="30"/>
        <v>3.51</v>
      </c>
      <c r="I338" s="251">
        <v>150</v>
      </c>
      <c r="J338" s="708">
        <f t="shared" si="31"/>
        <v>526.5</v>
      </c>
      <c r="K338" s="708">
        <f t="shared" si="32"/>
        <v>28871.549904194708</v>
      </c>
      <c r="L338" s="624"/>
      <c r="M338" s="439"/>
      <c r="N338" s="731"/>
      <c r="O338" s="764"/>
      <c r="P338" s="721"/>
      <c r="Q338" s="733"/>
    </row>
    <row r="339" spans="1:17" ht="16.5" customHeight="1">
      <c r="A339" s="707">
        <f t="shared" si="29"/>
        <v>175</v>
      </c>
      <c r="B339" s="192" t="s">
        <v>890</v>
      </c>
      <c r="C339" s="722">
        <v>42004</v>
      </c>
      <c r="D339" s="722" t="s">
        <v>891</v>
      </c>
      <c r="E339" s="904">
        <v>55.5</v>
      </c>
      <c r="F339" s="905">
        <v>46</v>
      </c>
      <c r="G339" s="905">
        <v>30</v>
      </c>
      <c r="H339" s="826">
        <f t="shared" si="30"/>
        <v>1.64</v>
      </c>
      <c r="I339" s="251">
        <v>1280</v>
      </c>
      <c r="J339" s="708">
        <f t="shared" si="31"/>
        <v>2099.1999999999998</v>
      </c>
      <c r="K339" s="708">
        <f t="shared" si="32"/>
        <v>13489.840980877299</v>
      </c>
      <c r="L339" s="624"/>
      <c r="M339" s="439"/>
      <c r="N339" s="731"/>
      <c r="O339" s="764"/>
      <c r="P339" s="721"/>
      <c r="Q339" s="733"/>
    </row>
    <row r="340" spans="1:17" ht="16.5" customHeight="1">
      <c r="A340" s="707"/>
      <c r="B340" s="291"/>
      <c r="C340" s="723"/>
      <c r="D340" s="722"/>
      <c r="E340" s="25"/>
      <c r="F340" s="708"/>
      <c r="G340" s="708"/>
      <c r="H340" s="708"/>
      <c r="I340" s="708"/>
      <c r="J340" s="708"/>
      <c r="K340" s="708"/>
      <c r="L340" s="624"/>
      <c r="M340" s="439"/>
      <c r="N340" s="731"/>
      <c r="O340" s="764"/>
      <c r="P340" s="721"/>
      <c r="Q340" s="733"/>
    </row>
    <row r="341" spans="1:17" s="727" customFormat="1" ht="16.5" customHeight="1">
      <c r="A341" s="709"/>
      <c r="B341" s="710" t="s">
        <v>251</v>
      </c>
      <c r="C341" s="730"/>
      <c r="D341" s="822"/>
      <c r="E341" s="511"/>
      <c r="F341" s="511"/>
      <c r="G341" s="511"/>
      <c r="H341" s="830">
        <f>ROUND(SUM(H165:H340),2)</f>
        <v>194.97</v>
      </c>
      <c r="I341" s="511">
        <f>ROUND(SUM(I165:I340),2)</f>
        <v>114931</v>
      </c>
      <c r="J341" s="511">
        <f>ROUND(SUM(J165:J340),2)</f>
        <v>95678.43</v>
      </c>
      <c r="K341" s="511"/>
      <c r="L341" s="624"/>
      <c r="M341" s="439"/>
      <c r="N341" s="731"/>
      <c r="O341" s="764"/>
      <c r="P341" s="721"/>
      <c r="Q341" s="733"/>
    </row>
    <row r="342" spans="1:17" s="704" customFormat="1">
      <c r="A342" s="703"/>
      <c r="B342" s="703"/>
      <c r="C342" s="717"/>
      <c r="D342" s="818"/>
      <c r="E342" s="703"/>
      <c r="F342" s="703"/>
      <c r="G342" s="703"/>
      <c r="H342" s="703"/>
      <c r="I342" s="703"/>
      <c r="J342" s="703"/>
      <c r="K342" s="703"/>
      <c r="L342" s="624"/>
      <c r="M342" s="439"/>
      <c r="N342" s="731"/>
      <c r="O342" s="764"/>
      <c r="P342" s="721"/>
      <c r="Q342" s="733"/>
    </row>
    <row r="343" spans="1:17">
      <c r="L343" s="624"/>
      <c r="M343" s="439"/>
      <c r="N343" s="731"/>
      <c r="O343" s="764"/>
      <c r="P343" s="721"/>
      <c r="Q343" s="733"/>
    </row>
    <row r="344" spans="1:17">
      <c r="L344" s="624"/>
      <c r="M344" s="439"/>
      <c r="N344" s="731"/>
      <c r="O344" s="764"/>
      <c r="P344" s="721"/>
      <c r="Q344" s="733"/>
    </row>
    <row r="345" spans="1:17">
      <c r="L345" s="624"/>
      <c r="M345" s="439"/>
      <c r="N345" s="731"/>
      <c r="O345" s="764"/>
      <c r="P345" s="721"/>
      <c r="Q345" s="733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9"/>
      <c r="N346" s="731"/>
      <c r="O346" s="764"/>
      <c r="P346" s="721"/>
      <c r="Q346" s="733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9"/>
      <c r="N347" s="731"/>
      <c r="O347" s="764"/>
      <c r="P347" s="721"/>
      <c r="Q347" s="733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72" customWidth="1"/>
    <col min="2" max="2" width="9.140625" style="472" customWidth="1"/>
    <col min="3" max="3" width="9" style="473" customWidth="1"/>
    <col min="4" max="4" width="28.140625" style="472" customWidth="1"/>
    <col min="5" max="5" width="9.140625" style="472" customWidth="1"/>
    <col min="6" max="6" width="9.28515625" style="473" customWidth="1"/>
    <col min="7" max="7" width="9" style="472" customWidth="1"/>
    <col min="8" max="8" width="14.5703125" style="472" customWidth="1"/>
    <col min="9" max="9" width="6" style="472" customWidth="1"/>
    <col min="10" max="10" width="14.140625" style="472" customWidth="1"/>
    <col min="11" max="11" width="14.85546875" style="474" customWidth="1"/>
    <col min="12" max="12" width="14.42578125" style="472" customWidth="1"/>
    <col min="13" max="13" width="5.85546875" style="472" customWidth="1"/>
    <col min="14" max="14" width="7.42578125" style="472" customWidth="1"/>
    <col min="15" max="15" width="11.7109375" style="472" customWidth="1"/>
    <col min="16" max="16" width="4.5703125" style="537" customWidth="1"/>
    <col min="17" max="17" width="11.140625" style="472" bestFit="1" customWidth="1"/>
    <col min="18" max="18" width="12" style="472" bestFit="1" customWidth="1"/>
    <col min="19" max="16384" width="9.140625" style="472"/>
  </cols>
  <sheetData>
    <row r="1" spans="1:18" ht="15" customHeight="1">
      <c r="A1" s="582" t="str">
        <f>TH!A1</f>
        <v>Đơn vị: CÔNG TY TNHH SX TM KIM DUNG PHÁT</v>
      </c>
      <c r="L1" s="1141" t="s">
        <v>272</v>
      </c>
      <c r="M1" s="1141"/>
      <c r="N1" s="1141"/>
      <c r="O1" s="1141"/>
    </row>
    <row r="2" spans="1:18" ht="15" customHeight="1">
      <c r="A2" s="471" t="str">
        <f>TH!A2</f>
        <v>Địa chỉ: 1A227/1 Ấp 1, Phạm Văn Hai, Bình Chánh, TPHCM</v>
      </c>
      <c r="L2" s="114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0"/>
      <c r="N2" s="1140"/>
      <c r="O2" s="1140"/>
    </row>
    <row r="3" spans="1:18" ht="15" customHeight="1">
      <c r="L3" s="1140"/>
      <c r="M3" s="1140"/>
      <c r="N3" s="1140"/>
      <c r="O3" s="1140"/>
    </row>
    <row r="5" spans="1:18" s="477" customFormat="1" ht="24" customHeight="1">
      <c r="A5" s="1142" t="s">
        <v>273</v>
      </c>
      <c r="B5" s="1142"/>
      <c r="C5" s="1142"/>
      <c r="D5" s="1142"/>
      <c r="E5" s="1142"/>
      <c r="F5" s="1142"/>
      <c r="G5" s="1142"/>
      <c r="H5" s="1142"/>
      <c r="I5" s="1142"/>
      <c r="J5" s="1142"/>
      <c r="K5" s="1142"/>
      <c r="L5" s="1142"/>
      <c r="M5" s="1142"/>
      <c r="N5" s="1142"/>
      <c r="O5" s="1142"/>
      <c r="P5" s="538"/>
    </row>
    <row r="6" spans="1:18" s="477" customFormat="1" ht="21" customHeight="1">
      <c r="A6" s="1143" t="s">
        <v>1319</v>
      </c>
      <c r="B6" s="1143"/>
      <c r="C6" s="1143"/>
      <c r="D6" s="1143"/>
      <c r="E6" s="1143"/>
      <c r="F6" s="1143"/>
      <c r="G6" s="1143"/>
      <c r="H6" s="1143"/>
      <c r="I6" s="1143"/>
      <c r="J6" s="1143"/>
      <c r="K6" s="1143"/>
      <c r="L6" s="1143"/>
      <c r="M6" s="1143"/>
      <c r="N6" s="1143"/>
      <c r="O6" s="1143"/>
      <c r="P6" s="538"/>
    </row>
    <row r="7" spans="1:18" s="477" customFormat="1" ht="21" customHeight="1">
      <c r="A7" s="1144" t="s">
        <v>315</v>
      </c>
      <c r="B7" s="1144"/>
      <c r="C7" s="1144"/>
      <c r="D7" s="1144"/>
      <c r="E7" s="1144"/>
      <c r="F7" s="1144"/>
      <c r="G7" s="1144"/>
      <c r="H7" s="1144"/>
      <c r="I7" s="1144"/>
      <c r="J7" s="1144"/>
      <c r="K7" s="1144"/>
      <c r="L7" s="1144"/>
      <c r="M7" s="1144"/>
      <c r="N7" s="1144"/>
      <c r="O7" s="1144"/>
      <c r="P7" s="538"/>
    </row>
    <row r="8" spans="1:18">
      <c r="D8" s="473"/>
    </row>
    <row r="9" spans="1:18" s="478" customFormat="1" ht="24" customHeight="1">
      <c r="A9" s="1131" t="s">
        <v>235</v>
      </c>
      <c r="B9" s="1134" t="s">
        <v>274</v>
      </c>
      <c r="C9" s="1135"/>
      <c r="D9" s="1135"/>
      <c r="E9" s="1135"/>
      <c r="F9" s="1135"/>
      <c r="G9" s="1135"/>
      <c r="H9" s="1136"/>
      <c r="I9" s="1134" t="s">
        <v>275</v>
      </c>
      <c r="J9" s="1135"/>
      <c r="K9" s="1135"/>
      <c r="L9" s="1136"/>
      <c r="M9" s="1137" t="s">
        <v>276</v>
      </c>
      <c r="N9" s="1137"/>
      <c r="O9" s="1137"/>
      <c r="P9" s="539"/>
    </row>
    <row r="10" spans="1:18" s="478" customFormat="1" ht="24" customHeight="1">
      <c r="A10" s="1132"/>
      <c r="B10" s="1134" t="s">
        <v>277</v>
      </c>
      <c r="C10" s="1136"/>
      <c r="D10" s="1131" t="s">
        <v>278</v>
      </c>
      <c r="E10" s="1131" t="s">
        <v>279</v>
      </c>
      <c r="F10" s="1131" t="s">
        <v>280</v>
      </c>
      <c r="G10" s="1131" t="s">
        <v>281</v>
      </c>
      <c r="H10" s="1131" t="s">
        <v>282</v>
      </c>
      <c r="I10" s="1134" t="s">
        <v>283</v>
      </c>
      <c r="J10" s="1136"/>
      <c r="K10" s="1138" t="s">
        <v>284</v>
      </c>
      <c r="L10" s="1131" t="s">
        <v>285</v>
      </c>
      <c r="M10" s="1137" t="s">
        <v>277</v>
      </c>
      <c r="N10" s="1137"/>
      <c r="O10" s="1137" t="s">
        <v>286</v>
      </c>
      <c r="P10" s="539"/>
    </row>
    <row r="11" spans="1:18" s="478" customFormat="1" ht="55.5" customHeight="1">
      <c r="A11" s="1133"/>
      <c r="B11" s="479" t="s">
        <v>287</v>
      </c>
      <c r="C11" s="479" t="s">
        <v>236</v>
      </c>
      <c r="D11" s="1133"/>
      <c r="E11" s="1133"/>
      <c r="F11" s="1133"/>
      <c r="G11" s="1133"/>
      <c r="H11" s="1133"/>
      <c r="I11" s="479" t="s">
        <v>288</v>
      </c>
      <c r="J11" s="479" t="s">
        <v>289</v>
      </c>
      <c r="K11" s="1139"/>
      <c r="L11" s="1133"/>
      <c r="M11" s="479" t="s">
        <v>15</v>
      </c>
      <c r="N11" s="479" t="s">
        <v>236</v>
      </c>
      <c r="O11" s="1137"/>
      <c r="P11" s="539"/>
    </row>
    <row r="12" spans="1:18" s="482" customFormat="1" ht="13.5">
      <c r="A12" s="480" t="s">
        <v>2</v>
      </c>
      <c r="B12" s="480" t="s">
        <v>3</v>
      </c>
      <c r="C12" s="480" t="s">
        <v>4</v>
      </c>
      <c r="D12" s="480" t="s">
        <v>5</v>
      </c>
      <c r="E12" s="480" t="s">
        <v>6</v>
      </c>
      <c r="F12" s="480" t="s">
        <v>131</v>
      </c>
      <c r="G12" s="480" t="s">
        <v>290</v>
      </c>
      <c r="H12" s="480">
        <v>1</v>
      </c>
      <c r="I12" s="480">
        <v>2</v>
      </c>
      <c r="J12" s="480">
        <v>3</v>
      </c>
      <c r="K12" s="481"/>
      <c r="L12" s="480">
        <v>4</v>
      </c>
      <c r="M12" s="480" t="s">
        <v>291</v>
      </c>
      <c r="N12" s="480" t="s">
        <v>292</v>
      </c>
      <c r="O12" s="480" t="s">
        <v>293</v>
      </c>
      <c r="P12" s="540"/>
    </row>
    <row r="13" spans="1:18" s="482" customFormat="1" ht="21.75" customHeight="1">
      <c r="A13" s="502" t="s">
        <v>291</v>
      </c>
      <c r="B13" s="504" t="s">
        <v>314</v>
      </c>
      <c r="C13" s="502"/>
      <c r="D13" s="502"/>
      <c r="E13" s="502"/>
      <c r="F13" s="502"/>
      <c r="G13" s="541"/>
      <c r="H13" s="509"/>
      <c r="I13" s="509"/>
      <c r="J13" s="509"/>
      <c r="K13" s="509"/>
      <c r="L13" s="8"/>
      <c r="M13" s="502"/>
      <c r="N13" s="502"/>
      <c r="O13" s="182"/>
      <c r="P13" s="540" t="str">
        <f>IF(D13='THE-TS'!$D$11,"x","")</f>
        <v/>
      </c>
    </row>
    <row r="14" spans="1:18" ht="21.75" customHeight="1">
      <c r="A14" s="503">
        <v>1</v>
      </c>
      <c r="B14" s="513" t="s">
        <v>358</v>
      </c>
      <c r="C14" s="483">
        <v>40682</v>
      </c>
      <c r="D14" s="210" t="s">
        <v>354</v>
      </c>
      <c r="E14" s="438" t="s">
        <v>294</v>
      </c>
      <c r="F14" s="512" t="s">
        <v>374</v>
      </c>
      <c r="G14" s="541" t="s">
        <v>360</v>
      </c>
      <c r="H14" s="252">
        <v>18000000</v>
      </c>
      <c r="I14" s="252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9"/>
      <c r="N14" s="438"/>
      <c r="O14" s="182"/>
      <c r="P14" s="540" t="str">
        <f>IF(D14='THE-TS'!$D$11,"x","")</f>
        <v>x</v>
      </c>
      <c r="Q14" s="288"/>
      <c r="R14" s="288"/>
    </row>
    <row r="15" spans="1:18" ht="21.75" customHeight="1">
      <c r="A15" s="503">
        <v>2</v>
      </c>
      <c r="B15" s="512" t="s">
        <v>359</v>
      </c>
      <c r="C15" s="483">
        <v>40686</v>
      </c>
      <c r="D15" s="210" t="s">
        <v>355</v>
      </c>
      <c r="E15" s="438" t="s">
        <v>294</v>
      </c>
      <c r="F15" s="512" t="s">
        <v>374</v>
      </c>
      <c r="G15" s="541" t="s">
        <v>361</v>
      </c>
      <c r="H15" s="252">
        <v>27000000</v>
      </c>
      <c r="I15" s="252">
        <v>5</v>
      </c>
      <c r="J15" s="8">
        <v>5400000</v>
      </c>
      <c r="K15" s="8">
        <v>13950000</v>
      </c>
      <c r="L15" s="8">
        <f t="shared" si="0"/>
        <v>19350000</v>
      </c>
      <c r="M15" s="499"/>
      <c r="N15" s="438"/>
      <c r="O15" s="182"/>
      <c r="P15" s="540" t="str">
        <f>IF(D15='THE-TS'!$D$11,"x","")</f>
        <v/>
      </c>
      <c r="Q15" s="288"/>
      <c r="R15" s="288"/>
    </row>
    <row r="16" spans="1:18" ht="21.75" customHeight="1">
      <c r="A16" s="503">
        <v>3</v>
      </c>
      <c r="B16" s="512" t="s">
        <v>327</v>
      </c>
      <c r="C16" s="483">
        <v>40710</v>
      </c>
      <c r="D16" s="210" t="s">
        <v>356</v>
      </c>
      <c r="E16" s="438" t="s">
        <v>294</v>
      </c>
      <c r="F16" s="512" t="s">
        <v>375</v>
      </c>
      <c r="G16" s="541" t="s">
        <v>362</v>
      </c>
      <c r="H16" s="252">
        <v>320000000</v>
      </c>
      <c r="I16" s="252">
        <v>5</v>
      </c>
      <c r="J16" s="8">
        <v>64000000</v>
      </c>
      <c r="K16" s="8">
        <v>160000000</v>
      </c>
      <c r="L16" s="8">
        <f t="shared" si="0"/>
        <v>224000000</v>
      </c>
      <c r="M16" s="499"/>
      <c r="N16" s="182"/>
      <c r="O16" s="182"/>
      <c r="P16" s="540" t="str">
        <f>IF(D16='THE-TS'!$D$11,"x","")</f>
        <v/>
      </c>
      <c r="Q16" s="288"/>
      <c r="R16" s="288"/>
    </row>
    <row r="17" spans="1:18" ht="21.75" customHeight="1">
      <c r="A17" s="503">
        <v>4</v>
      </c>
      <c r="B17" s="512" t="s">
        <v>327</v>
      </c>
      <c r="C17" s="506">
        <v>41756</v>
      </c>
      <c r="D17" s="507" t="s">
        <v>1238</v>
      </c>
      <c r="E17" s="438" t="s">
        <v>294</v>
      </c>
      <c r="F17" s="892" t="s">
        <v>1364</v>
      </c>
      <c r="G17" s="541" t="s">
        <v>1317</v>
      </c>
      <c r="H17" s="510">
        <v>500000000</v>
      </c>
      <c r="I17" s="510">
        <v>20</v>
      </c>
      <c r="J17" s="294">
        <f>6250000*2</f>
        <v>12500000</v>
      </c>
      <c r="K17" s="294"/>
      <c r="L17" s="8">
        <f t="shared" si="0"/>
        <v>12500000</v>
      </c>
      <c r="M17" s="893"/>
      <c r="N17" s="894"/>
      <c r="O17" s="894"/>
      <c r="P17" s="540" t="str">
        <f>IF(D17='THE-TS'!$D$11,"x","")</f>
        <v/>
      </c>
      <c r="Q17" s="288"/>
      <c r="R17" s="288"/>
    </row>
    <row r="18" spans="1:18" ht="21.75" customHeight="1">
      <c r="A18" s="503">
        <v>5</v>
      </c>
      <c r="B18" s="512" t="s">
        <v>327</v>
      </c>
      <c r="C18" s="506">
        <v>41761</v>
      </c>
      <c r="D18" s="507" t="s">
        <v>1239</v>
      </c>
      <c r="E18" s="438" t="s">
        <v>294</v>
      </c>
      <c r="F18" s="892" t="s">
        <v>1364</v>
      </c>
      <c r="G18" s="541" t="s">
        <v>1318</v>
      </c>
      <c r="H18" s="510">
        <v>500000000</v>
      </c>
      <c r="I18" s="510">
        <v>20</v>
      </c>
      <c r="J18" s="294">
        <f>6250000*2</f>
        <v>12500000</v>
      </c>
      <c r="K18" s="294"/>
      <c r="L18" s="8">
        <f t="shared" si="0"/>
        <v>12500000</v>
      </c>
      <c r="M18" s="893"/>
      <c r="N18" s="894"/>
      <c r="O18" s="894"/>
      <c r="P18" s="540" t="str">
        <f>IF(D18='THE-TS'!$D$11,"x","")</f>
        <v/>
      </c>
      <c r="Q18" s="288"/>
      <c r="R18" s="288"/>
    </row>
    <row r="19" spans="1:18" ht="21.75" customHeight="1">
      <c r="A19" s="484"/>
      <c r="B19" s="505"/>
      <c r="C19" s="506"/>
      <c r="D19" s="507"/>
      <c r="E19" s="485"/>
      <c r="F19" s="506"/>
      <c r="G19" s="505"/>
      <c r="H19" s="510"/>
      <c r="I19" s="510"/>
      <c r="J19" s="294"/>
      <c r="K19" s="294"/>
      <c r="L19" s="294"/>
      <c r="M19" s="485"/>
      <c r="N19" s="485"/>
      <c r="O19" s="485"/>
      <c r="P19" s="540" t="str">
        <f>IF(D19='THE-TS'!$D$11,"x","")</f>
        <v/>
      </c>
      <c r="R19" s="500"/>
    </row>
    <row r="20" spans="1:18" s="488" customFormat="1" ht="21.75" customHeight="1">
      <c r="A20" s="486"/>
      <c r="B20" s="487"/>
      <c r="C20" s="486"/>
      <c r="D20" s="486" t="s">
        <v>295</v>
      </c>
      <c r="E20" s="486" t="s">
        <v>19</v>
      </c>
      <c r="F20" s="486" t="s">
        <v>19</v>
      </c>
      <c r="G20" s="486" t="s">
        <v>19</v>
      </c>
      <c r="H20" s="511">
        <f>SUM(H14:H19)</f>
        <v>1365000000</v>
      </c>
      <c r="I20" s="511"/>
      <c r="J20" s="511">
        <f t="shared" ref="J20:L20" si="1">SUM(J14:J19)</f>
        <v>98000000</v>
      </c>
      <c r="K20" s="511">
        <f t="shared" si="1"/>
        <v>183250000</v>
      </c>
      <c r="L20" s="511">
        <f t="shared" si="1"/>
        <v>281250000</v>
      </c>
      <c r="M20" s="545" t="s">
        <v>19</v>
      </c>
      <c r="N20" s="545" t="s">
        <v>19</v>
      </c>
      <c r="O20" s="545" t="s">
        <v>19</v>
      </c>
      <c r="P20" s="540" t="str">
        <f>IF(D20='THE-TS'!$D$11,"x","")</f>
        <v/>
      </c>
    </row>
    <row r="21" spans="1:18" ht="6.75" customHeight="1">
      <c r="A21" s="439"/>
      <c r="B21" s="439"/>
      <c r="C21" s="489"/>
      <c r="D21" s="439"/>
      <c r="E21" s="489"/>
      <c r="F21" s="489"/>
      <c r="G21" s="489"/>
      <c r="H21" s="439"/>
      <c r="I21" s="439"/>
      <c r="J21" s="439"/>
      <c r="K21" s="490"/>
      <c r="L21" s="439"/>
      <c r="M21" s="439"/>
      <c r="N21" s="439"/>
      <c r="O21" s="439"/>
      <c r="P21" s="540" t="str">
        <f>IF(D21='THE-TS'!$D$11,"x","")</f>
        <v/>
      </c>
    </row>
    <row r="22" spans="1:18" ht="13.5" customHeight="1">
      <c r="A22" s="439"/>
      <c r="B22" s="439"/>
      <c r="C22" s="489"/>
      <c r="D22" s="439" t="s">
        <v>296</v>
      </c>
      <c r="E22" s="439"/>
      <c r="F22" s="489"/>
      <c r="G22" s="439"/>
      <c r="H22" s="474"/>
      <c r="I22" s="474"/>
      <c r="J22" s="546"/>
      <c r="L22" s="474"/>
      <c r="M22" s="439"/>
      <c r="N22" s="439"/>
      <c r="O22" s="439"/>
      <c r="P22" s="540" t="str">
        <f>IF(D22='THE-TS'!$D$11,"x","")</f>
        <v/>
      </c>
    </row>
    <row r="23" spans="1:18" ht="13.5" customHeight="1">
      <c r="A23" s="439"/>
      <c r="B23" s="439"/>
      <c r="C23" s="489"/>
      <c r="D23" s="439" t="s">
        <v>1320</v>
      </c>
      <c r="E23" s="439"/>
      <c r="F23" s="489"/>
      <c r="G23" s="439"/>
      <c r="H23" s="500"/>
      <c r="I23" s="439"/>
      <c r="J23" s="508"/>
      <c r="K23" s="490"/>
      <c r="L23" s="439"/>
      <c r="M23" s="439"/>
      <c r="N23" s="439"/>
      <c r="O23" s="439"/>
      <c r="P23" s="540" t="str">
        <f>IF(D23='THE-TS'!$D$11,"x","")</f>
        <v/>
      </c>
    </row>
    <row r="24" spans="1:18" ht="13.5" customHeight="1">
      <c r="K24" s="491"/>
      <c r="L24" s="476" t="s">
        <v>1321</v>
      </c>
      <c r="P24" s="540" t="str">
        <f>IF(D24='THE-TS'!$D$11,"x","")</f>
        <v/>
      </c>
    </row>
    <row r="25" spans="1:18" ht="13.5" customHeight="1">
      <c r="B25" s="473"/>
      <c r="D25" s="473" t="s">
        <v>11</v>
      </c>
      <c r="F25" s="473" t="s">
        <v>297</v>
      </c>
      <c r="I25" s="492"/>
      <c r="J25" s="561"/>
      <c r="K25" s="489"/>
      <c r="L25" s="489" t="s">
        <v>109</v>
      </c>
      <c r="P25" s="540" t="str">
        <f>IF(D25='THE-TS'!$D$11,"x","")</f>
        <v/>
      </c>
    </row>
    <row r="26" spans="1:18" ht="13.5" customHeight="1">
      <c r="B26" s="473"/>
      <c r="D26" s="473"/>
      <c r="P26" s="540" t="str">
        <f>IF(D26='THE-TS'!$D$11,"x","")</f>
        <v/>
      </c>
    </row>
    <row r="27" spans="1:18" ht="13.5" customHeight="1">
      <c r="H27" s="493"/>
      <c r="J27" s="493"/>
      <c r="L27" s="493"/>
      <c r="P27" s="540" t="str">
        <f>IF(D27='THE-TS'!$D$11,"x","")</f>
        <v/>
      </c>
    </row>
    <row r="28" spans="1:18" ht="13.5" customHeight="1">
      <c r="H28" s="494"/>
      <c r="P28" s="540" t="str">
        <f>IF(D28='THE-TS'!$D$11,"x","")</f>
        <v/>
      </c>
    </row>
    <row r="29" spans="1:18" ht="13.5" customHeight="1">
      <c r="H29" s="494"/>
      <c r="J29" s="493"/>
      <c r="P29" s="540" t="str">
        <f>IF(D29='THE-TS'!$D$11,"x","")</f>
        <v/>
      </c>
    </row>
    <row r="30" spans="1:18" ht="13.5" customHeight="1">
      <c r="H30" s="494"/>
      <c r="P30" s="540" t="str">
        <f>IF(D30='THE-TS'!$D$11,"x","")</f>
        <v/>
      </c>
    </row>
    <row r="31" spans="1:18" ht="13.5" customHeight="1">
      <c r="H31" s="494"/>
      <c r="P31" s="540" t="str">
        <f>IF(D31='THE-TS'!$D$11,"x","")</f>
        <v/>
      </c>
    </row>
    <row r="32" spans="1:18" s="495" customFormat="1" ht="13.5" customHeight="1">
      <c r="C32" s="496"/>
      <c r="D32" s="496"/>
      <c r="F32" s="496"/>
      <c r="H32" s="497"/>
      <c r="K32" s="498"/>
      <c r="P32" s="540"/>
    </row>
    <row r="33" spans="8:16" ht="13.5">
      <c r="P33" s="540" t="str">
        <f>IF(D33='THE-TS'!$D$11,"x","")</f>
        <v/>
      </c>
    </row>
    <row r="34" spans="8:16" ht="13.5" customHeight="1">
      <c r="H34" s="494"/>
      <c r="P34" s="540" t="str">
        <f>IF(D34='THE-TS'!$D$11,"x","")</f>
        <v/>
      </c>
    </row>
    <row r="35" spans="8:16" ht="13.5">
      <c r="P35" s="54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5" customWidth="1"/>
    <col min="2" max="2" width="10.140625" style="515" customWidth="1"/>
    <col min="3" max="3" width="11.5703125" style="515" customWidth="1"/>
    <col min="4" max="4" width="28.7109375" style="515" customWidth="1"/>
    <col min="5" max="5" width="13.28515625" style="515" customWidth="1"/>
    <col min="6" max="6" width="9.140625" style="515"/>
    <col min="7" max="7" width="14" style="515" customWidth="1"/>
    <col min="8" max="8" width="14.7109375" style="515" customWidth="1"/>
    <col min="9" max="10" width="9.140625" style="515"/>
    <col min="11" max="11" width="13.85546875" style="515" customWidth="1"/>
    <col min="12" max="16384" width="9.140625" style="515"/>
  </cols>
  <sheetData>
    <row r="1" spans="1:11" hidden="1"/>
    <row r="2" spans="1:11">
      <c r="A2" s="583" t="str">
        <f>TH!A1</f>
        <v>Đơn vị: CÔNG TY TNHH SX TM KIM DUNG PHÁT</v>
      </c>
      <c r="B2" s="514"/>
      <c r="C2" s="514"/>
      <c r="D2" s="514"/>
      <c r="E2" s="475"/>
      <c r="F2" s="1141" t="s">
        <v>298</v>
      </c>
      <c r="G2" s="1141"/>
      <c r="H2" s="1141"/>
    </row>
    <row r="3" spans="1:11">
      <c r="A3" s="531" t="str">
        <f>TH!A2</f>
        <v>Địa chỉ: 1A227/1 Ấp 1, Phạm Văn Hai, Bình Chánh, TPHCM</v>
      </c>
      <c r="B3" s="514"/>
      <c r="C3" s="514"/>
      <c r="D3" s="514"/>
      <c r="E3" s="476"/>
      <c r="F3" s="114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40"/>
      <c r="H3" s="1140"/>
    </row>
    <row r="4" spans="1:11">
      <c r="A4" s="473"/>
      <c r="B4" s="473"/>
      <c r="C4" s="476"/>
      <c r="D4" s="476"/>
      <c r="E4" s="476"/>
      <c r="F4" s="1140"/>
      <c r="G4" s="1140"/>
      <c r="H4" s="1140"/>
    </row>
    <row r="5" spans="1:11">
      <c r="A5" s="473"/>
      <c r="B5" s="473"/>
      <c r="C5" s="476"/>
      <c r="D5" s="476"/>
      <c r="E5" s="476"/>
      <c r="F5" s="476"/>
      <c r="G5" s="476"/>
      <c r="H5" s="476"/>
    </row>
    <row r="6" spans="1:11" ht="23.25" customHeight="1" thickBot="1">
      <c r="A6" s="1146" t="s">
        <v>299</v>
      </c>
      <c r="B6" s="1146"/>
      <c r="C6" s="1146"/>
      <c r="D6" s="1146"/>
      <c r="E6" s="1146"/>
      <c r="F6" s="1146"/>
      <c r="G6" s="1146"/>
      <c r="H6" s="1146"/>
    </row>
    <row r="7" spans="1:11" ht="17.25" customHeight="1" thickBot="1">
      <c r="A7" s="1145" t="str">
        <f ca="1" xml:space="preserve"> IF(ROWS($1:1)&gt;COUNT(Dong3),"","Số: "&amp;OFFSET('SO-TS'!$G$1,SMALL(Dong3,ROWS($1:1)),))</f>
        <v>Số: SX01/11</v>
      </c>
      <c r="B7" s="1145"/>
      <c r="C7" s="1145"/>
      <c r="D7" s="1145"/>
      <c r="E7" s="1145"/>
      <c r="F7" s="1145"/>
      <c r="G7" s="1145"/>
      <c r="H7" s="1145"/>
      <c r="J7" s="532" t="s">
        <v>316</v>
      </c>
      <c r="K7" s="533" t="s">
        <v>322</v>
      </c>
    </row>
    <row r="8" spans="1:11" ht="17.25" customHeight="1">
      <c r="A8" s="114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7"/>
      <c r="C8" s="1147"/>
      <c r="D8" s="1147"/>
      <c r="E8" s="1147"/>
      <c r="F8" s="1147"/>
      <c r="G8" s="1147"/>
      <c r="H8" s="1147"/>
    </row>
    <row r="9" spans="1:11" ht="12" customHeight="1">
      <c r="A9" s="473"/>
      <c r="B9" s="473"/>
      <c r="C9" s="473"/>
      <c r="D9" s="473"/>
      <c r="E9" s="473"/>
      <c r="F9" s="473"/>
      <c r="G9" s="476"/>
      <c r="H9" s="476"/>
    </row>
    <row r="10" spans="1:11" ht="15" customHeight="1">
      <c r="A10" s="472" t="str">
        <f ca="1">"Căn cứ vào biên bản giao nhận TSCĐ "&amp;"  "&amp;A7&amp;"  "&amp;A8</f>
        <v>Căn cứ vào biên bản giao nhận TSCĐ   Số: SX01/11  Ngày   19   tháng   5  năm   2011</v>
      </c>
      <c r="B10" s="472"/>
      <c r="C10" s="472"/>
      <c r="D10" s="472"/>
      <c r="E10" s="472"/>
      <c r="F10" s="472"/>
      <c r="G10" s="472"/>
      <c r="H10" s="472"/>
    </row>
    <row r="11" spans="1:11" ht="15" customHeight="1">
      <c r="A11" s="472" t="s">
        <v>317</v>
      </c>
      <c r="B11" s="472"/>
      <c r="C11" s="472"/>
      <c r="D11" s="472" t="s">
        <v>354</v>
      </c>
      <c r="E11" s="472" t="str">
        <f ca="1" xml:space="preserve"> IF(ROWS($1:1)&gt;COUNT(Dong3),"","Số hiệu TSCĐ:   "&amp;OFFSET('SO-TS'!$G$1,SMALL(Dong3,ROWS($1:1)),))</f>
        <v>Số hiệu TSCĐ:   SX01/11</v>
      </c>
      <c r="F11" s="472"/>
      <c r="H11" s="472"/>
    </row>
    <row r="12" spans="1:11" ht="15" customHeight="1">
      <c r="A12" s="472" t="str">
        <f ca="1" xml:space="preserve"> IF(ROWS($1:1)&gt;COUNT(Dong3),"","Nước sản xuất:   "&amp;OFFSET('SO-TS'!$E$1,SMALL(Dong3,ROWS($1:1)),))</f>
        <v>Nước sản xuất:   Việt Nam</v>
      </c>
      <c r="B12" s="472"/>
      <c r="C12" s="472"/>
      <c r="D12" s="472"/>
      <c r="E12" s="472" t="s">
        <v>318</v>
      </c>
      <c r="F12" s="472"/>
      <c r="G12" s="472"/>
      <c r="H12" s="472"/>
    </row>
    <row r="13" spans="1:11" ht="15" customHeight="1">
      <c r="A13" s="47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2"/>
      <c r="C13" s="472"/>
      <c r="D13" s="472"/>
      <c r="E13" s="472" t="str">
        <f ca="1" xml:space="preserve"> IF(ROWS($1:1)&gt;COUNT(Dong3),"","Tháng, năm đưa vào sử dụng:    "&amp;OFFSET('SO-TS'!$F$1,SMALL(Dong3,ROWS($1:1)),))</f>
        <v>Tháng, năm đưa vào sử dụng:    06/2011</v>
      </c>
      <c r="F13" s="472"/>
      <c r="G13" s="472"/>
      <c r="H13" s="472"/>
    </row>
    <row r="14" spans="1:11" ht="15" customHeight="1">
      <c r="A14" s="472" t="s">
        <v>300</v>
      </c>
      <c r="B14" s="472"/>
      <c r="C14" s="472"/>
      <c r="D14" s="472"/>
      <c r="E14" s="472"/>
      <c r="F14" s="472"/>
      <c r="G14" s="472"/>
      <c r="H14" s="472"/>
    </row>
    <row r="15" spans="1:11" ht="15" customHeight="1">
      <c r="A15" s="472" t="s">
        <v>320</v>
      </c>
      <c r="B15" s="472"/>
      <c r="C15" s="472"/>
      <c r="D15" s="472"/>
      <c r="E15" s="472"/>
      <c r="F15" s="472"/>
      <c r="G15" s="472"/>
      <c r="H15" s="472"/>
    </row>
    <row r="16" spans="1:11" ht="15" customHeight="1">
      <c r="A16" s="534" t="s">
        <v>319</v>
      </c>
      <c r="B16" s="534"/>
      <c r="C16" s="534"/>
      <c r="D16" s="534"/>
      <c r="E16" s="534"/>
      <c r="F16" s="534"/>
      <c r="G16" s="534"/>
      <c r="H16" s="534"/>
    </row>
    <row r="17" spans="1:8" s="528" customFormat="1" ht="18" customHeight="1">
      <c r="A17" s="1150" t="s">
        <v>125</v>
      </c>
      <c r="B17" s="1151"/>
      <c r="C17" s="1154" t="s">
        <v>301</v>
      </c>
      <c r="D17" s="1155"/>
      <c r="E17" s="1156"/>
      <c r="F17" s="1157" t="s">
        <v>302</v>
      </c>
      <c r="G17" s="1158"/>
      <c r="H17" s="1159"/>
    </row>
    <row r="18" spans="1:8" s="528" customFormat="1" ht="28.5" customHeight="1">
      <c r="A18" s="1152"/>
      <c r="B18" s="1153"/>
      <c r="C18" s="501" t="s">
        <v>303</v>
      </c>
      <c r="D18" s="501" t="s">
        <v>0</v>
      </c>
      <c r="E18" s="501" t="s">
        <v>304</v>
      </c>
      <c r="F18" s="501" t="s">
        <v>305</v>
      </c>
      <c r="G18" s="501" t="s">
        <v>306</v>
      </c>
      <c r="H18" s="501" t="s">
        <v>307</v>
      </c>
    </row>
    <row r="19" spans="1:8" s="530" customFormat="1">
      <c r="A19" s="1160" t="s">
        <v>2</v>
      </c>
      <c r="B19" s="1160"/>
      <c r="C19" s="529" t="s">
        <v>3</v>
      </c>
      <c r="D19" s="529" t="s">
        <v>4</v>
      </c>
      <c r="E19" s="529">
        <v>1</v>
      </c>
      <c r="F19" s="529">
        <v>2</v>
      </c>
      <c r="G19" s="529">
        <v>3</v>
      </c>
      <c r="H19" s="529">
        <v>4</v>
      </c>
    </row>
    <row r="20" spans="1:8" ht="17.25" customHeight="1">
      <c r="A20" s="442">
        <f ca="1">IF(B20&lt;&gt;"",ROW()-19,"")</f>
        <v>1</v>
      </c>
      <c r="B20" s="516" t="str">
        <f ca="1" xml:space="preserve"> IF(ROWS($1:1)&gt;COUNT(Dong3),"",OFFSET('SO-TS'!G$1,SMALL(Dong3,ROWS($1:1)),))</f>
        <v>SX01/11</v>
      </c>
      <c r="C20" s="516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750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0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95" t="str">
        <f ca="1" xml:space="preserve"> IF(ROWS($1:2)&gt;COUNT(Dong3),"",OFFSET('SO-TS'!G$1,SMALL(Dong3,ROWS($1:2)),))</f>
        <v/>
      </c>
      <c r="C21" s="895" t="str">
        <f ca="1" xml:space="preserve"> IF(ROWS($1:2)&gt;COUNT(Dong3),"",OFFSET('SO-TS'!F$1,SMALL(Dong3,ROWS($1:2)),))</f>
        <v/>
      </c>
      <c r="D21" s="896" t="str">
        <f ca="1" xml:space="preserve"> IF(ROWS($1:2)&gt;COUNT(Dong3),"",OFFSET('SO-TS'!D$1,SMALL(Dong3,ROWS($1:2)),))</f>
        <v/>
      </c>
      <c r="E21" s="253" t="str">
        <f ca="1" xml:space="preserve"> IF(ROWS($1:2)&gt;COUNT(Dong3),"",OFFSET('SO-TS'!H$1,SMALL(Dong3,ROWS($1:2)),))</f>
        <v/>
      </c>
      <c r="F21" s="897">
        <f ca="1">IF(OR(F20="",(ROW()-19)&gt;OFFSET('SO-TS'!I$1,SMALL(Dong3,ROWS($1:$1)),)+1),"",IF(VALUE(F20)&gt;VALUE(YEAR(NOW())),"",F20+1))</f>
        <v>2012</v>
      </c>
      <c r="G21" s="75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48">
        <f ca="1">IF(G21&lt;&gt;0,H20+G21,0)</f>
        <v>5700000</v>
      </c>
    </row>
    <row r="22" spans="1:8" ht="17.25" customHeight="1">
      <c r="A22" s="6" t="str">
        <f t="shared" ca="1" si="0"/>
        <v/>
      </c>
      <c r="B22" s="895" t="str">
        <f ca="1" xml:space="preserve"> IF(ROWS($1:3)&gt;COUNT(Dong3),"",OFFSET('SO-TS'!G$1,SMALL(Dong3,ROWS($1:3)),))</f>
        <v/>
      </c>
      <c r="C22" s="895" t="str">
        <f ca="1" xml:space="preserve"> IF(ROWS($1:3)&gt;COUNT(Dong3),"",OFFSET('SO-TS'!F$1,SMALL(Dong3,ROWS($1:3)),))</f>
        <v/>
      </c>
      <c r="D22" s="896" t="str">
        <f ca="1" xml:space="preserve"> IF(ROWS($1:3)&gt;COUNT(Dong3),"",OFFSET('SO-TS'!D$1,SMALL(Dong3,ROWS($1:3)),))</f>
        <v/>
      </c>
      <c r="E22" s="253" t="str">
        <f ca="1" xml:space="preserve"> IF(ROWS($1:3)&gt;COUNT(Dong3),"",OFFSET('SO-TS'!H$1,SMALL(Dong3,ROWS($1:3)),))</f>
        <v/>
      </c>
      <c r="F22" s="897">
        <f ca="1">IF(OR(F21="",(ROW()-19)&gt;OFFSET('SO-TS'!I$1,SMALL(Dong3,ROWS($1:$1)),)+1),"",IF(VALUE(F21)&gt;VALUE(YEAR(NOW())),"",F21+1))</f>
        <v>2013</v>
      </c>
      <c r="G22" s="75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48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95" t="str">
        <f ca="1" xml:space="preserve"> IF(ROWS($1:4)&gt;COUNT(Dong3),"",OFFSET('SO-TS'!G$1,SMALL(Dong3,ROWS($1:4)),))</f>
        <v/>
      </c>
      <c r="C23" s="895" t="str">
        <f ca="1" xml:space="preserve"> IF(ROWS($1:4)&gt;COUNT(Dong3),"",OFFSET('SO-TS'!F$1,SMALL(Dong3,ROWS($1:4)),))</f>
        <v/>
      </c>
      <c r="D23" s="896" t="str">
        <f ca="1" xml:space="preserve"> IF(ROWS($1:4)&gt;COUNT(Dong3),"",OFFSET('SO-TS'!D$1,SMALL(Dong3,ROWS($1:4)),))</f>
        <v/>
      </c>
      <c r="E23" s="253" t="str">
        <f ca="1" xml:space="preserve"> IF(ROWS($1:4)&gt;COUNT(Dong3),"",OFFSET('SO-TS'!H$1,SMALL(Dong3,ROWS($1:4)),))</f>
        <v/>
      </c>
      <c r="F23" s="897">
        <f ca="1">IF(OR(F22="",(ROW()-19)&gt;OFFSET('SO-TS'!I$1,SMALL(Dong3,ROWS($1:$1)),)+1),"",IF(VALUE(F22)&gt;VALUE(YEAR(NOW())),"",F22+1))</f>
        <v>2014</v>
      </c>
      <c r="G23" s="750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48">
        <f t="shared" ca="1" si="1"/>
        <v>12900000</v>
      </c>
    </row>
    <row r="24" spans="1:8" ht="17.25" customHeight="1">
      <c r="A24" s="6" t="str">
        <f t="shared" ca="1" si="0"/>
        <v/>
      </c>
      <c r="B24" s="895" t="str">
        <f ca="1" xml:space="preserve"> IF(ROWS($1:5)&gt;COUNT(Dong3),"",OFFSET('SO-TS'!G$1,SMALL(Dong3,ROWS($1:5)),))</f>
        <v/>
      </c>
      <c r="C24" s="895" t="str">
        <f ca="1" xml:space="preserve"> IF(ROWS($1:5)&gt;COUNT(Dong3),"",OFFSET('SO-TS'!F$1,SMALL(Dong3,ROWS($1:5)),))</f>
        <v/>
      </c>
      <c r="D24" s="896" t="str">
        <f ca="1" xml:space="preserve"> IF(ROWS($1:5)&gt;COUNT(Dong3),"",OFFSET('SO-TS'!D$1,SMALL(Dong3,ROWS($1:5)),))</f>
        <v/>
      </c>
      <c r="E24" s="253" t="str">
        <f ca="1" xml:space="preserve"> IF(ROWS($1:5)&gt;COUNT(Dong3),"",OFFSET('SO-TS'!H$1,SMALL(Dong3,ROWS($1:5)),))</f>
        <v/>
      </c>
      <c r="F24" s="897">
        <f ca="1">IF(OR(F23="",(ROW()-19)&gt;OFFSET('SO-TS'!I$1,SMALL(Dong3,ROWS($1:$1)),)+1),"",IF(VALUE(F23)&gt;VALUE(YEAR(NOW())),"",F23+1))</f>
        <v>2015</v>
      </c>
      <c r="G24" s="750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48">
        <f t="shared" ca="1" si="1"/>
        <v>16500000</v>
      </c>
    </row>
    <row r="25" spans="1:8" ht="17.25" customHeight="1">
      <c r="A25" s="898"/>
      <c r="B25" s="900"/>
      <c r="C25" s="900"/>
      <c r="D25" s="901"/>
      <c r="E25" s="902"/>
      <c r="F25" s="897">
        <f ca="1">IF(OR(F24="",(ROW()-19)&gt;OFFSET('SO-TS'!I$1,SMALL(Dong3,ROWS($1:$1)),)+1),"",IF(VALUE(F24)&gt;VALUE(YEAR(NOW())),"",F24+1))</f>
        <v>2016</v>
      </c>
      <c r="G25" s="750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48">
        <f t="shared" ca="1" si="1"/>
        <v>18000000</v>
      </c>
    </row>
    <row r="26" spans="1:8" ht="17.25" customHeight="1">
      <c r="A26" s="898" t="str">
        <f t="shared" ref="A26" si="2">IF(B26&lt;&gt;"",ROW()-19,"")</f>
        <v/>
      </c>
      <c r="B26" s="484"/>
      <c r="C26" s="517"/>
      <c r="D26" s="517"/>
      <c r="E26" s="749"/>
      <c r="F26" s="899"/>
      <c r="G26" s="749"/>
      <c r="H26" s="749"/>
    </row>
    <row r="27" spans="1:8" ht="17.25" customHeight="1">
      <c r="A27" s="486"/>
      <c r="B27" s="486" t="s">
        <v>308</v>
      </c>
      <c r="C27" s="518"/>
      <c r="D27" s="518"/>
      <c r="E27" s="545">
        <f ca="1">SUM(E20:E26)</f>
        <v>18000000</v>
      </c>
      <c r="F27" s="518"/>
      <c r="G27" s="545">
        <f ca="1">SUM(G20:G26)</f>
        <v>18000000</v>
      </c>
      <c r="H27" s="545"/>
    </row>
    <row r="28" spans="1:8" ht="17.25" customHeight="1">
      <c r="A28" s="519"/>
      <c r="B28" s="519"/>
      <c r="C28" s="520"/>
      <c r="D28" s="520"/>
      <c r="E28" s="520"/>
      <c r="F28" s="520"/>
      <c r="G28" s="521"/>
      <c r="H28" s="521"/>
    </row>
    <row r="29" spans="1:8" ht="17.25" customHeight="1">
      <c r="A29" s="519"/>
      <c r="B29" s="519"/>
      <c r="C29" s="520"/>
      <c r="D29" s="520"/>
      <c r="E29" s="520"/>
      <c r="F29" s="520"/>
      <c r="G29" s="521"/>
      <c r="H29" s="521"/>
    </row>
    <row r="30" spans="1:8" ht="17.25" customHeight="1">
      <c r="A30" s="1161" t="s">
        <v>309</v>
      </c>
      <c r="B30" s="1161"/>
      <c r="C30" s="1161"/>
      <c r="D30" s="1161"/>
      <c r="E30" s="1161"/>
      <c r="F30" s="1161"/>
      <c r="G30" s="1161"/>
      <c r="H30" s="1161"/>
    </row>
    <row r="31" spans="1:8" ht="27" customHeight="1">
      <c r="A31" s="486" t="s">
        <v>35</v>
      </c>
      <c r="B31" s="1134" t="s">
        <v>310</v>
      </c>
      <c r="C31" s="1136"/>
      <c r="D31" s="518" t="s">
        <v>196</v>
      </c>
      <c r="E31" s="518" t="s">
        <v>311</v>
      </c>
      <c r="F31" s="518" t="s">
        <v>312</v>
      </c>
      <c r="G31" s="521"/>
      <c r="H31" s="521"/>
    </row>
    <row r="32" spans="1:8" ht="17.25" customHeight="1">
      <c r="A32" s="486" t="s">
        <v>2</v>
      </c>
      <c r="B32" s="486" t="s">
        <v>3</v>
      </c>
      <c r="C32" s="518"/>
      <c r="D32" s="518" t="s">
        <v>4</v>
      </c>
      <c r="E32" s="518">
        <v>1</v>
      </c>
      <c r="F32" s="518">
        <v>2</v>
      </c>
      <c r="G32" s="521"/>
      <c r="H32" s="521"/>
    </row>
    <row r="33" spans="1:8" ht="17.25" customHeight="1">
      <c r="A33" s="522"/>
      <c r="B33" s="522"/>
      <c r="C33" s="523"/>
      <c r="D33" s="523"/>
      <c r="E33" s="523"/>
      <c r="F33" s="523"/>
      <c r="G33" s="521"/>
      <c r="H33" s="521"/>
    </row>
    <row r="34" spans="1:8" ht="17.25" customHeight="1">
      <c r="A34" s="524"/>
      <c r="B34" s="524"/>
      <c r="C34" s="525"/>
      <c r="D34" s="525"/>
      <c r="E34" s="525"/>
      <c r="F34" s="525"/>
      <c r="G34" s="521"/>
      <c r="H34" s="521"/>
    </row>
    <row r="35" spans="1:8" ht="17.25" customHeight="1">
      <c r="A35" s="524"/>
      <c r="B35" s="524"/>
      <c r="C35" s="525"/>
      <c r="D35" s="525"/>
      <c r="E35" s="525"/>
      <c r="F35" s="525"/>
      <c r="G35" s="521"/>
      <c r="H35" s="521"/>
    </row>
    <row r="36" spans="1:8" ht="17.25" customHeight="1">
      <c r="A36" s="524"/>
      <c r="B36" s="524"/>
      <c r="C36" s="525"/>
      <c r="D36" s="525"/>
      <c r="E36" s="525"/>
      <c r="F36" s="525"/>
      <c r="G36" s="521"/>
      <c r="H36" s="521"/>
    </row>
    <row r="37" spans="1:8" ht="17.25" customHeight="1">
      <c r="A37" s="526"/>
      <c r="B37" s="526"/>
      <c r="C37" s="527"/>
      <c r="D37" s="527"/>
      <c r="E37" s="527"/>
      <c r="F37" s="527"/>
      <c r="G37" s="521"/>
      <c r="H37" s="521"/>
    </row>
    <row r="38" spans="1:8">
      <c r="A38" s="519"/>
      <c r="B38" s="519"/>
      <c r="C38" s="520"/>
      <c r="D38" s="520"/>
      <c r="E38" s="520"/>
      <c r="F38" s="520"/>
      <c r="G38" s="521"/>
      <c r="H38" s="521"/>
    </row>
    <row r="39" spans="1:8">
      <c r="A39" s="116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62"/>
      <c r="C39" s="1162"/>
      <c r="D39" s="1162"/>
      <c r="E39" s="1162"/>
      <c r="F39" s="1162"/>
      <c r="G39" s="1162"/>
      <c r="H39" s="1162"/>
    </row>
    <row r="40" spans="1:8">
      <c r="A40" s="1162" t="str">
        <f ca="1" xml:space="preserve"> IF(ROWS($1:1)&gt;COUNT(Dong3),"","Lý do giảm:   "&amp;OFFSET('SO-TS'!$O$1,SMALL(Dong3,ROWS($1:1)),))</f>
        <v xml:space="preserve">Lý do giảm:   </v>
      </c>
      <c r="B40" s="1162"/>
      <c r="C40" s="1162"/>
      <c r="D40" s="1162"/>
      <c r="E40" s="1162"/>
      <c r="F40" s="1162"/>
      <c r="G40" s="1162"/>
      <c r="H40" s="1162"/>
    </row>
    <row r="41" spans="1:8">
      <c r="A41" s="496"/>
      <c r="B41" s="496"/>
      <c r="C41" s="491"/>
      <c r="D41" s="491"/>
      <c r="E41" s="1149" t="s">
        <v>363</v>
      </c>
      <c r="F41" s="1149"/>
      <c r="G41" s="1149"/>
      <c r="H41" s="1149"/>
    </row>
    <row r="42" spans="1:8">
      <c r="A42" s="1145" t="s">
        <v>313</v>
      </c>
      <c r="B42" s="1145"/>
      <c r="C42" s="1145" t="s">
        <v>12</v>
      </c>
      <c r="D42" s="1145"/>
      <c r="E42" s="1141" t="s">
        <v>109</v>
      </c>
      <c r="F42" s="1141"/>
      <c r="G42" s="1141"/>
      <c r="H42" s="1141"/>
    </row>
    <row r="43" spans="1:8">
      <c r="A43" s="473"/>
      <c r="B43" s="473"/>
      <c r="C43" s="476"/>
      <c r="D43" s="476"/>
      <c r="E43" s="476"/>
      <c r="F43" s="476"/>
      <c r="G43" s="476"/>
      <c r="H43" s="476"/>
    </row>
    <row r="44" spans="1:8">
      <c r="A44" s="473"/>
      <c r="B44" s="473"/>
      <c r="C44" s="476"/>
      <c r="D44" s="476"/>
      <c r="E44" s="476"/>
      <c r="F44" s="476"/>
      <c r="G44" s="476"/>
      <c r="H44" s="476"/>
    </row>
    <row r="45" spans="1:8">
      <c r="A45" s="473"/>
      <c r="B45" s="473"/>
      <c r="C45" s="476"/>
      <c r="D45" s="476"/>
      <c r="E45" s="476"/>
      <c r="F45" s="476"/>
      <c r="G45" s="476"/>
      <c r="H45" s="476"/>
    </row>
    <row r="46" spans="1:8">
      <c r="A46" s="473"/>
      <c r="B46" s="473"/>
      <c r="C46" s="476"/>
      <c r="D46" s="476"/>
      <c r="E46" s="476"/>
      <c r="F46" s="476"/>
      <c r="G46" s="476"/>
      <c r="H46" s="476"/>
    </row>
    <row r="47" spans="1:8">
      <c r="A47" s="473"/>
      <c r="B47" s="473"/>
      <c r="C47" s="476"/>
      <c r="D47" s="476"/>
      <c r="E47" s="476"/>
      <c r="F47" s="476"/>
      <c r="G47" s="476"/>
      <c r="H47" s="476"/>
    </row>
    <row r="48" spans="1:8">
      <c r="A48" s="473"/>
      <c r="B48" s="473"/>
      <c r="C48" s="476"/>
      <c r="D48" s="476"/>
      <c r="E48" s="476"/>
      <c r="F48" s="476"/>
      <c r="G48" s="476"/>
      <c r="H48" s="476"/>
    </row>
    <row r="49" spans="1:8">
      <c r="A49" s="473"/>
      <c r="B49" s="473"/>
      <c r="C49" s="476"/>
      <c r="D49" s="476"/>
      <c r="E49" s="476"/>
      <c r="F49" s="476"/>
      <c r="G49" s="476"/>
      <c r="H49" s="476"/>
    </row>
    <row r="50" spans="1:8">
      <c r="A50" s="1148" t="s">
        <v>151</v>
      </c>
      <c r="B50" s="1148"/>
      <c r="C50" s="491"/>
      <c r="D50" s="491"/>
      <c r="E50" s="1149" t="s">
        <v>103</v>
      </c>
      <c r="F50" s="1149"/>
      <c r="G50" s="1149"/>
      <c r="H50" s="114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43.42578125" style="658" customWidth="1"/>
    <col min="5" max="5" width="7.140625" style="658" customWidth="1"/>
    <col min="6" max="6" width="14.140625" style="658" customWidth="1"/>
    <col min="7" max="7" width="14.85546875" style="658" customWidth="1"/>
    <col min="8" max="9" width="12" style="658" customWidth="1"/>
    <col min="10" max="10" width="12.85546875" style="658" customWidth="1"/>
    <col min="11" max="12" width="13.5703125" style="658" customWidth="1"/>
    <col min="13" max="13" width="12.7109375" style="658" customWidth="1"/>
    <col min="14" max="14" width="6.28515625" style="658" customWidth="1"/>
    <col min="15" max="15" width="8.42578125" style="658" customWidth="1"/>
    <col min="16" max="16384" width="9.140625" style="658"/>
  </cols>
  <sheetData>
    <row r="2" spans="1:16">
      <c r="A2" s="657" t="str">
        <f>'IN-NX'!A2</f>
        <v>Đơn vị: CÔNG TY TNHH SX TM KIM DUNG PHÁT</v>
      </c>
      <c r="F2" s="659"/>
      <c r="G2" s="659"/>
      <c r="H2" s="659"/>
      <c r="I2" s="659"/>
      <c r="J2" s="1168" t="s">
        <v>376</v>
      </c>
      <c r="K2" s="1168"/>
      <c r="L2" s="1168"/>
      <c r="M2" s="1168"/>
    </row>
    <row r="3" spans="1:16" ht="15" customHeight="1">
      <c r="A3" s="687" t="str">
        <f>'IN-NX'!A3</f>
        <v>Địa chỉ: 1A227/1 Ấp 1, Phạm Văn Hai, Bình Chánh, TPHCM</v>
      </c>
      <c r="J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71"/>
      <c r="L3" s="1171"/>
      <c r="M3" s="1171"/>
    </row>
    <row r="4" spans="1:16">
      <c r="J4" s="1171"/>
      <c r="K4" s="1171"/>
      <c r="L4" s="1171"/>
      <c r="M4" s="1171"/>
    </row>
    <row r="5" spans="1:16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660" t="s">
        <v>167</v>
      </c>
      <c r="O5" s="592">
        <f>IF(O13="Quý I",1,IF(O13="Quý II",4,IF(O13="Quý III",7,IF(O13="Quý IV",10,""))))</f>
        <v>4</v>
      </c>
      <c r="P5" s="592">
        <f>IF(O13="Quý I",3,IF(O13="Quý II",6,IF(O13="Quý III",9,IF(O13="Quý IV",12,""))))</f>
        <v>6</v>
      </c>
    </row>
    <row r="6" spans="1:16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685"/>
    </row>
    <row r="7" spans="1:16">
      <c r="B7" s="661"/>
      <c r="C7" s="661"/>
      <c r="D7" s="661"/>
      <c r="E7" s="662" t="s">
        <v>379</v>
      </c>
      <c r="G7" s="661"/>
      <c r="H7" s="661"/>
      <c r="I7" s="661"/>
      <c r="J7" s="661"/>
      <c r="K7" s="661"/>
      <c r="L7" s="661"/>
      <c r="M7" s="661"/>
    </row>
    <row r="8" spans="1:16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  <c r="M8" s="661"/>
    </row>
    <row r="9" spans="1:16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  <c r="M9" s="663"/>
    </row>
    <row r="10" spans="1:16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  <c r="M10" s="1167"/>
    </row>
    <row r="11" spans="1:16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382</v>
      </c>
      <c r="G11" s="1165"/>
      <c r="H11" s="1165"/>
      <c r="I11" s="1165"/>
      <c r="J11" s="1165"/>
      <c r="K11" s="1165"/>
      <c r="L11" s="1165"/>
      <c r="M11" s="1165"/>
    </row>
    <row r="12" spans="1:16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  <c r="M12" s="1166"/>
    </row>
    <row r="13" spans="1:16" ht="31.5" customHeight="1" thickBot="1">
      <c r="A13" s="1164"/>
      <c r="B13" s="1166"/>
      <c r="C13" s="1166"/>
      <c r="D13" s="1164"/>
      <c r="E13" s="1164"/>
      <c r="F13" s="1166"/>
      <c r="G13" s="664" t="s">
        <v>370</v>
      </c>
      <c r="H13" s="664" t="s">
        <v>371</v>
      </c>
      <c r="I13" s="664" t="s">
        <v>372</v>
      </c>
      <c r="J13" s="664" t="s">
        <v>385</v>
      </c>
      <c r="K13" s="664" t="s">
        <v>386</v>
      </c>
      <c r="L13" s="664" t="s">
        <v>368</v>
      </c>
      <c r="M13" s="664" t="s">
        <v>387</v>
      </c>
      <c r="O13" s="686" t="s">
        <v>348</v>
      </c>
    </row>
    <row r="14" spans="1:16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/>
      <c r="J14" s="665">
        <v>4</v>
      </c>
      <c r="K14" s="665">
        <v>5</v>
      </c>
      <c r="L14" s="665"/>
      <c r="M14" s="665">
        <v>6</v>
      </c>
    </row>
    <row r="15" spans="1:16" ht="22.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  <c r="M15" s="668"/>
    </row>
    <row r="16" spans="1:16" ht="22.5" customHeight="1">
      <c r="A16" s="669">
        <f ca="1">IF(ROWS($1:1)&gt;COUNT(Dong9),"",OFFSET(TH!C$1,SMALL(Dong9,ROWS($1:1)),))</f>
        <v>41730</v>
      </c>
      <c r="B16" s="669" t="str">
        <f ca="1">IF(ROWS($1:1)&gt;COUNT(Dong9),"",OFFSET(TH!D$1,SMALL(Dong9,ROWS($1:1)),))</f>
        <v>CTGS</v>
      </c>
      <c r="C16" s="669">
        <f ca="1">IF(ROWS($1:1)&gt;COUNT(Dong9),"",OFFSET(TH!E$1,SMALL(Dong9,ROWS($1:1)),))</f>
        <v>41730</v>
      </c>
      <c r="D16" s="670" t="str">
        <f ca="1">IF(ROWS($1:1)&gt;COUNT(Dong9),"",OFFSET(TH!F$1,SMALL(Dong9,ROWS($1:1)),))</f>
        <v>Trích khấu hao TSCĐ Hữu hình</v>
      </c>
      <c r="E16" s="669" t="str">
        <f ca="1">IF(ROWS($1:1)&gt;COUNT(Dong9),"",OFFSET(TH!M$1,SMALL(Dong9,ROWS($1:1)),))</f>
        <v>2141</v>
      </c>
      <c r="F16" s="671">
        <f ca="1">IF(ROWS($1:1)&gt;COUNT(Dong9),"",OFFSET(TH!K$1,SMALL(Dong9,ROWS($1:1)),))</f>
        <v>18250000</v>
      </c>
      <c r="G16" s="671">
        <f ca="1">IF($E16="1521",$F16,0)</f>
        <v>0</v>
      </c>
      <c r="H16" s="671">
        <f ca="1">IF($E16="1522",$F16,0)</f>
        <v>0</v>
      </c>
      <c r="I16" s="671">
        <f ca="1">IF(LEFT(D16,6)="Mực in",F16,0)</f>
        <v>0</v>
      </c>
      <c r="J16" s="671">
        <f ca="1">IF(OR(LEFT($E16,3)="334",LEFT($E16,3)="338"),$F16,0)</f>
        <v>0</v>
      </c>
      <c r="K16" s="671">
        <f ca="1">IF(OR(LEFT($E16,3)="331",AND(LEFT($E16,3)="111",$D16="Tiền điện")),$F16,0)</f>
        <v>0</v>
      </c>
      <c r="L16" s="671">
        <f ca="1">IF($E16="142",$F16,0)</f>
        <v>0</v>
      </c>
      <c r="M16" s="67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669">
        <f ca="1">IF(ROWS($1:2)&gt;COUNT(Dong9),"",OFFSET(TH!C$1,SMALL(Dong9,ROWS($1:2)),))</f>
        <v>41759</v>
      </c>
      <c r="B17" s="669" t="str">
        <f ca="1">IF(ROWS($1:2)&gt;COUNT(Dong9),"",OFFSET(TH!D$1,SMALL(Dong9,ROWS($1:2)),))</f>
        <v>CTGS</v>
      </c>
      <c r="C17" s="669">
        <f ca="1">IF(ROWS($1:2)&gt;COUNT(Dong9),"",OFFSET(TH!E$1,SMALL(Dong9,ROWS($1:2)),))</f>
        <v>41759</v>
      </c>
      <c r="D17" s="670" t="str">
        <f ca="1">IF(ROWS($1:2)&gt;COUNT(Dong9),"",OFFSET(TH!F$1,SMALL(Dong9,ROWS($1:2)),))</f>
        <v>Tiền lương BP Phân Xưởng &amp; CN</v>
      </c>
      <c r="E17" s="669" t="str">
        <f ca="1">IF(ROWS($1:2)&gt;COUNT(Dong9),"",OFFSET(TH!M$1,SMALL(Dong9,ROWS($1:2)),))</f>
        <v>3341</v>
      </c>
      <c r="F17" s="671">
        <f ca="1">IF(ROWS($1:2)&gt;COUNT(Dong9),"",OFFSET(TH!K$1,SMALL(Dong9,ROWS($1:2)),))</f>
        <v>5150000</v>
      </c>
      <c r="G17" s="671">
        <f t="shared" ref="G17:G33" ca="1" si="0">IF($E17="1521",$F17,0)</f>
        <v>0</v>
      </c>
      <c r="H17" s="671">
        <f t="shared" ref="H17:H33" ca="1" si="1">IF($E17="1522",$F17,0)</f>
        <v>0</v>
      </c>
      <c r="I17" s="671">
        <f t="shared" ref="I17:I33" ca="1" si="2">IF(LEFT(D17,6)="Mực in",F17,0)</f>
        <v>0</v>
      </c>
      <c r="J17" s="671">
        <f t="shared" ref="J17:J33" ca="1" si="3">IF(OR(LEFT($E17,3)="334",LEFT($E17,3)="338"),$F17,0)</f>
        <v>5150000</v>
      </c>
      <c r="K17" s="671">
        <f t="shared" ref="K17:K33" ca="1" si="4">IF(OR(LEFT($E17,3)="331",AND(LEFT($E17,3)="111",$D17="Tiền điện")),$F17,0)</f>
        <v>0</v>
      </c>
      <c r="L17" s="671">
        <f t="shared" ref="L17:L33" ca="1" si="5">IF($E17="142",$F17,0)</f>
        <v>0</v>
      </c>
      <c r="M17" s="67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69">
        <f ca="1">IF(ROWS($1:3)&gt;COUNT(Dong9),"",OFFSET(TH!C$1,SMALL(Dong9,ROWS($1:3)),))</f>
        <v>41790</v>
      </c>
      <c r="B18" s="669" t="str">
        <f ca="1">IF(ROWS($1:3)&gt;COUNT(Dong9),"",OFFSET(TH!D$1,SMALL(Dong9,ROWS($1:3)),))</f>
        <v>CTGS</v>
      </c>
      <c r="C18" s="669">
        <f ca="1">IF(ROWS($1:3)&gt;COUNT(Dong9),"",OFFSET(TH!E$1,SMALL(Dong9,ROWS($1:3)),))</f>
        <v>41790</v>
      </c>
      <c r="D18" s="670" t="str">
        <f ca="1">IF(ROWS($1:3)&gt;COUNT(Dong9),"",OFFSET(TH!F$1,SMALL(Dong9,ROWS($1:3)),))</f>
        <v>Tiền lương BP Phân Xưởng &amp; CN</v>
      </c>
      <c r="E18" s="669" t="str">
        <f ca="1">IF(ROWS($1:3)&gt;COUNT(Dong9),"",OFFSET(TH!M$1,SMALL(Dong9,ROWS($1:3)),))</f>
        <v>3341</v>
      </c>
      <c r="F18" s="671">
        <f ca="1">IF(ROWS($1:3)&gt;COUNT(Dong9),"",OFFSET(TH!K$1,SMALL(Dong9,ROWS($1:3)),))</f>
        <v>5180000</v>
      </c>
      <c r="G18" s="671">
        <f t="shared" ca="1" si="0"/>
        <v>0</v>
      </c>
      <c r="H18" s="671">
        <f t="shared" ca="1" si="1"/>
        <v>0</v>
      </c>
      <c r="I18" s="671">
        <f t="shared" ca="1" si="2"/>
        <v>0</v>
      </c>
      <c r="J18" s="671">
        <f t="shared" ca="1" si="3"/>
        <v>5180000</v>
      </c>
      <c r="K18" s="671">
        <f t="shared" ca="1" si="4"/>
        <v>0</v>
      </c>
      <c r="L18" s="671">
        <f t="shared" ca="1" si="5"/>
        <v>0</v>
      </c>
      <c r="M18" s="671">
        <f t="shared" ca="1" si="6"/>
        <v>0</v>
      </c>
    </row>
    <row r="19" spans="1:13" ht="22.5" customHeight="1">
      <c r="A19" s="669">
        <f ca="1">IF(ROWS($1:4)&gt;COUNT(Dong9),"",OFFSET(TH!C$1,SMALL(Dong9,ROWS($1:4)),))</f>
        <v>41820</v>
      </c>
      <c r="B19" s="669" t="str">
        <f ca="1">IF(ROWS($1:4)&gt;COUNT(Dong9),"",OFFSET(TH!D$1,SMALL(Dong9,ROWS($1:4)),))</f>
        <v>CTGS</v>
      </c>
      <c r="C19" s="669">
        <f ca="1">IF(ROWS($1:4)&gt;COUNT(Dong9),"",OFFSET(TH!E$1,SMALL(Dong9,ROWS($1:4)),))</f>
        <v>41820</v>
      </c>
      <c r="D19" s="670" t="str">
        <f ca="1">IF(ROWS($1:4)&gt;COUNT(Dong9),"",OFFSET(TH!F$1,SMALL(Dong9,ROWS($1:4)),))</f>
        <v>Tiền lương BP Phân Xưởng &amp; CN</v>
      </c>
      <c r="E19" s="669" t="str">
        <f ca="1">IF(ROWS($1:4)&gt;COUNT(Dong9),"",OFFSET(TH!M$1,SMALL(Dong9,ROWS($1:4)),))</f>
        <v>3341</v>
      </c>
      <c r="F19" s="671">
        <f ca="1">IF(ROWS($1:4)&gt;COUNT(Dong9),"",OFFSET(TH!K$1,SMALL(Dong9,ROWS($1:4)),))</f>
        <v>5150000</v>
      </c>
      <c r="G19" s="671">
        <f t="shared" ca="1" si="0"/>
        <v>0</v>
      </c>
      <c r="H19" s="671">
        <f t="shared" ca="1" si="1"/>
        <v>0</v>
      </c>
      <c r="I19" s="671">
        <f t="shared" ca="1" si="2"/>
        <v>0</v>
      </c>
      <c r="J19" s="671">
        <f t="shared" ca="1" si="3"/>
        <v>5150000</v>
      </c>
      <c r="K19" s="671">
        <f t="shared" ca="1" si="4"/>
        <v>0</v>
      </c>
      <c r="L19" s="671">
        <f t="shared" ca="1" si="5"/>
        <v>0</v>
      </c>
      <c r="M19" s="671">
        <f t="shared" ca="1" si="6"/>
        <v>0</v>
      </c>
    </row>
    <row r="20" spans="1:13" ht="22.5" customHeight="1">
      <c r="A20" s="669">
        <f ca="1">IF(ROWS($1:5)&gt;COUNT(Dong9),"",OFFSET(TH!C$1,SMALL(Dong9,ROWS($1:5)),))</f>
        <v>41737</v>
      </c>
      <c r="B20" s="669">
        <f ca="1">IF(ROWS($1:5)&gt;COUNT(Dong9),"",OFFSET(TH!D$1,SMALL(Dong9,ROWS($1:5)),))</f>
        <v>0</v>
      </c>
      <c r="C20" s="669">
        <f ca="1">IF(ROWS($1:5)&gt;COUNT(Dong9),"",OFFSET(TH!E$1,SMALL(Dong9,ROWS($1:5)),))</f>
        <v>41737</v>
      </c>
      <c r="D20" s="670" t="str">
        <f ca="1">IF(ROWS($1:5)&gt;COUNT(Dong9),"",OFFSET(TH!F$1,SMALL(Dong9,ROWS($1:5)),))</f>
        <v>Mực in</v>
      </c>
      <c r="E20" s="669" t="str">
        <f ca="1">IF(ROWS($1:5)&gt;COUNT(Dong9),"",OFFSET(TH!M$1,SMALL(Dong9,ROWS($1:5)),))</f>
        <v>1111</v>
      </c>
      <c r="F20" s="671">
        <f ca="1">IF(ROWS($1:5)&gt;COUNT(Dong9),"",OFFSET(TH!K$1,SMALL(Dong9,ROWS($1:5)),))</f>
        <v>4290000</v>
      </c>
      <c r="G20" s="671">
        <f t="shared" ca="1" si="0"/>
        <v>0</v>
      </c>
      <c r="H20" s="671">
        <f t="shared" ca="1" si="1"/>
        <v>0</v>
      </c>
      <c r="I20" s="671">
        <f t="shared" ca="1" si="2"/>
        <v>4290000</v>
      </c>
      <c r="J20" s="671">
        <f t="shared" ca="1" si="3"/>
        <v>0</v>
      </c>
      <c r="K20" s="671">
        <f t="shared" ca="1" si="4"/>
        <v>0</v>
      </c>
      <c r="L20" s="671">
        <f t="shared" ca="1" si="5"/>
        <v>0</v>
      </c>
      <c r="M20" s="671">
        <f t="shared" ca="1" si="6"/>
        <v>0</v>
      </c>
    </row>
    <row r="21" spans="1:13" ht="22.5" customHeight="1">
      <c r="A21" s="669">
        <f ca="1">IF(ROWS($1:6)&gt;COUNT(Dong9),"",OFFSET(TH!C$1,SMALL(Dong9,ROWS($1:6)),))</f>
        <v>41743</v>
      </c>
      <c r="B21" s="669">
        <f ca="1">IF(ROWS($1:6)&gt;COUNT(Dong9),"",OFFSET(TH!D$1,SMALL(Dong9,ROWS($1:6)),))</f>
        <v>0</v>
      </c>
      <c r="C21" s="669">
        <f ca="1">IF(ROWS($1:6)&gt;COUNT(Dong9),"",OFFSET(TH!E$1,SMALL(Dong9,ROWS($1:6)),))</f>
        <v>41743</v>
      </c>
      <c r="D21" s="670" t="str">
        <f ca="1">IF(ROWS($1:6)&gt;COUNT(Dong9),"",OFFSET(TH!F$1,SMALL(Dong9,ROWS($1:6)),))</f>
        <v>Mực in</v>
      </c>
      <c r="E21" s="669" t="str">
        <f ca="1">IF(ROWS($1:6)&gt;COUNT(Dong9),"",OFFSET(TH!M$1,SMALL(Dong9,ROWS($1:6)),))</f>
        <v>1111</v>
      </c>
      <c r="F21" s="671">
        <f ca="1">IF(ROWS($1:6)&gt;COUNT(Dong9),"",OFFSET(TH!K$1,SMALL(Dong9,ROWS($1:6)),))</f>
        <v>3710000</v>
      </c>
      <c r="G21" s="671">
        <f t="shared" ca="1" si="0"/>
        <v>0</v>
      </c>
      <c r="H21" s="671">
        <f t="shared" ca="1" si="1"/>
        <v>0</v>
      </c>
      <c r="I21" s="671">
        <f t="shared" ca="1" si="2"/>
        <v>3710000</v>
      </c>
      <c r="J21" s="671">
        <f t="shared" ca="1" si="3"/>
        <v>0</v>
      </c>
      <c r="K21" s="671">
        <f t="shared" ca="1" si="4"/>
        <v>0</v>
      </c>
      <c r="L21" s="671">
        <f t="shared" ca="1" si="5"/>
        <v>0</v>
      </c>
      <c r="M21" s="671">
        <f t="shared" ca="1" si="6"/>
        <v>0</v>
      </c>
    </row>
    <row r="22" spans="1:13" ht="22.5" customHeight="1">
      <c r="A22" s="669">
        <f ca="1">IF(ROWS($1:7)&gt;COUNT(Dong9),"",OFFSET(TH!C$1,SMALL(Dong9,ROWS($1:7)),))</f>
        <v>41789</v>
      </c>
      <c r="B22" s="669">
        <f ca="1">IF(ROWS($1:7)&gt;COUNT(Dong9),"",OFFSET(TH!D$1,SMALL(Dong9,ROWS($1:7)),))</f>
        <v>0</v>
      </c>
      <c r="C22" s="669">
        <f ca="1">IF(ROWS($1:7)&gt;COUNT(Dong9),"",OFFSET(TH!E$1,SMALL(Dong9,ROWS($1:7)),))</f>
        <v>41789</v>
      </c>
      <c r="D22" s="670" t="str">
        <f ca="1">IF(ROWS($1:7)&gt;COUNT(Dong9),"",OFFSET(TH!F$1,SMALL(Dong9,ROWS($1:7)),))</f>
        <v>Mực in</v>
      </c>
      <c r="E22" s="669" t="str">
        <f ca="1">IF(ROWS($1:7)&gt;COUNT(Dong9),"",OFFSET(TH!M$1,SMALL(Dong9,ROWS($1:7)),))</f>
        <v>1111</v>
      </c>
      <c r="F22" s="671">
        <f ca="1">IF(ROWS($1:7)&gt;COUNT(Dong9),"",OFFSET(TH!K$1,SMALL(Dong9,ROWS($1:7)),))</f>
        <v>5040000</v>
      </c>
      <c r="G22" s="671">
        <f t="shared" ca="1" si="0"/>
        <v>0</v>
      </c>
      <c r="H22" s="671">
        <f t="shared" ca="1" si="1"/>
        <v>0</v>
      </c>
      <c r="I22" s="671">
        <f t="shared" ca="1" si="2"/>
        <v>5040000</v>
      </c>
      <c r="J22" s="671">
        <f t="shared" ca="1" si="3"/>
        <v>0</v>
      </c>
      <c r="K22" s="671">
        <f t="shared" ca="1" si="4"/>
        <v>0</v>
      </c>
      <c r="L22" s="671">
        <f t="shared" ca="1" si="5"/>
        <v>0</v>
      </c>
      <c r="M22" s="671">
        <f t="shared" ca="1" si="6"/>
        <v>0</v>
      </c>
    </row>
    <row r="23" spans="1:13" ht="22.5" customHeight="1">
      <c r="A23" s="669">
        <f ca="1">IF(ROWS($1:8)&gt;COUNT(Dong9),"",OFFSET(TH!C$1,SMALL(Dong9,ROWS($1:8)),))</f>
        <v>41795</v>
      </c>
      <c r="B23" s="669">
        <f ca="1">IF(ROWS($1:8)&gt;COUNT(Dong9),"",OFFSET(TH!D$1,SMALL(Dong9,ROWS($1:8)),))</f>
        <v>0</v>
      </c>
      <c r="C23" s="669">
        <f ca="1">IF(ROWS($1:8)&gt;COUNT(Dong9),"",OFFSET(TH!E$1,SMALL(Dong9,ROWS($1:8)),))</f>
        <v>41795</v>
      </c>
      <c r="D23" s="670" t="str">
        <f ca="1">IF(ROWS($1:8)&gt;COUNT(Dong9),"",OFFSET(TH!F$1,SMALL(Dong9,ROWS($1:8)),))</f>
        <v>Mực in</v>
      </c>
      <c r="E23" s="669" t="str">
        <f ca="1">IF(ROWS($1:8)&gt;COUNT(Dong9),"",OFFSET(TH!M$1,SMALL(Dong9,ROWS($1:8)),))</f>
        <v>1111</v>
      </c>
      <c r="F23" s="671">
        <f ca="1">IF(ROWS($1:8)&gt;COUNT(Dong9),"",OFFSET(TH!K$1,SMALL(Dong9,ROWS($1:8)),))</f>
        <v>4070000</v>
      </c>
      <c r="G23" s="671">
        <f t="shared" ca="1" si="0"/>
        <v>0</v>
      </c>
      <c r="H23" s="671">
        <f t="shared" ca="1" si="1"/>
        <v>0</v>
      </c>
      <c r="I23" s="671">
        <f t="shared" ca="1" si="2"/>
        <v>4070000</v>
      </c>
      <c r="J23" s="671">
        <f t="shared" ca="1" si="3"/>
        <v>0</v>
      </c>
      <c r="K23" s="671">
        <f t="shared" ca="1" si="4"/>
        <v>0</v>
      </c>
      <c r="L23" s="671">
        <f t="shared" ca="1" si="5"/>
        <v>0</v>
      </c>
      <c r="M23" s="671">
        <f t="shared" ca="1" si="6"/>
        <v>0</v>
      </c>
    </row>
    <row r="24" spans="1:13" ht="22.5" customHeight="1">
      <c r="A24" s="669">
        <f ca="1">IF(ROWS($1:9)&gt;COUNT(Dong9),"",OFFSET(TH!C$1,SMALL(Dong9,ROWS($1:9)),))</f>
        <v>41813</v>
      </c>
      <c r="B24" s="669">
        <f ca="1">IF(ROWS($1:9)&gt;COUNT(Dong9),"",OFFSET(TH!D$1,SMALL(Dong9,ROWS($1:9)),))</f>
        <v>0</v>
      </c>
      <c r="C24" s="669">
        <f ca="1">IF(ROWS($1:9)&gt;COUNT(Dong9),"",OFFSET(TH!E$1,SMALL(Dong9,ROWS($1:9)),))</f>
        <v>41813</v>
      </c>
      <c r="D24" s="670" t="str">
        <f ca="1">IF(ROWS($1:9)&gt;COUNT(Dong9),"",OFFSET(TH!F$1,SMALL(Dong9,ROWS($1:9)),))</f>
        <v>Mực in</v>
      </c>
      <c r="E24" s="669" t="str">
        <f ca="1">IF(ROWS($1:9)&gt;COUNT(Dong9),"",OFFSET(TH!M$1,SMALL(Dong9,ROWS($1:9)),))</f>
        <v>1111</v>
      </c>
      <c r="F24" s="671">
        <f ca="1">IF(ROWS($1:9)&gt;COUNT(Dong9),"",OFFSET(TH!K$1,SMALL(Dong9,ROWS($1:9)),))</f>
        <v>3580000</v>
      </c>
      <c r="G24" s="671">
        <f t="shared" ca="1" si="0"/>
        <v>0</v>
      </c>
      <c r="H24" s="671">
        <f t="shared" ca="1" si="1"/>
        <v>0</v>
      </c>
      <c r="I24" s="671">
        <f t="shared" ca="1" si="2"/>
        <v>3580000</v>
      </c>
      <c r="J24" s="671">
        <f t="shared" ca="1" si="3"/>
        <v>0</v>
      </c>
      <c r="K24" s="671">
        <f t="shared" ca="1" si="4"/>
        <v>0</v>
      </c>
      <c r="L24" s="671">
        <f t="shared" ca="1" si="5"/>
        <v>0</v>
      </c>
      <c r="M24" s="671">
        <f t="shared" ca="1" si="6"/>
        <v>0</v>
      </c>
    </row>
    <row r="25" spans="1:13" ht="22.5" customHeight="1">
      <c r="A25" s="669">
        <f ca="1">IF(ROWS($1:10)&gt;COUNT(Dong9),"",OFFSET(TH!C$1,SMALL(Dong9,ROWS($1:10)),))</f>
        <v>41734</v>
      </c>
      <c r="B25" s="669" t="str">
        <f ca="1">IF(ROWS($1:10)&gt;COUNT(Dong9),"",OFFSET(TH!D$1,SMALL(Dong9,ROWS($1:10)),))</f>
        <v>VL/X</v>
      </c>
      <c r="C25" s="669">
        <f ca="1">IF(ROWS($1:10)&gt;COUNT(Dong9),"",OFFSET(TH!E$1,SMALL(Dong9,ROWS($1:10)),))</f>
        <v>41734</v>
      </c>
      <c r="D25" s="670" t="str">
        <f ca="1">IF(ROWS($1:10)&gt;COUNT(Dong9),"",OFFSET(TH!F$1,SMALL(Dong9,ROWS($1:10)),))</f>
        <v>Keo sữa Polymul</v>
      </c>
      <c r="E25" s="669" t="str">
        <f ca="1">IF(ROWS($1:10)&gt;COUNT(Dong9),"",OFFSET(TH!M$1,SMALL(Dong9,ROWS($1:10)),))</f>
        <v>1522</v>
      </c>
      <c r="F25" s="671">
        <f ca="1">IF(ROWS($1:10)&gt;COUNT(Dong9),"",OFFSET(TH!K$1,SMALL(Dong9,ROWS($1:10)),))</f>
        <v>875000</v>
      </c>
      <c r="G25" s="671">
        <f t="shared" ca="1" si="0"/>
        <v>0</v>
      </c>
      <c r="H25" s="671">
        <f t="shared" ca="1" si="1"/>
        <v>875000</v>
      </c>
      <c r="I25" s="671">
        <f t="shared" ca="1" si="2"/>
        <v>0</v>
      </c>
      <c r="J25" s="671">
        <f t="shared" ca="1" si="3"/>
        <v>0</v>
      </c>
      <c r="K25" s="671">
        <f t="shared" ca="1" si="4"/>
        <v>0</v>
      </c>
      <c r="L25" s="671">
        <f t="shared" ca="1" si="5"/>
        <v>0</v>
      </c>
      <c r="M25" s="671">
        <f t="shared" ca="1" si="6"/>
        <v>0</v>
      </c>
    </row>
    <row r="26" spans="1:13" ht="22.5" customHeight="1">
      <c r="A26" s="669">
        <f ca="1">IF(ROWS($1:11)&gt;COUNT(Dong9),"",OFFSET(TH!C$1,SMALL(Dong9,ROWS($1:11)),))</f>
        <v>41734</v>
      </c>
      <c r="B26" s="669" t="str">
        <f ca="1">IF(ROWS($1:11)&gt;COUNT(Dong9),"",OFFSET(TH!D$1,SMALL(Dong9,ROWS($1:11)),))</f>
        <v>VL/X</v>
      </c>
      <c r="C26" s="669">
        <f ca="1">IF(ROWS($1:11)&gt;COUNT(Dong9),"",OFFSET(TH!E$1,SMALL(Dong9,ROWS($1:11)),))</f>
        <v>41734</v>
      </c>
      <c r="D26" s="670" t="str">
        <f ca="1">IF(ROWS($1:11)&gt;COUNT(Dong9),"",OFFSET(TH!F$1,SMALL(Dong9,ROWS($1:11)),))</f>
        <v>Dây nylon</v>
      </c>
      <c r="E26" s="669" t="str">
        <f ca="1">IF(ROWS($1:11)&gt;COUNT(Dong9),"",OFFSET(TH!M$1,SMALL(Dong9,ROWS($1:11)),))</f>
        <v>1522</v>
      </c>
      <c r="F26" s="671">
        <f ca="1">IF(ROWS($1:11)&gt;COUNT(Dong9),"",OFFSET(TH!K$1,SMALL(Dong9,ROWS($1:11)),))</f>
        <v>984000</v>
      </c>
      <c r="G26" s="671">
        <f t="shared" ca="1" si="0"/>
        <v>0</v>
      </c>
      <c r="H26" s="671">
        <f t="shared" ca="1" si="1"/>
        <v>984000</v>
      </c>
      <c r="I26" s="671">
        <f t="shared" ca="1" si="2"/>
        <v>0</v>
      </c>
      <c r="J26" s="671">
        <f t="shared" ca="1" si="3"/>
        <v>0</v>
      </c>
      <c r="K26" s="671">
        <f t="shared" ca="1" si="4"/>
        <v>0</v>
      </c>
      <c r="L26" s="671">
        <f t="shared" ca="1" si="5"/>
        <v>0</v>
      </c>
      <c r="M26" s="671">
        <f t="shared" ca="1" si="6"/>
        <v>0</v>
      </c>
    </row>
    <row r="27" spans="1:13" ht="22.5" customHeight="1">
      <c r="A27" s="669">
        <f ca="1">IF(ROWS($1:12)&gt;COUNT(Dong9),"",OFFSET(TH!C$1,SMALL(Dong9,ROWS($1:12)),))</f>
        <v>41790</v>
      </c>
      <c r="B27" s="669" t="str">
        <f ca="1">IF(ROWS($1:12)&gt;COUNT(Dong9),"",OFFSET(TH!D$1,SMALL(Dong9,ROWS($1:12)),))</f>
        <v>VL/X</v>
      </c>
      <c r="C27" s="669">
        <f ca="1">IF(ROWS($1:12)&gt;COUNT(Dong9),"",OFFSET(TH!E$1,SMALL(Dong9,ROWS($1:12)),))</f>
        <v>41790</v>
      </c>
      <c r="D27" s="670" t="str">
        <f ca="1">IF(ROWS($1:12)&gt;COUNT(Dong9),"",OFFSET(TH!F$1,SMALL(Dong9,ROWS($1:12)),))</f>
        <v>Dây nylon</v>
      </c>
      <c r="E27" s="669" t="str">
        <f ca="1">IF(ROWS($1:12)&gt;COUNT(Dong9),"",OFFSET(TH!M$1,SMALL(Dong9,ROWS($1:12)),))</f>
        <v>1522</v>
      </c>
      <c r="F27" s="671">
        <f ca="1">IF(ROWS($1:12)&gt;COUNT(Dong9),"",OFFSET(TH!K$1,SMALL(Dong9,ROWS($1:12)),))</f>
        <v>1056000</v>
      </c>
      <c r="G27" s="671">
        <f t="shared" ca="1" si="0"/>
        <v>0</v>
      </c>
      <c r="H27" s="671">
        <f t="shared" ca="1" si="1"/>
        <v>1056000</v>
      </c>
      <c r="I27" s="671">
        <f t="shared" ca="1" si="2"/>
        <v>0</v>
      </c>
      <c r="J27" s="671">
        <f t="shared" ca="1" si="3"/>
        <v>0</v>
      </c>
      <c r="K27" s="671">
        <f t="shared" ca="1" si="4"/>
        <v>0</v>
      </c>
      <c r="L27" s="671">
        <f t="shared" ca="1" si="5"/>
        <v>0</v>
      </c>
      <c r="M27" s="671">
        <f t="shared" ca="1" si="6"/>
        <v>0</v>
      </c>
    </row>
    <row r="28" spans="1:13" ht="22.5" customHeight="1">
      <c r="A28" s="669">
        <f ca="1">IF(ROWS($1:13)&gt;COUNT(Dong9),"",OFFSET(TH!C$1,SMALL(Dong9,ROWS($1:13)),))</f>
        <v>41730</v>
      </c>
      <c r="B28" s="669" t="str">
        <f ca="1">IF(ROWS($1:13)&gt;COUNT(Dong9),"",OFFSET(TH!D$1,SMALL(Dong9,ROWS($1:13)),))</f>
        <v>NL/X</v>
      </c>
      <c r="C28" s="669">
        <f ca="1">IF(ROWS($1:13)&gt;COUNT(Dong9),"",OFFSET(TH!E$1,SMALL(Dong9,ROWS($1:13)),))</f>
        <v>41730</v>
      </c>
      <c r="D28" s="670" t="str">
        <f ca="1">IF(ROWS($1:13)&gt;COUNT(Dong9),"",OFFSET(TH!F$1,SMALL(Dong9,ROWS($1:13)),))</f>
        <v>Giấy tấm 5 lớp 140x176</v>
      </c>
      <c r="E28" s="669" t="str">
        <f ca="1">IF(ROWS($1:13)&gt;COUNT(Dong9),"",OFFSET(TH!M$1,SMALL(Dong9,ROWS($1:13)),))</f>
        <v>1521</v>
      </c>
      <c r="F28" s="671">
        <f ca="1">IF(ROWS($1:13)&gt;COUNT(Dong9),"",OFFSET(TH!K$1,SMALL(Dong9,ROWS($1:13)),))</f>
        <v>2059885</v>
      </c>
      <c r="G28" s="671">
        <f t="shared" ca="1" si="0"/>
        <v>2059885</v>
      </c>
      <c r="H28" s="671">
        <f t="shared" ca="1" si="1"/>
        <v>0</v>
      </c>
      <c r="I28" s="671">
        <f t="shared" ca="1" si="2"/>
        <v>0</v>
      </c>
      <c r="J28" s="671">
        <f t="shared" ca="1" si="3"/>
        <v>0</v>
      </c>
      <c r="K28" s="671">
        <f t="shared" ca="1" si="4"/>
        <v>0</v>
      </c>
      <c r="L28" s="671">
        <f t="shared" ca="1" si="5"/>
        <v>0</v>
      </c>
      <c r="M28" s="671">
        <f t="shared" ca="1" si="6"/>
        <v>0</v>
      </c>
    </row>
    <row r="29" spans="1:13" ht="22.5" customHeight="1">
      <c r="A29" s="669">
        <f ca="1">IF(ROWS($1:14)&gt;COUNT(Dong9),"",OFFSET(TH!C$1,SMALL(Dong9,ROWS($1:14)),))</f>
        <v>41730</v>
      </c>
      <c r="B29" s="669" t="str">
        <f ca="1">IF(ROWS($1:14)&gt;COUNT(Dong9),"",OFFSET(TH!D$1,SMALL(Dong9,ROWS($1:14)),))</f>
        <v>NL/X</v>
      </c>
      <c r="C29" s="669">
        <f ca="1">IF(ROWS($1:14)&gt;COUNT(Dong9),"",OFFSET(TH!E$1,SMALL(Dong9,ROWS($1:14)),))</f>
        <v>41730</v>
      </c>
      <c r="D29" s="670" t="str">
        <f ca="1">IF(ROWS($1:14)&gt;COUNT(Dong9),"",OFFSET(TH!F$1,SMALL(Dong9,ROWS($1:14)),))</f>
        <v>Giấy tấm 120x164</v>
      </c>
      <c r="E29" s="669" t="str">
        <f ca="1">IF(ROWS($1:14)&gt;COUNT(Dong9),"",OFFSET(TH!M$1,SMALL(Dong9,ROWS($1:14)),))</f>
        <v>1521</v>
      </c>
      <c r="F29" s="671">
        <f ca="1">IF(ROWS($1:14)&gt;COUNT(Dong9),"",OFFSET(TH!K$1,SMALL(Dong9,ROWS($1:14)),))</f>
        <v>3463600</v>
      </c>
      <c r="G29" s="671">
        <f t="shared" ca="1" si="0"/>
        <v>3463600</v>
      </c>
      <c r="H29" s="671">
        <f t="shared" ca="1" si="1"/>
        <v>0</v>
      </c>
      <c r="I29" s="671">
        <f t="shared" ca="1" si="2"/>
        <v>0</v>
      </c>
      <c r="J29" s="671">
        <f t="shared" ca="1" si="3"/>
        <v>0</v>
      </c>
      <c r="K29" s="671">
        <f t="shared" ca="1" si="4"/>
        <v>0</v>
      </c>
      <c r="L29" s="671">
        <f t="shared" ca="1" si="5"/>
        <v>0</v>
      </c>
      <c r="M29" s="671">
        <f t="shared" ca="1" si="6"/>
        <v>0</v>
      </c>
    </row>
    <row r="30" spans="1:13" ht="22.5" customHeight="1">
      <c r="A30" s="669">
        <f ca="1">IF(ROWS($1:15)&gt;COUNT(Dong9),"",OFFSET(TH!C$1,SMALL(Dong9,ROWS($1:15)),))</f>
        <v>41737</v>
      </c>
      <c r="B30" s="669" t="str">
        <f ca="1">IF(ROWS($1:15)&gt;COUNT(Dong9),"",OFFSET(TH!D$1,SMALL(Dong9,ROWS($1:15)),))</f>
        <v>NL/X</v>
      </c>
      <c r="C30" s="669">
        <f ca="1">IF(ROWS($1:15)&gt;COUNT(Dong9),"",OFFSET(TH!E$1,SMALL(Dong9,ROWS($1:15)),))</f>
        <v>41737</v>
      </c>
      <c r="D30" s="670" t="str">
        <f ca="1">IF(ROWS($1:15)&gt;COUNT(Dong9),"",OFFSET(TH!F$1,SMALL(Dong9,ROWS($1:15)),))</f>
        <v>Giấy tấm 135x117</v>
      </c>
      <c r="E30" s="669" t="str">
        <f ca="1">IF(ROWS($1:15)&gt;COUNT(Dong9),"",OFFSET(TH!M$1,SMALL(Dong9,ROWS($1:15)),))</f>
        <v>1521</v>
      </c>
      <c r="F30" s="671">
        <f ca="1">IF(ROWS($1:15)&gt;COUNT(Dong9),"",OFFSET(TH!K$1,SMALL(Dong9,ROWS($1:15)),))</f>
        <v>6595920</v>
      </c>
      <c r="G30" s="671">
        <f t="shared" ca="1" si="0"/>
        <v>6595920</v>
      </c>
      <c r="H30" s="671">
        <f t="shared" ca="1" si="1"/>
        <v>0</v>
      </c>
      <c r="I30" s="671">
        <f t="shared" ca="1" si="2"/>
        <v>0</v>
      </c>
      <c r="J30" s="671">
        <f t="shared" ca="1" si="3"/>
        <v>0</v>
      </c>
      <c r="K30" s="671">
        <f t="shared" ca="1" si="4"/>
        <v>0</v>
      </c>
      <c r="L30" s="671">
        <f t="shared" ca="1" si="5"/>
        <v>0</v>
      </c>
      <c r="M30" s="671">
        <f t="shared" ca="1" si="6"/>
        <v>0</v>
      </c>
    </row>
    <row r="31" spans="1:13" ht="22.5" customHeight="1">
      <c r="A31" s="669">
        <f ca="1">IF(ROWS($1:16)&gt;COUNT(Dong9),"",OFFSET(TH!C$1,SMALL(Dong9,ROWS($1:16)),))</f>
        <v>41737</v>
      </c>
      <c r="B31" s="669" t="str">
        <f ca="1">IF(ROWS($1:16)&gt;COUNT(Dong9),"",OFFSET(TH!D$1,SMALL(Dong9,ROWS($1:16)),))</f>
        <v>NL/X</v>
      </c>
      <c r="C31" s="669">
        <f ca="1">IF(ROWS($1:16)&gt;COUNT(Dong9),"",OFFSET(TH!E$1,SMALL(Dong9,ROWS($1:16)),))</f>
        <v>41737</v>
      </c>
      <c r="D31" s="670" t="str">
        <f ca="1">IF(ROWS($1:16)&gt;COUNT(Dong9),"",OFFSET(TH!F$1,SMALL(Dong9,ROWS($1:16)),))</f>
        <v>Giấy tấm 160x140</v>
      </c>
      <c r="E31" s="669" t="str">
        <f ca="1">IF(ROWS($1:16)&gt;COUNT(Dong9),"",OFFSET(TH!M$1,SMALL(Dong9,ROWS($1:16)),))</f>
        <v>1521</v>
      </c>
      <c r="F31" s="671">
        <f ca="1">IF(ROWS($1:16)&gt;COUNT(Dong9),"",OFFSET(TH!K$1,SMALL(Dong9,ROWS($1:16)),))</f>
        <v>2483712</v>
      </c>
      <c r="G31" s="671">
        <f t="shared" ca="1" si="0"/>
        <v>2483712</v>
      </c>
      <c r="H31" s="671">
        <f t="shared" ca="1" si="1"/>
        <v>0</v>
      </c>
      <c r="I31" s="671">
        <f t="shared" ca="1" si="2"/>
        <v>0</v>
      </c>
      <c r="J31" s="671">
        <f t="shared" ca="1" si="3"/>
        <v>0</v>
      </c>
      <c r="K31" s="671">
        <f t="shared" ca="1" si="4"/>
        <v>0</v>
      </c>
      <c r="L31" s="671">
        <f t="shared" ca="1" si="5"/>
        <v>0</v>
      </c>
      <c r="M31" s="671">
        <f t="shared" ca="1" si="6"/>
        <v>0</v>
      </c>
    </row>
    <row r="32" spans="1:13" ht="22.5" customHeight="1">
      <c r="A32" s="669">
        <f ca="1">IF(ROWS($1:17)&gt;COUNT(Dong9),"",OFFSET(TH!C$1,SMALL(Dong9,ROWS($1:17)),))</f>
        <v>41741</v>
      </c>
      <c r="B32" s="669" t="str">
        <f ca="1">IF(ROWS($1:17)&gt;COUNT(Dong9),"",OFFSET(TH!D$1,SMALL(Dong9,ROWS($1:17)),))</f>
        <v>NL/X</v>
      </c>
      <c r="C32" s="669">
        <f ca="1">IF(ROWS($1:17)&gt;COUNT(Dong9),"",OFFSET(TH!E$1,SMALL(Dong9,ROWS($1:17)),))</f>
        <v>41741</v>
      </c>
      <c r="D32" s="670" t="str">
        <f ca="1">IF(ROWS($1:17)&gt;COUNT(Dong9),"",OFFSET(TH!F$1,SMALL(Dong9,ROWS($1:17)),))</f>
        <v>Giấy tấm 115x148</v>
      </c>
      <c r="E32" s="669" t="str">
        <f ca="1">IF(ROWS($1:17)&gt;COUNT(Dong9),"",OFFSET(TH!M$1,SMALL(Dong9,ROWS($1:17)),))</f>
        <v>1521</v>
      </c>
      <c r="F32" s="671">
        <f ca="1">IF(ROWS($1:17)&gt;COUNT(Dong9),"",OFFSET(TH!K$1,SMALL(Dong9,ROWS($1:17)),))</f>
        <v>748900</v>
      </c>
      <c r="G32" s="671">
        <f t="shared" ca="1" si="0"/>
        <v>748900</v>
      </c>
      <c r="H32" s="671">
        <f t="shared" ca="1" si="1"/>
        <v>0</v>
      </c>
      <c r="I32" s="671">
        <f t="shared" ca="1" si="2"/>
        <v>0</v>
      </c>
      <c r="J32" s="671">
        <f t="shared" ca="1" si="3"/>
        <v>0</v>
      </c>
      <c r="K32" s="671">
        <f t="shared" ca="1" si="4"/>
        <v>0</v>
      </c>
      <c r="L32" s="671">
        <f t="shared" ca="1" si="5"/>
        <v>0</v>
      </c>
      <c r="M32" s="671">
        <f t="shared" ca="1" si="6"/>
        <v>0</v>
      </c>
    </row>
    <row r="33" spans="1:13" ht="22.5" customHeight="1">
      <c r="A33" s="669">
        <f ca="1">IF(ROWS($1:18)&gt;COUNT(Dong9),"",OFFSET(TH!C$1,SMALL(Dong9,ROWS($1:18)),))</f>
        <v>41743</v>
      </c>
      <c r="B33" s="669" t="str">
        <f ca="1">IF(ROWS($1:18)&gt;COUNT(Dong9),"",OFFSET(TH!D$1,SMALL(Dong9,ROWS($1:18)),))</f>
        <v>NL/X</v>
      </c>
      <c r="C33" s="669">
        <f ca="1">IF(ROWS($1:18)&gt;COUNT(Dong9),"",OFFSET(TH!E$1,SMALL(Dong9,ROWS($1:18)),))</f>
        <v>41743</v>
      </c>
      <c r="D33" s="670" t="str">
        <f ca="1">IF(ROWS($1:18)&gt;COUNT(Dong9),"",OFFSET(TH!F$1,SMALL(Dong9,ROWS($1:18)),))</f>
        <v>Giấy tấm 135x225</v>
      </c>
      <c r="E33" s="669" t="str">
        <f ca="1">IF(ROWS($1:18)&gt;COUNT(Dong9),"",OFFSET(TH!M$1,SMALL(Dong9,ROWS($1:18)),))</f>
        <v>1521</v>
      </c>
      <c r="F33" s="671">
        <f ca="1">IF(ROWS($1:18)&gt;COUNT(Dong9),"",OFFSET(TH!K$1,SMALL(Dong9,ROWS($1:18)),))</f>
        <v>7047200</v>
      </c>
      <c r="G33" s="671">
        <f t="shared" ca="1" si="0"/>
        <v>7047200</v>
      </c>
      <c r="H33" s="671">
        <f t="shared" ca="1" si="1"/>
        <v>0</v>
      </c>
      <c r="I33" s="671">
        <f t="shared" ca="1" si="2"/>
        <v>0</v>
      </c>
      <c r="J33" s="671">
        <f t="shared" ca="1" si="3"/>
        <v>0</v>
      </c>
      <c r="K33" s="671">
        <f t="shared" ca="1" si="4"/>
        <v>0</v>
      </c>
      <c r="L33" s="671">
        <f t="shared" ca="1" si="5"/>
        <v>0</v>
      </c>
      <c r="M33" s="671">
        <f t="shared" ca="1" si="6"/>
        <v>0</v>
      </c>
    </row>
    <row r="34" spans="1:13" ht="22.5" customHeight="1">
      <c r="A34" s="669"/>
      <c r="B34" s="672"/>
      <c r="C34" s="669"/>
      <c r="D34" s="673"/>
      <c r="E34" s="674"/>
      <c r="F34" s="675"/>
      <c r="G34" s="675"/>
      <c r="H34" s="675"/>
      <c r="I34" s="675"/>
      <c r="J34" s="675"/>
      <c r="K34" s="675"/>
      <c r="L34" s="675"/>
      <c r="M34" s="675"/>
    </row>
    <row r="35" spans="1:13" ht="22.5" customHeight="1">
      <c r="A35" s="669"/>
      <c r="B35" s="672"/>
      <c r="C35" s="669"/>
      <c r="D35" s="667" t="s">
        <v>133</v>
      </c>
      <c r="E35" s="666" t="s">
        <v>19</v>
      </c>
      <c r="F35" s="668">
        <f t="shared" ref="F35:M35" ca="1" si="7">SUM(F15:F34)</f>
        <v>79734217</v>
      </c>
      <c r="G35" s="668">
        <f t="shared" ca="1" si="7"/>
        <v>22399217</v>
      </c>
      <c r="H35" s="668">
        <f t="shared" ca="1" si="7"/>
        <v>2915000</v>
      </c>
      <c r="I35" s="668">
        <f t="shared" ca="1" si="7"/>
        <v>20690000</v>
      </c>
      <c r="J35" s="668">
        <f t="shared" ca="1" si="7"/>
        <v>15480000</v>
      </c>
      <c r="K35" s="668">
        <f t="shared" ca="1" si="7"/>
        <v>0</v>
      </c>
      <c r="L35" s="668">
        <f t="shared" ca="1" si="7"/>
        <v>0</v>
      </c>
      <c r="M35" s="668">
        <f t="shared" ca="1" si="7"/>
        <v>18250000</v>
      </c>
    </row>
    <row r="36" spans="1:13" ht="22.5" customHeight="1">
      <c r="A36" s="676"/>
      <c r="B36" s="674"/>
      <c r="C36" s="676"/>
      <c r="D36" s="677" t="s">
        <v>388</v>
      </c>
      <c r="E36" s="672"/>
      <c r="F36" s="678">
        <f ca="1">SUM(G36:M36)</f>
        <v>79734217</v>
      </c>
      <c r="G36" s="678">
        <f t="shared" ref="G36:M36" ca="1" si="8">G35</f>
        <v>22399217</v>
      </c>
      <c r="H36" s="678">
        <f t="shared" ca="1" si="8"/>
        <v>2915000</v>
      </c>
      <c r="I36" s="678">
        <f t="shared" ref="I36" ca="1" si="9">I35</f>
        <v>20690000</v>
      </c>
      <c r="J36" s="678">
        <f t="shared" ca="1" si="8"/>
        <v>15480000</v>
      </c>
      <c r="K36" s="678">
        <f t="shared" ca="1" si="8"/>
        <v>0</v>
      </c>
      <c r="L36" s="678">
        <f t="shared" ref="L36" ca="1" si="10">L35</f>
        <v>0</v>
      </c>
      <c r="M36" s="678">
        <f t="shared" ca="1" si="8"/>
        <v>18250000</v>
      </c>
    </row>
    <row r="37" spans="1:13" ht="22.5" customHeight="1">
      <c r="A37" s="679"/>
      <c r="B37" s="679"/>
      <c r="C37" s="679"/>
      <c r="D37" s="680" t="s">
        <v>10</v>
      </c>
      <c r="E37" s="679" t="s">
        <v>19</v>
      </c>
      <c r="F37" s="681">
        <f t="shared" ref="F37:M37" ca="1" si="11">F15+F35-F36</f>
        <v>0</v>
      </c>
      <c r="G37" s="681">
        <f t="shared" ca="1" si="11"/>
        <v>0</v>
      </c>
      <c r="H37" s="681">
        <f t="shared" ca="1" si="11"/>
        <v>0</v>
      </c>
      <c r="I37" s="681">
        <f t="shared" ca="1" si="11"/>
        <v>0</v>
      </c>
      <c r="J37" s="681">
        <f t="shared" ca="1" si="11"/>
        <v>0</v>
      </c>
      <c r="K37" s="681">
        <f t="shared" ca="1" si="11"/>
        <v>0</v>
      </c>
      <c r="L37" s="681">
        <f t="shared" ca="1" si="11"/>
        <v>0</v>
      </c>
      <c r="M37" s="681">
        <f t="shared" ca="1" si="11"/>
        <v>0</v>
      </c>
    </row>
    <row r="39" spans="1:13">
      <c r="B39" s="682"/>
      <c r="C39" s="662" t="s">
        <v>389</v>
      </c>
    </row>
    <row r="40" spans="1:13">
      <c r="C40" s="662" t="str">
        <f ca="1">"Ngày mở sổ: "&amp;"01/"&amp;MONTH(A16)&amp;"/ "&amp;YEAR(A16)</f>
        <v>Ngày mở sổ: 01/4/ 2014</v>
      </c>
    </row>
    <row r="41" spans="1:13">
      <c r="E41" s="661"/>
      <c r="F41" s="661"/>
      <c r="G41" s="661"/>
      <c r="H41" s="661"/>
      <c r="I41" s="661"/>
      <c r="J41" s="116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63"/>
      <c r="L41" s="1163"/>
      <c r="M41" s="1163"/>
    </row>
    <row r="42" spans="1:13">
      <c r="B42" s="661"/>
      <c r="C42" s="658" t="s">
        <v>11</v>
      </c>
      <c r="D42" s="661"/>
      <c r="E42" s="661"/>
      <c r="F42" s="661"/>
      <c r="G42" s="661"/>
      <c r="H42" s="661"/>
      <c r="I42" s="661"/>
      <c r="J42" s="1163" t="s">
        <v>12</v>
      </c>
      <c r="K42" s="1163"/>
      <c r="L42" s="1163"/>
      <c r="M42" s="1163"/>
    </row>
    <row r="43" spans="1:13">
      <c r="B43" s="661"/>
      <c r="C43" s="658" t="s">
        <v>13</v>
      </c>
      <c r="D43" s="661"/>
      <c r="E43" s="661"/>
      <c r="F43" s="661"/>
      <c r="G43" s="661"/>
      <c r="H43" s="661"/>
      <c r="I43" s="661"/>
      <c r="J43" s="661"/>
      <c r="K43" s="661" t="s">
        <v>13</v>
      </c>
      <c r="L43" s="66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58" customWidth="1"/>
    <col min="2" max="2" width="8.85546875" style="658" customWidth="1"/>
    <col min="3" max="3" width="10.5703125" style="658" customWidth="1"/>
    <col min="4" max="4" width="31.85546875" style="658" customWidth="1"/>
    <col min="5" max="5" width="10.28515625" style="658" customWidth="1"/>
    <col min="6" max="6" width="15.28515625" style="658" customWidth="1"/>
    <col min="7" max="7" width="9.42578125" style="658" customWidth="1"/>
    <col min="8" max="8" width="15.140625" style="658" customWidth="1"/>
    <col min="9" max="9" width="9.140625" style="658"/>
    <col min="10" max="10" width="16.28515625" style="658" customWidth="1"/>
    <col min="11" max="11" width="6" style="658" customWidth="1"/>
    <col min="12" max="16384" width="9.140625" style="658"/>
  </cols>
  <sheetData>
    <row r="2" spans="1:13">
      <c r="A2" s="657" t="str">
        <f>'154'!A2</f>
        <v>Đơn vị: CÔNG TY TNHH SX TM KIM DUNG PHÁT</v>
      </c>
      <c r="F2" s="659"/>
      <c r="G2" s="1168" t="s">
        <v>376</v>
      </c>
      <c r="H2" s="1168"/>
      <c r="I2" s="1168"/>
      <c r="J2" s="1168"/>
    </row>
    <row r="3" spans="1:13" ht="15" customHeight="1">
      <c r="A3" s="687" t="str">
        <f>'154'!A3</f>
        <v>Địa chỉ: 1A227/1 Ấp 1, Phạm Văn Hai, Bình Chánh, TPHCM</v>
      </c>
      <c r="G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71"/>
      <c r="I3" s="1171"/>
      <c r="J3" s="1171"/>
    </row>
    <row r="4" spans="1:13">
      <c r="G4" s="1171"/>
      <c r="H4" s="1171"/>
      <c r="I4" s="1171"/>
      <c r="J4" s="1171"/>
    </row>
    <row r="5" spans="1:13" ht="27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660" t="s">
        <v>175</v>
      </c>
      <c r="L5" s="592">
        <f>IF(L13="Quý I",1,IF(L13="Quý II",4,IF(L13="Quý III",7,IF(L13="Quý IV",10,""))))</f>
        <v>4</v>
      </c>
      <c r="M5" s="592">
        <f>IF(L13="Quý I",3,IF(L13="Quý II",6,IF(L13="Quý III",9,IF(L13="Quý IV",12,""))))</f>
        <v>6</v>
      </c>
    </row>
    <row r="6" spans="1:13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</row>
    <row r="7" spans="1:13">
      <c r="B7" s="661"/>
      <c r="C7" s="661"/>
      <c r="D7" s="661"/>
      <c r="E7" s="662" t="s">
        <v>390</v>
      </c>
      <c r="G7" s="661"/>
      <c r="H7" s="661"/>
      <c r="I7" s="661"/>
      <c r="J7" s="661"/>
    </row>
    <row r="8" spans="1:13">
      <c r="B8" s="661"/>
      <c r="C8" s="661"/>
      <c r="D8" s="661"/>
      <c r="E8" s="662" t="s">
        <v>380</v>
      </c>
      <c r="G8" s="661"/>
      <c r="H8" s="661"/>
      <c r="I8" s="661"/>
      <c r="J8" s="661"/>
    </row>
    <row r="9" spans="1:13">
      <c r="B9" s="663"/>
      <c r="C9" s="663"/>
      <c r="D9" s="663"/>
      <c r="E9" s="662" t="s">
        <v>381</v>
      </c>
      <c r="G9" s="663"/>
      <c r="H9" s="663"/>
      <c r="I9" s="663"/>
      <c r="J9" s="663"/>
    </row>
    <row r="10" spans="1:13" ht="9.75" customHeight="1">
      <c r="C10" s="1167"/>
      <c r="D10" s="1167"/>
      <c r="E10" s="1167"/>
      <c r="F10" s="1167"/>
      <c r="G10" s="1167"/>
      <c r="H10" s="1167"/>
      <c r="I10" s="1167"/>
      <c r="J10" s="1167"/>
    </row>
    <row r="11" spans="1:13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391</v>
      </c>
      <c r="G11" s="1165"/>
      <c r="H11" s="1165"/>
      <c r="I11" s="1165"/>
      <c r="J11" s="1165"/>
    </row>
    <row r="12" spans="1:13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</row>
    <row r="13" spans="1:13" ht="30.75" customHeight="1" thickBot="1">
      <c r="A13" s="1164"/>
      <c r="B13" s="1166"/>
      <c r="C13" s="1166"/>
      <c r="D13" s="1164"/>
      <c r="E13" s="1164"/>
      <c r="F13" s="1166"/>
      <c r="G13" s="664">
        <v>154</v>
      </c>
      <c r="H13" s="664">
        <v>155</v>
      </c>
      <c r="I13" s="664">
        <v>156</v>
      </c>
      <c r="J13" s="664">
        <v>157</v>
      </c>
      <c r="L13" s="686" t="s">
        <v>348</v>
      </c>
    </row>
    <row r="14" spans="1:13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</row>
    <row r="15" spans="1:13" ht="20.2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</row>
    <row r="16" spans="1:13" ht="20.25" customHeight="1">
      <c r="A16" s="669">
        <f ca="1">IF(ROWS($1:1)&gt;COUNT(Dong8),"",OFFSET(TH!C$1,SMALL(Dong8,ROWS($1:1)),))</f>
        <v>41730</v>
      </c>
      <c r="B16" s="669" t="str">
        <f ca="1">IF(ROWS($1:1)&gt;COUNT(Dong8),"",OFFSET(TH!D$1,SMALL(Dong8,ROWS($1:1)),))</f>
        <v>TP/X</v>
      </c>
      <c r="C16" s="669">
        <f ca="1">IF(ROWS($1:1)&gt;COUNT(Dong8),"",OFFSET(TH!E$1,SMALL(Dong8,ROWS($1:1)),))</f>
        <v>41730</v>
      </c>
      <c r="D16" s="670" t="str">
        <f ca="1">IF(ROWS($1:1)&gt;COUNT(Dong8),"",OFFSET(TH!F$1,SMALL(Dong8,ROWS($1:1)),))</f>
        <v>Thùng (49,5x38,5x32,5)</v>
      </c>
      <c r="E16" s="669" t="str">
        <f ca="1">IF(ROWS($1:1)&gt;COUNT(Dong8),"",OFFSET(TH!M$1,SMALL(Dong8,ROWS($1:1)),))</f>
        <v>155</v>
      </c>
      <c r="F16" s="671">
        <f ca="1">IF(ROWS($1:1)&gt;COUNT(Dong8),"",OFFSET(TH!K$1,SMALL(Dong8,ROWS($1:1)),))</f>
        <v>3808747</v>
      </c>
      <c r="G16" s="671">
        <f ca="1">IF($E16="154",$F16,0)</f>
        <v>0</v>
      </c>
      <c r="H16" s="671">
        <f ca="1">IF($E16="155",$F16,0)</f>
        <v>3808747</v>
      </c>
      <c r="I16" s="671">
        <f ca="1">IF($E16="156",$F16,0)</f>
        <v>0</v>
      </c>
      <c r="J16" s="671">
        <f ca="1">IF($E16="157",$F16,0)</f>
        <v>0</v>
      </c>
    </row>
    <row r="17" spans="1:10" ht="20.25" customHeight="1">
      <c r="A17" s="669">
        <f ca="1">IF(ROWS($1:2)&gt;COUNT(Dong8),"",OFFSET(TH!C$1,SMALL(Dong8,ROWS($1:2)),))</f>
        <v>41730</v>
      </c>
      <c r="B17" s="669" t="str">
        <f ca="1">IF(ROWS($1:2)&gt;COUNT(Dong8),"",OFFSET(TH!D$1,SMALL(Dong8,ROWS($1:2)),))</f>
        <v>TP/X</v>
      </c>
      <c r="C17" s="669">
        <f ca="1">IF(ROWS($1:2)&gt;COUNT(Dong8),"",OFFSET(TH!E$1,SMALL(Dong8,ROWS($1:2)),))</f>
        <v>41730</v>
      </c>
      <c r="D17" s="670" t="str">
        <f ca="1">IF(ROWS($1:2)&gt;COUNT(Dong8),"",OFFSET(TH!F$1,SMALL(Dong8,ROWS($1:2)),))</f>
        <v>Thùng (32,5x23,5x16)</v>
      </c>
      <c r="E17" s="669" t="str">
        <f ca="1">IF(ROWS($1:2)&gt;COUNT(Dong8),"",OFFSET(TH!M$1,SMALL(Dong8,ROWS($1:2)),))</f>
        <v>155</v>
      </c>
      <c r="F17" s="671">
        <f ca="1">IF(ROWS($1:2)&gt;COUNT(Dong8),"",OFFSET(TH!K$1,SMALL(Dong8,ROWS($1:2)),))</f>
        <v>1976980</v>
      </c>
      <c r="G17" s="671">
        <f t="shared" ref="G17:G20" ca="1" si="0">IF($E17="154",$F17,0)</f>
        <v>0</v>
      </c>
      <c r="H17" s="671">
        <f t="shared" ref="H17:H20" ca="1" si="1">IF($E17="155",$F17,0)</f>
        <v>1976980</v>
      </c>
      <c r="I17" s="671">
        <f t="shared" ref="I17:I20" ca="1" si="2">IF($E17="156",$F17,0)</f>
        <v>0</v>
      </c>
      <c r="J17" s="671">
        <f t="shared" ref="J17:J20" ca="1" si="3">IF($E17="157",$F17,0)</f>
        <v>0</v>
      </c>
    </row>
    <row r="18" spans="1:10" ht="20.25" customHeight="1">
      <c r="A18" s="669">
        <f ca="1">IF(ROWS($1:3)&gt;COUNT(Dong8),"",OFFSET(TH!C$1,SMALL(Dong8,ROWS($1:3)),))</f>
        <v>41730</v>
      </c>
      <c r="B18" s="669" t="str">
        <f ca="1">IF(ROWS($1:3)&gt;COUNT(Dong8),"",OFFSET(TH!D$1,SMALL(Dong8,ROWS($1:3)),))</f>
        <v>TP/X</v>
      </c>
      <c r="C18" s="669">
        <f ca="1">IF(ROWS($1:3)&gt;COUNT(Dong8),"",OFFSET(TH!E$1,SMALL(Dong8,ROWS($1:3)),))</f>
        <v>41730</v>
      </c>
      <c r="D18" s="670" t="str">
        <f ca="1">IF(ROWS($1:3)&gt;COUNT(Dong8),"",OFFSET(TH!F$1,SMALL(Dong8,ROWS($1:3)),))</f>
        <v>Thùng (41x31x25,5)</v>
      </c>
      <c r="E18" s="669" t="str">
        <f ca="1">IF(ROWS($1:3)&gt;COUNT(Dong8),"",OFFSET(TH!M$1,SMALL(Dong8,ROWS($1:3)),))</f>
        <v>155</v>
      </c>
      <c r="F18" s="671">
        <f ca="1">IF(ROWS($1:3)&gt;COUNT(Dong8),"",OFFSET(TH!K$1,SMALL(Dong8,ROWS($1:3)),))</f>
        <v>3888441</v>
      </c>
      <c r="G18" s="671">
        <f t="shared" ca="1" si="0"/>
        <v>0</v>
      </c>
      <c r="H18" s="671">
        <f t="shared" ca="1" si="1"/>
        <v>3888441</v>
      </c>
      <c r="I18" s="671">
        <f t="shared" ca="1" si="2"/>
        <v>0</v>
      </c>
      <c r="J18" s="671">
        <f t="shared" ca="1" si="3"/>
        <v>0</v>
      </c>
    </row>
    <row r="19" spans="1:10" ht="20.25" customHeight="1">
      <c r="A19" s="669">
        <f ca="1">IF(ROWS($1:4)&gt;COUNT(Dong8),"",OFFSET(TH!C$1,SMALL(Dong8,ROWS($1:4)),))</f>
        <v>41730</v>
      </c>
      <c r="B19" s="669" t="str">
        <f ca="1">IF(ROWS($1:4)&gt;COUNT(Dong8),"",OFFSET(TH!D$1,SMALL(Dong8,ROWS($1:4)),))</f>
        <v>TP/X</v>
      </c>
      <c r="C19" s="669">
        <f ca="1">IF(ROWS($1:4)&gt;COUNT(Dong8),"",OFFSET(TH!E$1,SMALL(Dong8,ROWS($1:4)),))</f>
        <v>41730</v>
      </c>
      <c r="D19" s="670" t="str">
        <f ca="1">IF(ROWS($1:4)&gt;COUNT(Dong8),"",OFFSET(TH!F$1,SMALL(Dong8,ROWS($1:4)),))</f>
        <v>Thùng (43x27,5x33)</v>
      </c>
      <c r="E19" s="669" t="str">
        <f ca="1">IF(ROWS($1:4)&gt;COUNT(Dong8),"",OFFSET(TH!M$1,SMALL(Dong8,ROWS($1:4)),))</f>
        <v>155</v>
      </c>
      <c r="F19" s="671">
        <f ca="1">IF(ROWS($1:4)&gt;COUNT(Dong8),"",OFFSET(TH!K$1,SMALL(Dong8,ROWS($1:4)),))</f>
        <v>3708789</v>
      </c>
      <c r="G19" s="671">
        <f t="shared" ca="1" si="0"/>
        <v>0</v>
      </c>
      <c r="H19" s="671">
        <f t="shared" ca="1" si="1"/>
        <v>3708789</v>
      </c>
      <c r="I19" s="671">
        <f t="shared" ca="1" si="2"/>
        <v>0</v>
      </c>
      <c r="J19" s="671">
        <f t="shared" ca="1" si="3"/>
        <v>0</v>
      </c>
    </row>
    <row r="20" spans="1:10" ht="20.25" customHeight="1">
      <c r="A20" s="669">
        <f ca="1">IF(ROWS($1:5)&gt;COUNT(Dong8),"",OFFSET(TH!C$1,SMALL(Dong8,ROWS($1:5)),))</f>
        <v>41730</v>
      </c>
      <c r="B20" s="669" t="str">
        <f ca="1">IF(ROWS($1:5)&gt;COUNT(Dong8),"",OFFSET(TH!D$1,SMALL(Dong8,ROWS($1:5)),))</f>
        <v>TP/X</v>
      </c>
      <c r="C20" s="669">
        <f ca="1">IF(ROWS($1:5)&gt;COUNT(Dong8),"",OFFSET(TH!E$1,SMALL(Dong8,ROWS($1:5)),))</f>
        <v>41730</v>
      </c>
      <c r="D20" s="670" t="str">
        <f ca="1">IF(ROWS($1:5)&gt;COUNT(Dong8),"",OFFSET(TH!F$1,SMALL(Dong8,ROWS($1:5)),))</f>
        <v>Thùng (40x33x51,5)</v>
      </c>
      <c r="E20" s="669" t="str">
        <f ca="1">IF(ROWS($1:5)&gt;COUNT(Dong8),"",OFFSET(TH!M$1,SMALL(Dong8,ROWS($1:5)),))</f>
        <v>155</v>
      </c>
      <c r="F20" s="671">
        <f ca="1">IF(ROWS($1:5)&gt;COUNT(Dong8),"",OFFSET(TH!K$1,SMALL(Dong8,ROWS($1:5)),))</f>
        <v>3580888</v>
      </c>
      <c r="G20" s="671">
        <f t="shared" ca="1" si="0"/>
        <v>0</v>
      </c>
      <c r="H20" s="671">
        <f t="shared" ca="1" si="1"/>
        <v>3580888</v>
      </c>
      <c r="I20" s="671">
        <f t="shared" ca="1" si="2"/>
        <v>0</v>
      </c>
      <c r="J20" s="671">
        <f t="shared" ca="1" si="3"/>
        <v>0</v>
      </c>
    </row>
    <row r="21" spans="1:10" ht="20.25" customHeight="1">
      <c r="A21" s="669"/>
      <c r="B21" s="672"/>
      <c r="C21" s="669"/>
      <c r="D21" s="673"/>
      <c r="E21" s="674"/>
      <c r="F21" s="675"/>
      <c r="G21" s="675"/>
      <c r="H21" s="675"/>
      <c r="I21" s="675"/>
      <c r="J21" s="675"/>
    </row>
    <row r="22" spans="1:10" ht="20.25" customHeight="1">
      <c r="A22" s="669"/>
      <c r="B22" s="672"/>
      <c r="C22" s="669"/>
      <c r="D22" s="667" t="s">
        <v>133</v>
      </c>
      <c r="E22" s="666" t="s">
        <v>19</v>
      </c>
      <c r="F22" s="668">
        <f ca="1">SUM(F15:F21)</f>
        <v>16963845</v>
      </c>
      <c r="G22" s="668">
        <f ca="1">SUM(G15:G21)</f>
        <v>0</v>
      </c>
      <c r="H22" s="668">
        <f ca="1">SUM(H15:H21)</f>
        <v>16963845</v>
      </c>
      <c r="I22" s="668">
        <f ca="1">SUM(I15:I21)</f>
        <v>0</v>
      </c>
      <c r="J22" s="668">
        <f ca="1">SUM(J15:J21)</f>
        <v>0</v>
      </c>
    </row>
    <row r="23" spans="1:10" ht="20.25" customHeight="1">
      <c r="A23" s="676"/>
      <c r="B23" s="674"/>
      <c r="C23" s="676"/>
      <c r="D23" s="677" t="s">
        <v>392</v>
      </c>
      <c r="E23" s="672"/>
      <c r="F23" s="678">
        <f ca="1">SUM(G23:J23)</f>
        <v>16963845</v>
      </c>
      <c r="G23" s="678">
        <f ca="1">G22</f>
        <v>0</v>
      </c>
      <c r="H23" s="678">
        <f ca="1">H22</f>
        <v>16963845</v>
      </c>
      <c r="I23" s="678">
        <f ca="1">I22</f>
        <v>0</v>
      </c>
      <c r="J23" s="678">
        <f ca="1">J22</f>
        <v>0</v>
      </c>
    </row>
    <row r="24" spans="1:10" ht="20.25" customHeight="1">
      <c r="A24" s="679"/>
      <c r="B24" s="679"/>
      <c r="C24" s="679"/>
      <c r="D24" s="680" t="s">
        <v>10</v>
      </c>
      <c r="E24" s="679" t="s">
        <v>19</v>
      </c>
      <c r="F24" s="681">
        <f ca="1">F15+F22-F23</f>
        <v>0</v>
      </c>
      <c r="G24" s="681">
        <f ca="1">G15+G22-G23</f>
        <v>0</v>
      </c>
      <c r="H24" s="681">
        <f ca="1">H15+H22-H23</f>
        <v>0</v>
      </c>
      <c r="I24" s="681">
        <f ca="1">I15+I22-I23</f>
        <v>0</v>
      </c>
      <c r="J24" s="681">
        <f ca="1">J15+J22-J23</f>
        <v>0</v>
      </c>
    </row>
    <row r="26" spans="1:10">
      <c r="B26" s="682"/>
      <c r="C26" s="662" t="s">
        <v>393</v>
      </c>
    </row>
    <row r="27" spans="1:10">
      <c r="C27" s="662" t="str">
        <f ca="1">"- Ngày mở sổ: "&amp;"01/"&amp;MONTH(A16)&amp;"/ "&amp;YEAR(A16)</f>
        <v>- Ngày mở sổ: 01/4/ 2014</v>
      </c>
    </row>
    <row r="28" spans="1:10">
      <c r="E28" s="661"/>
      <c r="F28" s="661"/>
      <c r="G28" s="661"/>
      <c r="H28" s="661"/>
      <c r="I28" s="116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1163"/>
    </row>
    <row r="29" spans="1:10">
      <c r="B29" s="661"/>
      <c r="C29" s="658" t="s">
        <v>11</v>
      </c>
      <c r="D29" s="661"/>
      <c r="E29" s="661"/>
      <c r="F29" s="661"/>
      <c r="G29" s="661"/>
      <c r="H29" s="661"/>
      <c r="I29" s="1163" t="s">
        <v>12</v>
      </c>
      <c r="J29" s="1163"/>
    </row>
    <row r="30" spans="1:10">
      <c r="B30" s="661"/>
      <c r="C30" s="658" t="s">
        <v>13</v>
      </c>
      <c r="D30" s="661"/>
      <c r="E30" s="661"/>
      <c r="F30" s="661"/>
      <c r="G30" s="661"/>
      <c r="H30" s="661"/>
      <c r="I30" s="661"/>
      <c r="J30" s="66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58" customWidth="1"/>
    <col min="3" max="3" width="8.5703125" style="658" customWidth="1"/>
    <col min="4" max="4" width="51.42578125" style="658" customWidth="1"/>
    <col min="5" max="5" width="8" style="658" customWidth="1"/>
    <col min="6" max="6" width="12.28515625" style="658" bestFit="1" customWidth="1"/>
    <col min="7" max="7" width="10.140625" style="658" customWidth="1"/>
    <col min="8" max="8" width="10.7109375" style="658" customWidth="1"/>
    <col min="9" max="9" width="11.42578125" style="658" customWidth="1"/>
    <col min="10" max="10" width="11.5703125" style="658" customWidth="1"/>
    <col min="11" max="11" width="11.42578125" style="658" customWidth="1"/>
    <col min="12" max="12" width="9.42578125" style="658" customWidth="1"/>
    <col min="13" max="13" width="6.7109375" style="658" customWidth="1"/>
    <col min="14" max="16384" width="9.140625" style="658"/>
  </cols>
  <sheetData>
    <row r="2" spans="1:15">
      <c r="A2" s="657" t="str">
        <f>'632'!A2</f>
        <v>Đơn vị: CÔNG TY TNHH SX TM KIM DUNG PHÁT</v>
      </c>
      <c r="F2" s="659"/>
      <c r="G2" s="659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83</v>
      </c>
      <c r="N5" s="592">
        <f>IF(N13="Quý I",1,IF(N13="Quý II",4,IF(N13="Quý III",7,IF(N13="Quý IV",10,""))))</f>
        <v>4</v>
      </c>
      <c r="O5" s="592">
        <f>IF(N13="Quý I",3,IF(N13="Quý II",6,IF(N13="Quý III",9,IF(N13="Quý IV",12,""))))</f>
        <v>6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394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395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 t="s">
        <v>63</v>
      </c>
      <c r="J13" s="684" t="s">
        <v>256</v>
      </c>
      <c r="K13" s="684"/>
      <c r="L13" s="684"/>
      <c r="N13" s="686" t="s">
        <v>348</v>
      </c>
    </row>
    <row r="14" spans="1:15">
      <c r="A14" s="665" t="s">
        <v>2</v>
      </c>
      <c r="B14" s="665" t="s">
        <v>3</v>
      </c>
      <c r="C14" s="665" t="s">
        <v>4</v>
      </c>
      <c r="D14" s="665" t="s">
        <v>5</v>
      </c>
      <c r="E14" s="665" t="s">
        <v>6</v>
      </c>
      <c r="F14" s="665">
        <v>1</v>
      </c>
      <c r="G14" s="665">
        <v>2</v>
      </c>
      <c r="H14" s="665">
        <v>3</v>
      </c>
      <c r="I14" s="665">
        <v>4</v>
      </c>
      <c r="J14" s="665">
        <v>5</v>
      </c>
      <c r="K14" s="665">
        <v>6</v>
      </c>
      <c r="L14" s="665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>
        <f ca="1">IF(ROWS($1:1)&gt;COUNT(Dong7),"",OFFSET(TH!C$1,SMALL(Dong7,ROWS($1:1)),))</f>
        <v>41759</v>
      </c>
      <c r="B16" s="669" t="str">
        <f ca="1">IF(ROWS($1:1)&gt;COUNT(Dong7),"",OFFSET(TH!D$1,SMALL(Dong7,ROWS($1:1)),))</f>
        <v>CTGS</v>
      </c>
      <c r="C16" s="669">
        <f ca="1">IF(ROWS($1:1)&gt;COUNT(Dong7),"",OFFSET(TH!E$1,SMALL(Dong7,ROWS($1:1)),))</f>
        <v>41759</v>
      </c>
      <c r="D16" s="670" t="str">
        <f ca="1">IF(ROWS($1:1)&gt;COUNT(Dong7),"",OFFSET(TH!F$1,SMALL(Dong7,ROWS($1:1)),))</f>
        <v>Tiền lương BP Văn phòng</v>
      </c>
      <c r="E16" s="669" t="str">
        <f ca="1">IF(ROWS($1:1)&gt;COUNT(Dong7),"",OFFSET(TH!M$1,SMALL(Dong7,ROWS($1:1)),))</f>
        <v>3341</v>
      </c>
      <c r="F16" s="671">
        <f ca="1">IF(ROWS($1:1)&gt;COUNT(Dong7),"",OFFSET(TH!K$1,SMALL(Dong7,ROWS($1:1)),))</f>
        <v>5850000</v>
      </c>
      <c r="G16" s="671">
        <f t="shared" ref="G16:J30" ca="1" si="0">IF($E16=G$13,$F16,0)</f>
        <v>0</v>
      </c>
      <c r="H16" s="671">
        <f t="shared" ca="1" si="0"/>
        <v>0</v>
      </c>
      <c r="I16" s="671">
        <f t="shared" ca="1" si="0"/>
        <v>0</v>
      </c>
      <c r="J16" s="671">
        <f t="shared" ca="1" si="0"/>
        <v>5850000</v>
      </c>
      <c r="K16" s="671">
        <f ca="1">IF(LEFT($E16,3)=K$13,$F16,0)</f>
        <v>0</v>
      </c>
      <c r="L16" s="671">
        <f ca="1">IF(LEFT($E16,3)=L$13,$F16,0)</f>
        <v>0</v>
      </c>
    </row>
    <row r="17" spans="1:12" ht="21.75" customHeight="1">
      <c r="A17" s="669">
        <f ca="1">IF(ROWS($1:2)&gt;COUNT(Dong7),"",OFFSET(TH!C$1,SMALL(Dong7,ROWS($1:2)),))</f>
        <v>41790</v>
      </c>
      <c r="B17" s="669" t="str">
        <f ca="1">IF(ROWS($1:2)&gt;COUNT(Dong7),"",OFFSET(TH!D$1,SMALL(Dong7,ROWS($1:2)),))</f>
        <v>CTGS</v>
      </c>
      <c r="C17" s="669">
        <f ca="1">IF(ROWS($1:2)&gt;COUNT(Dong7),"",OFFSET(TH!E$1,SMALL(Dong7,ROWS($1:2)),))</f>
        <v>41790</v>
      </c>
      <c r="D17" s="670" t="str">
        <f ca="1">IF(ROWS($1:2)&gt;COUNT(Dong7),"",OFFSET(TH!F$1,SMALL(Dong7,ROWS($1:2)),))</f>
        <v>Tiền lương BP Văn phòng</v>
      </c>
      <c r="E17" s="669" t="str">
        <f ca="1">IF(ROWS($1:2)&gt;COUNT(Dong7),"",OFFSET(TH!M$1,SMALL(Dong7,ROWS($1:2)),))</f>
        <v>3341</v>
      </c>
      <c r="F17" s="671">
        <f ca="1">IF(ROWS($1:2)&gt;COUNT(Dong7),"",OFFSET(TH!K$1,SMALL(Dong7,ROWS($1:2)),))</f>
        <v>5880000</v>
      </c>
      <c r="G17" s="671">
        <f t="shared" ca="1" si="0"/>
        <v>0</v>
      </c>
      <c r="H17" s="671">
        <f t="shared" ca="1" si="0"/>
        <v>0</v>
      </c>
      <c r="I17" s="671">
        <f t="shared" ca="1" si="0"/>
        <v>0</v>
      </c>
      <c r="J17" s="671">
        <f t="shared" ca="1" si="0"/>
        <v>5880000</v>
      </c>
      <c r="K17" s="671">
        <f t="shared" ref="K17:L30" ca="1" si="1">IF(LEFT($E17,3)=K$13,$F17,0)</f>
        <v>0</v>
      </c>
      <c r="L17" s="671">
        <f t="shared" ca="1" si="1"/>
        <v>0</v>
      </c>
    </row>
    <row r="18" spans="1:12" ht="21.75" customHeight="1">
      <c r="A18" s="669">
        <f ca="1">IF(ROWS($1:3)&gt;COUNT(Dong7),"",OFFSET(TH!C$1,SMALL(Dong7,ROWS($1:3)),))</f>
        <v>41820</v>
      </c>
      <c r="B18" s="669" t="str">
        <f ca="1">IF(ROWS($1:3)&gt;COUNT(Dong7),"",OFFSET(TH!D$1,SMALL(Dong7,ROWS($1:3)),))</f>
        <v>CTGS</v>
      </c>
      <c r="C18" s="669">
        <f ca="1">IF(ROWS($1:3)&gt;COUNT(Dong7),"",OFFSET(TH!E$1,SMALL(Dong7,ROWS($1:3)),))</f>
        <v>41820</v>
      </c>
      <c r="D18" s="670" t="str">
        <f ca="1">IF(ROWS($1:3)&gt;COUNT(Dong7),"",OFFSET(TH!F$1,SMALL(Dong7,ROWS($1:3)),))</f>
        <v>Tiền lương BP Văn phòng</v>
      </c>
      <c r="E18" s="669" t="str">
        <f ca="1">IF(ROWS($1:3)&gt;COUNT(Dong7),"",OFFSET(TH!M$1,SMALL(Dong7,ROWS($1:3)),))</f>
        <v>3341</v>
      </c>
      <c r="F18" s="671">
        <f ca="1">IF(ROWS($1:3)&gt;COUNT(Dong7),"",OFFSET(TH!K$1,SMALL(Dong7,ROWS($1:3)),))</f>
        <v>5850000</v>
      </c>
      <c r="G18" s="671">
        <f t="shared" ca="1" si="0"/>
        <v>0</v>
      </c>
      <c r="H18" s="671">
        <f t="shared" ca="1" si="0"/>
        <v>0</v>
      </c>
      <c r="I18" s="671">
        <f t="shared" ca="1" si="0"/>
        <v>0</v>
      </c>
      <c r="J18" s="671">
        <f t="shared" ca="1" si="0"/>
        <v>5850000</v>
      </c>
      <c r="K18" s="671">
        <f t="shared" ca="1" si="1"/>
        <v>0</v>
      </c>
      <c r="L18" s="671">
        <f t="shared" ca="1" si="1"/>
        <v>0</v>
      </c>
    </row>
    <row r="19" spans="1:12" ht="21.75" customHeight="1">
      <c r="A19" s="669">
        <f ca="1">IF(ROWS($1:4)&gt;COUNT(Dong7),"",OFFSET(TH!C$1,SMALL(Dong7,ROWS($1:4)),))</f>
        <v>41731</v>
      </c>
      <c r="B19" s="669" t="str">
        <f ca="1">IF(ROWS($1:4)&gt;COUNT(Dong7),"",OFFSET(TH!D$1,SMALL(Dong7,ROWS($1:4)),))</f>
        <v>GBN</v>
      </c>
      <c r="C19" s="669">
        <f ca="1">IF(ROWS($1:4)&gt;COUNT(Dong7),"",OFFSET(TH!E$1,SMALL(Dong7,ROWS($1:4)),))</f>
        <v>41731</v>
      </c>
      <c r="D19" s="670" t="str">
        <f ca="1">IF(ROWS($1:4)&gt;COUNT(Dong7),"",OFFSET(TH!F$1,SMALL(Dong7,ROWS($1:4)),))</f>
        <v>Phí chuyển tiền</v>
      </c>
      <c r="E19" s="669" t="str">
        <f ca="1">IF(ROWS($1:4)&gt;COUNT(Dong7),"",OFFSET(TH!M$1,SMALL(Dong7,ROWS($1:4)),))</f>
        <v>1121</v>
      </c>
      <c r="F19" s="671">
        <f ca="1">IF(ROWS($1:4)&gt;COUNT(Dong7),"",OFFSET(TH!K$1,SMALL(Dong7,ROWS($1:4)),))</f>
        <v>15000</v>
      </c>
      <c r="G19" s="671">
        <f t="shared" ca="1" si="0"/>
        <v>0</v>
      </c>
      <c r="H19" s="671">
        <f t="shared" ca="1" si="0"/>
        <v>15000</v>
      </c>
      <c r="I19" s="671">
        <f t="shared" ca="1" si="0"/>
        <v>0</v>
      </c>
      <c r="J19" s="671">
        <f t="shared" ca="1" si="0"/>
        <v>0</v>
      </c>
      <c r="K19" s="671">
        <f t="shared" ca="1" si="1"/>
        <v>0</v>
      </c>
      <c r="L19" s="671">
        <f t="shared" ca="1" si="1"/>
        <v>0</v>
      </c>
    </row>
    <row r="20" spans="1:12" ht="21.75" customHeight="1">
      <c r="A20" s="669">
        <f ca="1">IF(ROWS($1:5)&gt;COUNT(Dong7),"",OFFSET(TH!C$1,SMALL(Dong7,ROWS($1:5)),))</f>
        <v>41810</v>
      </c>
      <c r="B20" s="669" t="str">
        <f ca="1">IF(ROWS($1:5)&gt;COUNT(Dong7),"",OFFSET(TH!D$1,SMALL(Dong7,ROWS($1:5)),))</f>
        <v>GBN</v>
      </c>
      <c r="C20" s="669">
        <f ca="1">IF(ROWS($1:5)&gt;COUNT(Dong7),"",OFFSET(TH!E$1,SMALL(Dong7,ROWS($1:5)),))</f>
        <v>41810</v>
      </c>
      <c r="D20" s="670" t="str">
        <f ca="1">IF(ROWS($1:5)&gt;COUNT(Dong7),"",OFFSET(TH!F$1,SMALL(Dong7,ROWS($1:5)),))</f>
        <v>Phí chuyển tiền</v>
      </c>
      <c r="E20" s="669" t="str">
        <f ca="1">IF(ROWS($1:5)&gt;COUNT(Dong7),"",OFFSET(TH!M$1,SMALL(Dong7,ROWS($1:5)),))</f>
        <v>1121</v>
      </c>
      <c r="F20" s="671">
        <f ca="1">IF(ROWS($1:5)&gt;COUNT(Dong7),"",OFFSET(TH!K$1,SMALL(Dong7,ROWS($1:5)),))</f>
        <v>15000</v>
      </c>
      <c r="G20" s="671">
        <f t="shared" ca="1" si="0"/>
        <v>0</v>
      </c>
      <c r="H20" s="671">
        <f t="shared" ca="1" si="0"/>
        <v>15000</v>
      </c>
      <c r="I20" s="671">
        <f t="shared" ca="1" si="0"/>
        <v>0</v>
      </c>
      <c r="J20" s="671">
        <f t="shared" ca="1" si="0"/>
        <v>0</v>
      </c>
      <c r="K20" s="671">
        <f t="shared" ca="1" si="1"/>
        <v>0</v>
      </c>
      <c r="L20" s="671">
        <f t="shared" ca="1" si="1"/>
        <v>0</v>
      </c>
    </row>
    <row r="21" spans="1:12" ht="21.75" customHeight="1">
      <c r="A21" s="669">
        <f ca="1">IF(ROWS($1:6)&gt;COUNT(Dong7),"",OFFSET(TH!C$1,SMALL(Dong7,ROWS($1:6)),))</f>
        <v>41810</v>
      </c>
      <c r="B21" s="669" t="str">
        <f ca="1">IF(ROWS($1:6)&gt;COUNT(Dong7),"",OFFSET(TH!D$1,SMALL(Dong7,ROWS($1:6)),))</f>
        <v>GBN</v>
      </c>
      <c r="C21" s="669">
        <f ca="1">IF(ROWS($1:6)&gt;COUNT(Dong7),"",OFFSET(TH!E$1,SMALL(Dong7,ROWS($1:6)),))</f>
        <v>41810</v>
      </c>
      <c r="D21" s="670" t="str">
        <f ca="1">IF(ROWS($1:6)&gt;COUNT(Dong7),"",OFFSET(TH!F$1,SMALL(Dong7,ROWS($1:6)),))</f>
        <v>Phí chuyển tiền</v>
      </c>
      <c r="E21" s="669" t="str">
        <f ca="1">IF(ROWS($1:6)&gt;COUNT(Dong7),"",OFFSET(TH!M$1,SMALL(Dong7,ROWS($1:6)),))</f>
        <v>1121</v>
      </c>
      <c r="F21" s="671">
        <f ca="1">IF(ROWS($1:6)&gt;COUNT(Dong7),"",OFFSET(TH!K$1,SMALL(Dong7,ROWS($1:6)),))</f>
        <v>15000</v>
      </c>
      <c r="G21" s="671">
        <f t="shared" ca="1" si="0"/>
        <v>0</v>
      </c>
      <c r="H21" s="671">
        <f t="shared" ca="1" si="0"/>
        <v>15000</v>
      </c>
      <c r="I21" s="671">
        <f t="shared" ca="1" si="0"/>
        <v>0</v>
      </c>
      <c r="J21" s="671">
        <f t="shared" ca="1" si="0"/>
        <v>0</v>
      </c>
      <c r="K21" s="671">
        <f t="shared" ca="1" si="1"/>
        <v>0</v>
      </c>
      <c r="L21" s="671">
        <f t="shared" ca="1" si="1"/>
        <v>0</v>
      </c>
    </row>
    <row r="22" spans="1:12" ht="21.75" customHeight="1">
      <c r="A22" s="669">
        <f ca="1">IF(ROWS($1:7)&gt;COUNT(Dong7),"",OFFSET(TH!C$1,SMALL(Dong7,ROWS($1:7)),))</f>
        <v>41814</v>
      </c>
      <c r="B22" s="669" t="str">
        <f ca="1">IF(ROWS($1:7)&gt;COUNT(Dong7),"",OFFSET(TH!D$1,SMALL(Dong7,ROWS($1:7)),))</f>
        <v>GBN</v>
      </c>
      <c r="C22" s="669">
        <f ca="1">IF(ROWS($1:7)&gt;COUNT(Dong7),"",OFFSET(TH!E$1,SMALL(Dong7,ROWS($1:7)),))</f>
        <v>41814</v>
      </c>
      <c r="D22" s="670" t="str">
        <f ca="1">IF(ROWS($1:7)&gt;COUNT(Dong7),"",OFFSET(TH!F$1,SMALL(Dong7,ROWS($1:7)),))</f>
        <v>Phí chuyển tiền</v>
      </c>
      <c r="E22" s="669" t="str">
        <f ca="1">IF(ROWS($1:7)&gt;COUNT(Dong7),"",OFFSET(TH!M$1,SMALL(Dong7,ROWS($1:7)),))</f>
        <v>1121</v>
      </c>
      <c r="F22" s="671">
        <f ca="1">IF(ROWS($1:7)&gt;COUNT(Dong7),"",OFFSET(TH!K$1,SMALL(Dong7,ROWS($1:7)),))</f>
        <v>15000</v>
      </c>
      <c r="G22" s="671">
        <f t="shared" ca="1" si="0"/>
        <v>0</v>
      </c>
      <c r="H22" s="671">
        <f t="shared" ca="1" si="0"/>
        <v>15000</v>
      </c>
      <c r="I22" s="671">
        <f t="shared" ca="1" si="0"/>
        <v>0</v>
      </c>
      <c r="J22" s="671">
        <f t="shared" ca="1" si="0"/>
        <v>0</v>
      </c>
      <c r="K22" s="671">
        <f t="shared" ca="1" si="1"/>
        <v>0</v>
      </c>
      <c r="L22" s="671">
        <f t="shared" ca="1" si="1"/>
        <v>0</v>
      </c>
    </row>
    <row r="23" spans="1:12" ht="21.75" customHeight="1">
      <c r="A23" s="669">
        <f ca="1">IF(ROWS($1:8)&gt;COUNT(Dong7),"",OFFSET(TH!C$1,SMALL(Dong7,ROWS($1:8)),))</f>
        <v>41814</v>
      </c>
      <c r="B23" s="669" t="str">
        <f ca="1">IF(ROWS($1:8)&gt;COUNT(Dong7),"",OFFSET(TH!D$1,SMALL(Dong7,ROWS($1:8)),))</f>
        <v>GBN</v>
      </c>
      <c r="C23" s="669">
        <f ca="1">IF(ROWS($1:8)&gt;COUNT(Dong7),"",OFFSET(TH!E$1,SMALL(Dong7,ROWS($1:8)),))</f>
        <v>41814</v>
      </c>
      <c r="D23" s="670" t="str">
        <f ca="1">IF(ROWS($1:8)&gt;COUNT(Dong7),"",OFFSET(TH!F$1,SMALL(Dong7,ROWS($1:8)),))</f>
        <v>Phí chuyển tiền</v>
      </c>
      <c r="E23" s="669" t="str">
        <f ca="1">IF(ROWS($1:8)&gt;COUNT(Dong7),"",OFFSET(TH!M$1,SMALL(Dong7,ROWS($1:8)),))</f>
        <v>1121</v>
      </c>
      <c r="F23" s="671">
        <f ca="1">IF(ROWS($1:8)&gt;COUNT(Dong7),"",OFFSET(TH!K$1,SMALL(Dong7,ROWS($1:8)),))</f>
        <v>15000</v>
      </c>
      <c r="G23" s="671">
        <f t="shared" ca="1" si="0"/>
        <v>0</v>
      </c>
      <c r="H23" s="671">
        <f t="shared" ca="1" si="0"/>
        <v>15000</v>
      </c>
      <c r="I23" s="671">
        <f t="shared" ca="1" si="0"/>
        <v>0</v>
      </c>
      <c r="J23" s="671">
        <f t="shared" ca="1" si="0"/>
        <v>0</v>
      </c>
      <c r="K23" s="671">
        <f t="shared" ca="1" si="1"/>
        <v>0</v>
      </c>
      <c r="L23" s="671">
        <f t="shared" ca="1" si="1"/>
        <v>0</v>
      </c>
    </row>
    <row r="24" spans="1:12" ht="21.75" customHeight="1">
      <c r="A24" s="669">
        <f ca="1">IF(ROWS($1:9)&gt;COUNT(Dong7),"",OFFSET(TH!C$1,SMALL(Dong7,ROWS($1:9)),))</f>
        <v>41814</v>
      </c>
      <c r="B24" s="669" t="str">
        <f ca="1">IF(ROWS($1:9)&gt;COUNT(Dong7),"",OFFSET(TH!D$1,SMALL(Dong7,ROWS($1:9)),))</f>
        <v>GBN</v>
      </c>
      <c r="C24" s="669">
        <f ca="1">IF(ROWS($1:9)&gt;COUNT(Dong7),"",OFFSET(TH!E$1,SMALL(Dong7,ROWS($1:9)),))</f>
        <v>41814</v>
      </c>
      <c r="D24" s="670" t="str">
        <f ca="1">IF(ROWS($1:9)&gt;COUNT(Dong7),"",OFFSET(TH!F$1,SMALL(Dong7,ROWS($1:9)),))</f>
        <v>Phí kiểm đếm</v>
      </c>
      <c r="E24" s="669" t="str">
        <f ca="1">IF(ROWS($1:9)&gt;COUNT(Dong7),"",OFFSET(TH!M$1,SMALL(Dong7,ROWS($1:9)),))</f>
        <v>1121</v>
      </c>
      <c r="F24" s="671">
        <f ca="1">IF(ROWS($1:9)&gt;COUNT(Dong7),"",OFFSET(TH!K$1,SMALL(Dong7,ROWS($1:9)),))</f>
        <v>15000</v>
      </c>
      <c r="G24" s="671">
        <f t="shared" ca="1" si="0"/>
        <v>0</v>
      </c>
      <c r="H24" s="671">
        <f t="shared" ca="1" si="0"/>
        <v>15000</v>
      </c>
      <c r="I24" s="671">
        <f t="shared" ca="1" si="0"/>
        <v>0</v>
      </c>
      <c r="J24" s="671">
        <f t="shared" ca="1" si="0"/>
        <v>0</v>
      </c>
      <c r="K24" s="671">
        <f t="shared" ca="1" si="1"/>
        <v>0</v>
      </c>
      <c r="L24" s="671">
        <f t="shared" ca="1" si="1"/>
        <v>0</v>
      </c>
    </row>
    <row r="25" spans="1:12" ht="21.75" customHeight="1">
      <c r="A25" s="669">
        <f ca="1">IF(ROWS($1:10)&gt;COUNT(Dong7),"",OFFSET(TH!C$1,SMALL(Dong7,ROWS($1:10)),))</f>
        <v>41747</v>
      </c>
      <c r="B25" s="669">
        <f ca="1">IF(ROWS($1:10)&gt;COUNT(Dong7),"",OFFSET(TH!D$1,SMALL(Dong7,ROWS($1:10)),))</f>
        <v>0</v>
      </c>
      <c r="C25" s="669">
        <f ca="1">IF(ROWS($1:10)&gt;COUNT(Dong7),"",OFFSET(TH!E$1,SMALL(Dong7,ROWS($1:10)),))</f>
        <v>41747</v>
      </c>
      <c r="D25" s="670" t="str">
        <f ca="1">IF(ROWS($1:10)&gt;COUNT(Dong7),"",OFFSET(TH!F$1,SMALL(Dong7,ROWS($1:10)),))</f>
        <v>Cước viễn thông</v>
      </c>
      <c r="E25" s="669" t="str">
        <f ca="1">IF(ROWS($1:10)&gt;COUNT(Dong7),"",OFFSET(TH!M$1,SMALL(Dong7,ROWS($1:10)),))</f>
        <v>1111</v>
      </c>
      <c r="F25" s="671">
        <f ca="1">IF(ROWS($1:10)&gt;COUNT(Dong7),"",OFFSET(TH!K$1,SMALL(Dong7,ROWS($1:10)),))</f>
        <v>1957106</v>
      </c>
      <c r="G25" s="671">
        <f t="shared" ca="1" si="0"/>
        <v>1957106</v>
      </c>
      <c r="H25" s="671">
        <f t="shared" ca="1" si="0"/>
        <v>0</v>
      </c>
      <c r="I25" s="671">
        <f t="shared" ca="1" si="0"/>
        <v>0</v>
      </c>
      <c r="J25" s="671">
        <f t="shared" ca="1" si="0"/>
        <v>0</v>
      </c>
      <c r="K25" s="671">
        <f t="shared" ca="1" si="1"/>
        <v>0</v>
      </c>
      <c r="L25" s="671">
        <f t="shared" ca="1" si="1"/>
        <v>0</v>
      </c>
    </row>
    <row r="26" spans="1:12" ht="21.75" customHeight="1">
      <c r="A26" s="669">
        <f ca="1">IF(ROWS($1:11)&gt;COUNT(Dong7),"",OFFSET(TH!C$1,SMALL(Dong7,ROWS($1:11)),))</f>
        <v>41748</v>
      </c>
      <c r="B26" s="669">
        <f ca="1">IF(ROWS($1:11)&gt;COUNT(Dong7),"",OFFSET(TH!D$1,SMALL(Dong7,ROWS($1:11)),))</f>
        <v>0</v>
      </c>
      <c r="C26" s="669">
        <f ca="1">IF(ROWS($1:11)&gt;COUNT(Dong7),"",OFFSET(TH!E$1,SMALL(Dong7,ROWS($1:11)),))</f>
        <v>41748</v>
      </c>
      <c r="D26" s="670" t="str">
        <f ca="1">IF(ROWS($1:11)&gt;COUNT(Dong7),"",OFFSET(TH!F$1,SMALL(Dong7,ROWS($1:11)),))</f>
        <v>Văn phòng phẩm</v>
      </c>
      <c r="E26" s="669" t="str">
        <f ca="1">IF(ROWS($1:11)&gt;COUNT(Dong7),"",OFFSET(TH!M$1,SMALL(Dong7,ROWS($1:11)),))</f>
        <v>1111</v>
      </c>
      <c r="F26" s="671">
        <f ca="1">IF(ROWS($1:11)&gt;COUNT(Dong7),"",OFFSET(TH!K$1,SMALL(Dong7,ROWS($1:11)),))</f>
        <v>845909</v>
      </c>
      <c r="G26" s="671">
        <f t="shared" ca="1" si="0"/>
        <v>845909</v>
      </c>
      <c r="H26" s="671">
        <f t="shared" ca="1" si="0"/>
        <v>0</v>
      </c>
      <c r="I26" s="671">
        <f t="shared" ca="1" si="0"/>
        <v>0</v>
      </c>
      <c r="J26" s="671">
        <f t="shared" ca="1" si="0"/>
        <v>0</v>
      </c>
      <c r="K26" s="671">
        <f t="shared" ca="1" si="1"/>
        <v>0</v>
      </c>
      <c r="L26" s="671">
        <f t="shared" ca="1" si="1"/>
        <v>0</v>
      </c>
    </row>
    <row r="27" spans="1:12" ht="21.75" customHeight="1">
      <c r="A27" s="669">
        <f ca="1">IF(ROWS($1:12)&gt;COUNT(Dong7),"",OFFSET(TH!C$1,SMALL(Dong7,ROWS($1:12)),))</f>
        <v>41753</v>
      </c>
      <c r="B27" s="669">
        <f ca="1">IF(ROWS($1:12)&gt;COUNT(Dong7),"",OFFSET(TH!D$1,SMALL(Dong7,ROWS($1:12)),))</f>
        <v>0</v>
      </c>
      <c r="C27" s="669">
        <f ca="1">IF(ROWS($1:12)&gt;COUNT(Dong7),"",OFFSET(TH!E$1,SMALL(Dong7,ROWS($1:12)),))</f>
        <v>41753</v>
      </c>
      <c r="D27" s="670" t="str">
        <f ca="1">IF(ROWS($1:12)&gt;COUNT(Dong7),"",OFFSET(TH!F$1,SMALL(Dong7,ROWS($1:12)),))</f>
        <v>Tiền điện</v>
      </c>
      <c r="E27" s="669" t="str">
        <f ca="1">IF(ROWS($1:12)&gt;COUNT(Dong7),"",OFFSET(TH!M$1,SMALL(Dong7,ROWS($1:12)),))</f>
        <v>1111</v>
      </c>
      <c r="F27" s="671">
        <f ca="1">IF(ROWS($1:12)&gt;COUNT(Dong7),"",OFFSET(TH!K$1,SMALL(Dong7,ROWS($1:12)),))</f>
        <v>1301956</v>
      </c>
      <c r="G27" s="671">
        <f t="shared" ca="1" si="0"/>
        <v>1301956</v>
      </c>
      <c r="H27" s="671">
        <f t="shared" ca="1" si="0"/>
        <v>0</v>
      </c>
      <c r="I27" s="671">
        <f t="shared" ca="1" si="0"/>
        <v>0</v>
      </c>
      <c r="J27" s="671">
        <f t="shared" ca="1" si="0"/>
        <v>0</v>
      </c>
      <c r="K27" s="671">
        <f t="shared" ca="1" si="1"/>
        <v>0</v>
      </c>
      <c r="L27" s="671">
        <f t="shared" ca="1" si="1"/>
        <v>0</v>
      </c>
    </row>
    <row r="28" spans="1:12" ht="21.75" customHeight="1">
      <c r="A28" s="669">
        <f ca="1">IF(ROWS($1:13)&gt;COUNT(Dong7),"",OFFSET(TH!C$1,SMALL(Dong7,ROWS($1:13)),))</f>
        <v>41755</v>
      </c>
      <c r="B28" s="669">
        <f ca="1">IF(ROWS($1:13)&gt;COUNT(Dong7),"",OFFSET(TH!D$1,SMALL(Dong7,ROWS($1:13)),))</f>
        <v>0</v>
      </c>
      <c r="C28" s="669">
        <f ca="1">IF(ROWS($1:13)&gt;COUNT(Dong7),"",OFFSET(TH!E$1,SMALL(Dong7,ROWS($1:13)),))</f>
        <v>41755</v>
      </c>
      <c r="D28" s="670" t="str">
        <f ca="1">IF(ROWS($1:13)&gt;COUNT(Dong7),"",OFFSET(TH!F$1,SMALL(Dong7,ROWS($1:13)),))</f>
        <v>Xe nâng tay</v>
      </c>
      <c r="E28" s="669" t="str">
        <f ca="1">IF(ROWS($1:13)&gt;COUNT(Dong7),"",OFFSET(TH!M$1,SMALL(Dong7,ROWS($1:13)),))</f>
        <v>1111</v>
      </c>
      <c r="F28" s="671">
        <f ca="1">IF(ROWS($1:13)&gt;COUNT(Dong7),"",OFFSET(TH!K$1,SMALL(Dong7,ROWS($1:13)),))</f>
        <v>3300000</v>
      </c>
      <c r="G28" s="671">
        <f t="shared" ca="1" si="0"/>
        <v>3300000</v>
      </c>
      <c r="H28" s="671">
        <f t="shared" ca="1" si="0"/>
        <v>0</v>
      </c>
      <c r="I28" s="671">
        <f t="shared" ca="1" si="0"/>
        <v>0</v>
      </c>
      <c r="J28" s="671">
        <f t="shared" ca="1" si="0"/>
        <v>0</v>
      </c>
      <c r="K28" s="671">
        <f t="shared" ca="1" si="1"/>
        <v>0</v>
      </c>
      <c r="L28" s="671">
        <f t="shared" ca="1" si="1"/>
        <v>0</v>
      </c>
    </row>
    <row r="29" spans="1:12" ht="21.75" customHeight="1">
      <c r="A29" s="669">
        <f ca="1">IF(ROWS($1:14)&gt;COUNT(Dong7),"",OFFSET(TH!C$1,SMALL(Dong7,ROWS($1:14)),))</f>
        <v>41783</v>
      </c>
      <c r="B29" s="669">
        <f ca="1">IF(ROWS($1:14)&gt;COUNT(Dong7),"",OFFSET(TH!D$1,SMALL(Dong7,ROWS($1:14)),))</f>
        <v>0</v>
      </c>
      <c r="C29" s="669">
        <f ca="1">IF(ROWS($1:14)&gt;COUNT(Dong7),"",OFFSET(TH!E$1,SMALL(Dong7,ROWS($1:14)),))</f>
        <v>41783</v>
      </c>
      <c r="D29" s="670" t="str">
        <f ca="1">IF(ROWS($1:14)&gt;COUNT(Dong7),"",OFFSET(TH!F$1,SMALL(Dong7,ROWS($1:14)),))</f>
        <v>Tiền điện</v>
      </c>
      <c r="E29" s="669" t="str">
        <f ca="1">IF(ROWS($1:14)&gt;COUNT(Dong7),"",OFFSET(TH!M$1,SMALL(Dong7,ROWS($1:14)),))</f>
        <v>1111</v>
      </c>
      <c r="F29" s="671">
        <f ca="1">IF(ROWS($1:14)&gt;COUNT(Dong7),"",OFFSET(TH!K$1,SMALL(Dong7,ROWS($1:14)),))</f>
        <v>756428</v>
      </c>
      <c r="G29" s="671">
        <f t="shared" ca="1" si="0"/>
        <v>756428</v>
      </c>
      <c r="H29" s="671">
        <f t="shared" ca="1" si="0"/>
        <v>0</v>
      </c>
      <c r="I29" s="671">
        <f t="shared" ca="1" si="0"/>
        <v>0</v>
      </c>
      <c r="J29" s="671">
        <f t="shared" ca="1" si="0"/>
        <v>0</v>
      </c>
      <c r="K29" s="671">
        <f t="shared" ca="1" si="1"/>
        <v>0</v>
      </c>
      <c r="L29" s="671">
        <f t="shared" ca="1" si="1"/>
        <v>0</v>
      </c>
    </row>
    <row r="30" spans="1:12" ht="21.75" customHeight="1">
      <c r="A30" s="669">
        <f ca="1">IF(ROWS($1:15)&gt;COUNT(Dong7),"",OFFSET(TH!C$1,SMALL(Dong7,ROWS($1:15)),))</f>
        <v>41796</v>
      </c>
      <c r="B30" s="669">
        <f ca="1">IF(ROWS($1:15)&gt;COUNT(Dong7),"",OFFSET(TH!D$1,SMALL(Dong7,ROWS($1:15)),))</f>
        <v>0</v>
      </c>
      <c r="C30" s="669">
        <f ca="1">IF(ROWS($1:15)&gt;COUNT(Dong7),"",OFFSET(TH!E$1,SMALL(Dong7,ROWS($1:15)),))</f>
        <v>41796</v>
      </c>
      <c r="D30" s="670" t="str">
        <f ca="1">IF(ROWS($1:15)&gt;COUNT(Dong7),"",OFFSET(TH!F$1,SMALL(Dong7,ROWS($1:15)),))</f>
        <v>Cân điện tử</v>
      </c>
      <c r="E30" s="669" t="str">
        <f ca="1">IF(ROWS($1:15)&gt;COUNT(Dong7),"",OFFSET(TH!M$1,SMALL(Dong7,ROWS($1:15)),))</f>
        <v>1111</v>
      </c>
      <c r="F30" s="671">
        <f ca="1">IF(ROWS($1:15)&gt;COUNT(Dong7),"",OFFSET(TH!K$1,SMALL(Dong7,ROWS($1:15)),))</f>
        <v>2500000</v>
      </c>
      <c r="G30" s="671">
        <f t="shared" ca="1" si="0"/>
        <v>2500000</v>
      </c>
      <c r="H30" s="671">
        <f t="shared" ca="1" si="0"/>
        <v>0</v>
      </c>
      <c r="I30" s="671">
        <f t="shared" ca="1" si="0"/>
        <v>0</v>
      </c>
      <c r="J30" s="671">
        <f t="shared" ca="1" si="0"/>
        <v>0</v>
      </c>
      <c r="K30" s="671">
        <f t="shared" ca="1" si="1"/>
        <v>0</v>
      </c>
      <c r="L30" s="671">
        <f t="shared" ca="1" si="1"/>
        <v>0</v>
      </c>
    </row>
    <row r="31" spans="1:12" ht="21.75" customHeight="1">
      <c r="A31" s="669"/>
      <c r="B31" s="672"/>
      <c r="C31" s="669"/>
      <c r="D31" s="673"/>
      <c r="E31" s="674"/>
      <c r="F31" s="675"/>
      <c r="G31" s="675"/>
      <c r="H31" s="675"/>
      <c r="I31" s="675"/>
      <c r="J31" s="675"/>
      <c r="K31" s="675"/>
      <c r="L31" s="675"/>
    </row>
    <row r="32" spans="1:12" ht="21.75" customHeight="1">
      <c r="A32" s="669"/>
      <c r="B32" s="672"/>
      <c r="C32" s="669"/>
      <c r="D32" s="667" t="s">
        <v>133</v>
      </c>
      <c r="E32" s="666" t="s">
        <v>19</v>
      </c>
      <c r="F32" s="668">
        <f ca="1">SUM(F15:F31)</f>
        <v>28331399</v>
      </c>
      <c r="G32" s="668">
        <f t="shared" ref="G32:L32" ca="1" si="2">SUM(G15:G31)</f>
        <v>10661399</v>
      </c>
      <c r="H32" s="668">
        <f t="shared" ca="1" si="2"/>
        <v>90000</v>
      </c>
      <c r="I32" s="668">
        <f t="shared" ca="1" si="2"/>
        <v>0</v>
      </c>
      <c r="J32" s="668">
        <f t="shared" ca="1" si="2"/>
        <v>17580000</v>
      </c>
      <c r="K32" s="668">
        <f t="shared" ca="1" si="2"/>
        <v>0</v>
      </c>
      <c r="L32" s="668">
        <f t="shared" ca="1" si="2"/>
        <v>0</v>
      </c>
    </row>
    <row r="33" spans="1:12" ht="21.75" customHeight="1">
      <c r="A33" s="676"/>
      <c r="B33" s="674"/>
      <c r="C33" s="676"/>
      <c r="D33" s="677" t="s">
        <v>396</v>
      </c>
      <c r="E33" s="672"/>
      <c r="F33" s="678">
        <f ca="1">SUM(G33:L33)</f>
        <v>28331399</v>
      </c>
      <c r="G33" s="678">
        <f t="shared" ref="G33:L33" ca="1" si="3">G32</f>
        <v>10661399</v>
      </c>
      <c r="H33" s="678">
        <f t="shared" ca="1" si="3"/>
        <v>90000</v>
      </c>
      <c r="I33" s="678">
        <f t="shared" ca="1" si="3"/>
        <v>0</v>
      </c>
      <c r="J33" s="678">
        <f t="shared" ca="1" si="3"/>
        <v>17580000</v>
      </c>
      <c r="K33" s="678">
        <f t="shared" ca="1" si="3"/>
        <v>0</v>
      </c>
      <c r="L33" s="678">
        <f t="shared" ca="1" si="3"/>
        <v>0</v>
      </c>
    </row>
    <row r="34" spans="1:12" ht="21.75" customHeight="1">
      <c r="A34" s="679"/>
      <c r="B34" s="679"/>
      <c r="C34" s="679"/>
      <c r="D34" s="680" t="s">
        <v>10</v>
      </c>
      <c r="E34" s="679" t="s">
        <v>19</v>
      </c>
      <c r="F34" s="681">
        <f t="shared" ref="F34:L34" ca="1" si="4">F15+F32-F33</f>
        <v>0</v>
      </c>
      <c r="G34" s="681">
        <f t="shared" ca="1" si="4"/>
        <v>0</v>
      </c>
      <c r="H34" s="681">
        <f t="shared" ca="1" si="4"/>
        <v>0</v>
      </c>
      <c r="I34" s="681">
        <f t="shared" ca="1" si="4"/>
        <v>0</v>
      </c>
      <c r="J34" s="681">
        <f t="shared" ca="1" si="4"/>
        <v>0</v>
      </c>
      <c r="K34" s="681">
        <f t="shared" ca="1" si="4"/>
        <v>0</v>
      </c>
      <c r="L34" s="681">
        <f t="shared" ca="1" si="4"/>
        <v>0</v>
      </c>
    </row>
    <row r="36" spans="1:12">
      <c r="B36" s="682"/>
      <c r="C36" s="662" t="s">
        <v>389</v>
      </c>
    </row>
    <row r="37" spans="1:12">
      <c r="C37" s="662" t="str">
        <f ca="1">"- Ngày mở sổ: "&amp;"01/"&amp;MONTH(A16)&amp;"/"&amp;YEAR(A16)</f>
        <v>- Ngày mở sổ: 01/4/2014</v>
      </c>
    </row>
    <row r="38" spans="1:12">
      <c r="E38" s="661"/>
      <c r="F38" s="661"/>
      <c r="G38" s="661"/>
      <c r="H38" s="661"/>
      <c r="I38" s="661"/>
      <c r="J38" s="116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63"/>
      <c r="L38" s="1163"/>
    </row>
    <row r="39" spans="1:12">
      <c r="B39" s="661"/>
      <c r="C39" s="658" t="s">
        <v>11</v>
      </c>
      <c r="D39" s="661"/>
      <c r="E39" s="661"/>
      <c r="F39" s="661"/>
      <c r="G39" s="661"/>
      <c r="H39" s="661"/>
      <c r="I39" s="661"/>
      <c r="J39" s="1163" t="s">
        <v>12</v>
      </c>
      <c r="K39" s="1163"/>
      <c r="L39" s="1163"/>
    </row>
    <row r="40" spans="1:12">
      <c r="B40" s="661"/>
      <c r="C40" s="658" t="s">
        <v>13</v>
      </c>
      <c r="D40" s="661"/>
      <c r="E40" s="661"/>
      <c r="F40" s="661"/>
      <c r="G40" s="661"/>
      <c r="H40" s="661"/>
      <c r="I40" s="661"/>
      <c r="J40" s="1170" t="s">
        <v>13</v>
      </c>
      <c r="K40" s="1170"/>
      <c r="L40" s="1170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2" customWidth="1"/>
    <col min="3" max="3" width="8.5703125" style="752" customWidth="1"/>
    <col min="4" max="4" width="51.42578125" style="752" customWidth="1"/>
    <col min="5" max="5" width="8" style="752" customWidth="1"/>
    <col min="6" max="6" width="12.28515625" style="752" bestFit="1" customWidth="1"/>
    <col min="7" max="7" width="10.140625" style="752" customWidth="1"/>
    <col min="8" max="8" width="10.7109375" style="752" customWidth="1"/>
    <col min="9" max="9" width="11.42578125" style="752" customWidth="1"/>
    <col min="10" max="10" width="11.5703125" style="752" customWidth="1"/>
    <col min="11" max="11" width="11.42578125" style="752" customWidth="1"/>
    <col min="12" max="12" width="9.42578125" style="752" customWidth="1"/>
    <col min="13" max="13" width="6.7109375" style="752" customWidth="1"/>
    <col min="14" max="16384" width="9.140625" style="752"/>
  </cols>
  <sheetData>
    <row r="2" spans="1:15">
      <c r="A2" s="657" t="str">
        <f>'632'!A2</f>
        <v>Đơn vị: CÔNG TY TNHH SX TM KIM DUNG PHÁT</v>
      </c>
      <c r="F2" s="751"/>
      <c r="G2" s="751"/>
      <c r="H2" s="1168" t="s">
        <v>376</v>
      </c>
      <c r="I2" s="1168"/>
      <c r="J2" s="1168"/>
      <c r="K2" s="1168"/>
      <c r="L2" s="683"/>
    </row>
    <row r="3" spans="1:15" ht="15" customHeight="1">
      <c r="A3" s="687" t="str">
        <f>'632'!A3</f>
        <v>Địa chỉ: 1A227/1 Ấp 1, Phạm Văn Hai, Bình Chánh, TPHCM</v>
      </c>
      <c r="H3" s="117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1"/>
      <c r="J3" s="1171"/>
      <c r="K3" s="1171"/>
      <c r="L3" s="661"/>
    </row>
    <row r="4" spans="1:15">
      <c r="H4" s="1171"/>
      <c r="I4" s="1171"/>
      <c r="J4" s="1171"/>
      <c r="K4" s="1171"/>
      <c r="L4" s="661"/>
    </row>
    <row r="5" spans="1:15" ht="19.5" customHeight="1">
      <c r="A5" s="1169" t="s">
        <v>377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60" t="s">
        <v>255</v>
      </c>
      <c r="N5" s="592">
        <f>IF(N13="Quý I",1,IF(N13="Quý II",4,IF(N13="Quý III",7,IF(N13="Quý IV",10,""))))</f>
        <v>7</v>
      </c>
      <c r="O5" s="592">
        <f>IF(N13="Quý I",3,IF(N13="Quý II",6,IF(N13="Quý III",9,IF(N13="Quý IV",12,""))))</f>
        <v>9</v>
      </c>
    </row>
    <row r="6" spans="1:15">
      <c r="A6" s="1170" t="s">
        <v>378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61"/>
      <c r="C7" s="661"/>
      <c r="D7" s="661"/>
      <c r="E7" s="662" t="s">
        <v>403</v>
      </c>
      <c r="G7" s="661"/>
      <c r="H7" s="661"/>
      <c r="I7" s="661"/>
      <c r="J7" s="661"/>
      <c r="K7" s="661"/>
      <c r="L7" s="661"/>
      <c r="M7" s="688"/>
    </row>
    <row r="8" spans="1:15">
      <c r="B8" s="661"/>
      <c r="C8" s="661"/>
      <c r="D8" s="661"/>
      <c r="E8" s="662" t="s">
        <v>380</v>
      </c>
      <c r="G8" s="661"/>
      <c r="H8" s="661"/>
      <c r="I8" s="661"/>
      <c r="J8" s="661"/>
      <c r="K8" s="661"/>
      <c r="L8" s="661"/>
    </row>
    <row r="9" spans="1:15">
      <c r="B9" s="663"/>
      <c r="C9" s="663"/>
      <c r="D9" s="663"/>
      <c r="E9" s="662" t="s">
        <v>381</v>
      </c>
      <c r="G9" s="663"/>
      <c r="H9" s="663"/>
      <c r="I9" s="663"/>
      <c r="J9" s="663"/>
      <c r="K9" s="663"/>
      <c r="L9" s="663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64" t="s">
        <v>20</v>
      </c>
      <c r="B11" s="1165" t="s">
        <v>1</v>
      </c>
      <c r="C11" s="1165"/>
      <c r="D11" s="1164" t="s">
        <v>0</v>
      </c>
      <c r="E11" s="1164" t="s">
        <v>219</v>
      </c>
      <c r="F11" s="1165" t="s">
        <v>402</v>
      </c>
      <c r="G11" s="1165"/>
      <c r="H11" s="1165"/>
      <c r="I11" s="1165"/>
      <c r="J11" s="1165"/>
      <c r="K11" s="1165"/>
      <c r="L11" s="1165"/>
    </row>
    <row r="12" spans="1:15" ht="15.75" customHeight="1" thickBot="1">
      <c r="A12" s="1164"/>
      <c r="B12" s="1166" t="s">
        <v>15</v>
      </c>
      <c r="C12" s="1166" t="s">
        <v>32</v>
      </c>
      <c r="D12" s="1164"/>
      <c r="E12" s="1164"/>
      <c r="F12" s="1166" t="s">
        <v>383</v>
      </c>
      <c r="G12" s="1166" t="s">
        <v>384</v>
      </c>
      <c r="H12" s="1166"/>
      <c r="I12" s="1166"/>
      <c r="J12" s="1166"/>
      <c r="K12" s="1166"/>
      <c r="L12" s="1166"/>
    </row>
    <row r="13" spans="1:15" ht="29.25" customHeight="1" thickBot="1">
      <c r="A13" s="1164"/>
      <c r="B13" s="1166"/>
      <c r="C13" s="1166"/>
      <c r="D13" s="1164"/>
      <c r="E13" s="1164"/>
      <c r="F13" s="1166"/>
      <c r="G13" s="684" t="s">
        <v>47</v>
      </c>
      <c r="H13" s="684" t="s">
        <v>24</v>
      </c>
      <c r="I13" s="684"/>
      <c r="J13" s="684"/>
      <c r="K13" s="684"/>
      <c r="L13" s="684"/>
      <c r="N13" s="686" t="s">
        <v>405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666"/>
      <c r="B15" s="666"/>
      <c r="C15" s="666"/>
      <c r="D15" s="667" t="s">
        <v>7</v>
      </c>
      <c r="E15" s="666"/>
      <c r="F15" s="668"/>
      <c r="G15" s="668"/>
      <c r="H15" s="668"/>
      <c r="I15" s="668"/>
      <c r="J15" s="668"/>
      <c r="K15" s="668"/>
      <c r="L15" s="668"/>
    </row>
    <row r="16" spans="1:15" ht="21.75" customHeight="1">
      <c r="A16" s="669" t="str">
        <f ca="1">IF(ROWS($1:1)&gt;COUNT(Dong13),"",OFFSET(TH!C$1,SMALL(Dong13,ROWS($1:1)),))</f>
        <v/>
      </c>
      <c r="B16" s="669" t="str">
        <f ca="1">IF(ROWS($1:1)&gt;COUNT(Dong13),"",OFFSET(TH!D$1,SMALL(Dong13,ROWS($1:1)),))</f>
        <v/>
      </c>
      <c r="C16" s="669" t="str">
        <f ca="1">IF(ROWS($1:1)&gt;COUNT(Dong13),"",OFFSET(TH!E$1,SMALL(Dong13,ROWS($1:1)),))</f>
        <v/>
      </c>
      <c r="D16" s="670" t="str">
        <f ca="1">IF(ROWS($1:1)&gt;COUNT(Dong13),"",OFFSET(TH!F$1,SMALL(Dong13,ROWS($1:1)),))</f>
        <v/>
      </c>
      <c r="E16" s="669" t="str">
        <f ca="1">IF(ROWS($1:1)&gt;COUNT(Dong13),"",OFFSET(TH!M$1,SMALL(Dong13,ROWS($1:1)),))</f>
        <v/>
      </c>
      <c r="F16" s="756" t="str">
        <f ca="1">IF(ROWS($1:1)&gt;COUNT(Dong13),"",OFFSET(TH!K$1,SMALL(Dong13,ROWS($1:1)),))</f>
        <v/>
      </c>
      <c r="G16" s="671">
        <f t="shared" ref="G16:J25" ca="1" si="0">IF($E16=G$13,$F16,0)</f>
        <v>0</v>
      </c>
      <c r="H16" s="671">
        <f t="shared" ca="1" si="0"/>
        <v>0</v>
      </c>
      <c r="I16" s="671" t="str">
        <f t="shared" ca="1" si="0"/>
        <v/>
      </c>
      <c r="J16" s="671" t="str">
        <f t="shared" ca="1" si="0"/>
        <v/>
      </c>
      <c r="K16" s="671" t="str">
        <f ca="1">IF(LEFT($E16,3)=K$13,$F16,0)</f>
        <v/>
      </c>
      <c r="L16" s="671" t="str">
        <f ca="1">IF(LEFT($E16,3)=L$13,$F16,0)</f>
        <v/>
      </c>
    </row>
    <row r="17" spans="1:12" ht="21.75" customHeight="1">
      <c r="A17" s="669" t="str">
        <f ca="1">IF(ROWS($1:2)&gt;COUNT(Dong13),"",OFFSET(TH!C$1,SMALL(Dong13,ROWS($1:2)),))</f>
        <v/>
      </c>
      <c r="B17" s="669" t="str">
        <f ca="1">IF(ROWS($1:2)&gt;COUNT(Dong13),"",OFFSET(TH!D$1,SMALL(Dong13,ROWS($1:2)),))</f>
        <v/>
      </c>
      <c r="C17" s="669" t="str">
        <f ca="1">IF(ROWS($1:2)&gt;COUNT(Dong13),"",OFFSET(TH!E$1,SMALL(Dong13,ROWS($1:2)),))</f>
        <v/>
      </c>
      <c r="D17" s="670" t="str">
        <f ca="1">IF(ROWS($1:2)&gt;COUNT(Dong13),"",OFFSET(TH!F$1,SMALL(Dong13,ROWS($1:2)),))</f>
        <v/>
      </c>
      <c r="E17" s="669" t="str">
        <f ca="1">IF(ROWS($1:2)&gt;COUNT(Dong13),"",OFFSET(TH!M$1,SMALL(Dong13,ROWS($1:2)),))</f>
        <v/>
      </c>
      <c r="F17" s="756" t="str">
        <f ca="1">IF(ROWS($1:2)&gt;COUNT(Dong13),"",OFFSET(TH!K$1,SMALL(Dong13,ROWS($1:2)),))</f>
        <v/>
      </c>
      <c r="G17" s="671">
        <f t="shared" ca="1" si="0"/>
        <v>0</v>
      </c>
      <c r="H17" s="671">
        <f t="shared" ca="1" si="0"/>
        <v>0</v>
      </c>
      <c r="I17" s="671" t="str">
        <f t="shared" ca="1" si="0"/>
        <v/>
      </c>
      <c r="J17" s="671" t="str">
        <f t="shared" ca="1" si="0"/>
        <v/>
      </c>
      <c r="K17" s="671" t="str">
        <f t="shared" ref="K17:L25" ca="1" si="1">IF(LEFT($E17,3)=K$13,$F17,0)</f>
        <v/>
      </c>
      <c r="L17" s="671" t="str">
        <f t="shared" ca="1" si="1"/>
        <v/>
      </c>
    </row>
    <row r="18" spans="1:12" ht="21.75" customHeight="1">
      <c r="A18" s="669" t="str">
        <f ca="1">IF(ROWS($1:3)&gt;COUNT(Dong13),"",OFFSET(TH!C$1,SMALL(Dong13,ROWS($1:3)),))</f>
        <v/>
      </c>
      <c r="B18" s="669" t="str">
        <f ca="1">IF(ROWS($1:3)&gt;COUNT(Dong13),"",OFFSET(TH!D$1,SMALL(Dong13,ROWS($1:3)),))</f>
        <v/>
      </c>
      <c r="C18" s="669" t="str">
        <f ca="1">IF(ROWS($1:3)&gt;COUNT(Dong13),"",OFFSET(TH!E$1,SMALL(Dong13,ROWS($1:3)),))</f>
        <v/>
      </c>
      <c r="D18" s="670" t="str">
        <f ca="1">IF(ROWS($1:3)&gt;COUNT(Dong13),"",OFFSET(TH!F$1,SMALL(Dong13,ROWS($1:3)),))</f>
        <v/>
      </c>
      <c r="E18" s="669" t="str">
        <f ca="1">IF(ROWS($1:3)&gt;COUNT(Dong13),"",OFFSET(TH!M$1,SMALL(Dong13,ROWS($1:3)),))</f>
        <v/>
      </c>
      <c r="F18" s="756" t="str">
        <f ca="1">IF(ROWS($1:3)&gt;COUNT(Dong13),"",OFFSET(TH!K$1,SMALL(Dong13,ROWS($1:3)),))</f>
        <v/>
      </c>
      <c r="G18" s="671">
        <f t="shared" ca="1" si="0"/>
        <v>0</v>
      </c>
      <c r="H18" s="671">
        <f t="shared" ca="1" si="0"/>
        <v>0</v>
      </c>
      <c r="I18" s="671" t="str">
        <f t="shared" ca="1" si="0"/>
        <v/>
      </c>
      <c r="J18" s="671" t="str">
        <f t="shared" ca="1" si="0"/>
        <v/>
      </c>
      <c r="K18" s="671" t="str">
        <f t="shared" ca="1" si="1"/>
        <v/>
      </c>
      <c r="L18" s="671" t="str">
        <f t="shared" ca="1" si="1"/>
        <v/>
      </c>
    </row>
    <row r="19" spans="1:12" ht="21.75" customHeight="1">
      <c r="A19" s="669" t="str">
        <f ca="1">IF(ROWS($1:4)&gt;COUNT(Dong13),"",OFFSET(TH!C$1,SMALL(Dong13,ROWS($1:4)),))</f>
        <v/>
      </c>
      <c r="B19" s="669" t="str">
        <f ca="1">IF(ROWS($1:4)&gt;COUNT(Dong13),"",OFFSET(TH!D$1,SMALL(Dong13,ROWS($1:4)),))</f>
        <v/>
      </c>
      <c r="C19" s="669" t="str">
        <f ca="1">IF(ROWS($1:4)&gt;COUNT(Dong13),"",OFFSET(TH!E$1,SMALL(Dong13,ROWS($1:4)),))</f>
        <v/>
      </c>
      <c r="D19" s="670" t="str">
        <f ca="1">IF(ROWS($1:4)&gt;COUNT(Dong13),"",OFFSET(TH!F$1,SMALL(Dong13,ROWS($1:4)),))</f>
        <v/>
      </c>
      <c r="E19" s="669" t="str">
        <f ca="1">IF(ROWS($1:4)&gt;COUNT(Dong13),"",OFFSET(TH!M$1,SMALL(Dong13,ROWS($1:4)),))</f>
        <v/>
      </c>
      <c r="F19" s="756" t="str">
        <f ca="1">IF(ROWS($1:4)&gt;COUNT(Dong13),"",OFFSET(TH!K$1,SMALL(Dong13,ROWS($1:4)),))</f>
        <v/>
      </c>
      <c r="G19" s="671">
        <f t="shared" ca="1" si="0"/>
        <v>0</v>
      </c>
      <c r="H19" s="671">
        <f t="shared" ca="1" si="0"/>
        <v>0</v>
      </c>
      <c r="I19" s="671" t="str">
        <f t="shared" ca="1" si="0"/>
        <v/>
      </c>
      <c r="J19" s="671" t="str">
        <f t="shared" ca="1" si="0"/>
        <v/>
      </c>
      <c r="K19" s="671" t="str">
        <f t="shared" ca="1" si="1"/>
        <v/>
      </c>
      <c r="L19" s="671" t="str">
        <f t="shared" ca="1" si="1"/>
        <v/>
      </c>
    </row>
    <row r="20" spans="1:12" ht="21.75" customHeight="1">
      <c r="A20" s="669" t="str">
        <f ca="1">IF(ROWS($1:5)&gt;COUNT(Dong13),"",OFFSET(TH!C$1,SMALL(Dong13,ROWS($1:5)),))</f>
        <v/>
      </c>
      <c r="B20" s="669" t="str">
        <f ca="1">IF(ROWS($1:5)&gt;COUNT(Dong13),"",OFFSET(TH!D$1,SMALL(Dong13,ROWS($1:5)),))</f>
        <v/>
      </c>
      <c r="C20" s="669" t="str">
        <f ca="1">IF(ROWS($1:5)&gt;COUNT(Dong13),"",OFFSET(TH!E$1,SMALL(Dong13,ROWS($1:5)),))</f>
        <v/>
      </c>
      <c r="D20" s="670" t="str">
        <f ca="1">IF(ROWS($1:5)&gt;COUNT(Dong13),"",OFFSET(TH!F$1,SMALL(Dong13,ROWS($1:5)),))</f>
        <v/>
      </c>
      <c r="E20" s="669" t="str">
        <f ca="1">IF(ROWS($1:5)&gt;COUNT(Dong13),"",OFFSET(TH!M$1,SMALL(Dong13,ROWS($1:5)),))</f>
        <v/>
      </c>
      <c r="F20" s="756" t="str">
        <f ca="1">IF(ROWS($1:5)&gt;COUNT(Dong13),"",OFFSET(TH!K$1,SMALL(Dong13,ROWS($1:5)),))</f>
        <v/>
      </c>
      <c r="G20" s="671">
        <f t="shared" ca="1" si="0"/>
        <v>0</v>
      </c>
      <c r="H20" s="671">
        <f t="shared" ca="1" si="0"/>
        <v>0</v>
      </c>
      <c r="I20" s="671" t="str">
        <f t="shared" ca="1" si="0"/>
        <v/>
      </c>
      <c r="J20" s="671" t="str">
        <f t="shared" ca="1" si="0"/>
        <v/>
      </c>
      <c r="K20" s="671" t="str">
        <f t="shared" ca="1" si="1"/>
        <v/>
      </c>
      <c r="L20" s="671" t="str">
        <f t="shared" ca="1" si="1"/>
        <v/>
      </c>
    </row>
    <row r="21" spans="1:12" ht="21.75" customHeight="1">
      <c r="A21" s="669" t="str">
        <f ca="1">IF(ROWS($1:6)&gt;COUNT(Dong13),"",OFFSET(TH!C$1,SMALL(Dong13,ROWS($1:6)),))</f>
        <v/>
      </c>
      <c r="B21" s="669" t="str">
        <f ca="1">IF(ROWS($1:6)&gt;COUNT(Dong13),"",OFFSET(TH!D$1,SMALL(Dong13,ROWS($1:6)),))</f>
        <v/>
      </c>
      <c r="C21" s="669" t="str">
        <f ca="1">IF(ROWS($1:6)&gt;COUNT(Dong13),"",OFFSET(TH!E$1,SMALL(Dong13,ROWS($1:6)),))</f>
        <v/>
      </c>
      <c r="D21" s="670" t="str">
        <f ca="1">IF(ROWS($1:6)&gt;COUNT(Dong13),"",OFFSET(TH!F$1,SMALL(Dong13,ROWS($1:6)),))</f>
        <v/>
      </c>
      <c r="E21" s="669" t="str">
        <f ca="1">IF(ROWS($1:6)&gt;COUNT(Dong13),"",OFFSET(TH!M$1,SMALL(Dong13,ROWS($1:6)),))</f>
        <v/>
      </c>
      <c r="F21" s="756" t="str">
        <f ca="1">IF(ROWS($1:6)&gt;COUNT(Dong13),"",OFFSET(TH!K$1,SMALL(Dong13,ROWS($1:6)),))</f>
        <v/>
      </c>
      <c r="G21" s="671">
        <f t="shared" ca="1" si="0"/>
        <v>0</v>
      </c>
      <c r="H21" s="671">
        <f t="shared" ca="1" si="0"/>
        <v>0</v>
      </c>
      <c r="I21" s="671" t="str">
        <f t="shared" ca="1" si="0"/>
        <v/>
      </c>
      <c r="J21" s="671" t="str">
        <f t="shared" ca="1" si="0"/>
        <v/>
      </c>
      <c r="K21" s="671" t="str">
        <f t="shared" ca="1" si="1"/>
        <v/>
      </c>
      <c r="L21" s="671" t="str">
        <f t="shared" ca="1" si="1"/>
        <v/>
      </c>
    </row>
    <row r="22" spans="1:12" ht="21.75" customHeight="1">
      <c r="A22" s="669" t="str">
        <f ca="1">IF(ROWS($1:7)&gt;COUNT(Dong13),"",OFFSET(TH!C$1,SMALL(Dong13,ROWS($1:7)),))</f>
        <v/>
      </c>
      <c r="B22" s="669" t="str">
        <f ca="1">IF(ROWS($1:7)&gt;COUNT(Dong13),"",OFFSET(TH!D$1,SMALL(Dong13,ROWS($1:7)),))</f>
        <v/>
      </c>
      <c r="C22" s="669" t="str">
        <f ca="1">IF(ROWS($1:7)&gt;COUNT(Dong13),"",OFFSET(TH!E$1,SMALL(Dong13,ROWS($1:7)),))</f>
        <v/>
      </c>
      <c r="D22" s="670" t="str">
        <f ca="1">IF(ROWS($1:7)&gt;COUNT(Dong13),"",OFFSET(TH!F$1,SMALL(Dong13,ROWS($1:7)),))</f>
        <v/>
      </c>
      <c r="E22" s="669" t="str">
        <f ca="1">IF(ROWS($1:7)&gt;COUNT(Dong13),"",OFFSET(TH!M$1,SMALL(Dong13,ROWS($1:7)),))</f>
        <v/>
      </c>
      <c r="F22" s="756" t="str">
        <f ca="1">IF(ROWS($1:7)&gt;COUNT(Dong13),"",OFFSET(TH!K$1,SMALL(Dong13,ROWS($1:7)),))</f>
        <v/>
      </c>
      <c r="G22" s="671">
        <f t="shared" ca="1" si="0"/>
        <v>0</v>
      </c>
      <c r="H22" s="671">
        <f t="shared" ca="1" si="0"/>
        <v>0</v>
      </c>
      <c r="I22" s="671" t="str">
        <f t="shared" ca="1" si="0"/>
        <v/>
      </c>
      <c r="J22" s="671" t="str">
        <f t="shared" ca="1" si="0"/>
        <v/>
      </c>
      <c r="K22" s="671" t="str">
        <f t="shared" ca="1" si="1"/>
        <v/>
      </c>
      <c r="L22" s="671" t="str">
        <f t="shared" ca="1" si="1"/>
        <v/>
      </c>
    </row>
    <row r="23" spans="1:12" ht="21.75" customHeight="1">
      <c r="A23" s="669" t="str">
        <f ca="1">IF(ROWS($1:8)&gt;COUNT(Dong13),"",OFFSET(TH!C$1,SMALL(Dong13,ROWS($1:8)),))</f>
        <v/>
      </c>
      <c r="B23" s="669" t="str">
        <f ca="1">IF(ROWS($1:8)&gt;COUNT(Dong13),"",OFFSET(TH!D$1,SMALL(Dong13,ROWS($1:8)),))</f>
        <v/>
      </c>
      <c r="C23" s="669" t="str">
        <f ca="1">IF(ROWS($1:8)&gt;COUNT(Dong13),"",OFFSET(TH!E$1,SMALL(Dong13,ROWS($1:8)),))</f>
        <v/>
      </c>
      <c r="D23" s="670" t="str">
        <f ca="1">IF(ROWS($1:8)&gt;COUNT(Dong13),"",OFFSET(TH!F$1,SMALL(Dong13,ROWS($1:8)),))</f>
        <v/>
      </c>
      <c r="E23" s="669" t="str">
        <f ca="1">IF(ROWS($1:8)&gt;COUNT(Dong13),"",OFFSET(TH!M$1,SMALL(Dong13,ROWS($1:8)),))</f>
        <v/>
      </c>
      <c r="F23" s="756" t="str">
        <f ca="1">IF(ROWS($1:8)&gt;COUNT(Dong13),"",OFFSET(TH!K$1,SMALL(Dong13,ROWS($1:8)),))</f>
        <v/>
      </c>
      <c r="G23" s="671">
        <f t="shared" ca="1" si="0"/>
        <v>0</v>
      </c>
      <c r="H23" s="671">
        <f t="shared" ca="1" si="0"/>
        <v>0</v>
      </c>
      <c r="I23" s="671" t="str">
        <f t="shared" ca="1" si="0"/>
        <v/>
      </c>
      <c r="J23" s="671" t="str">
        <f t="shared" ca="1" si="0"/>
        <v/>
      </c>
      <c r="K23" s="671" t="str">
        <f t="shared" ca="1" si="1"/>
        <v/>
      </c>
      <c r="L23" s="671" t="str">
        <f t="shared" ca="1" si="1"/>
        <v/>
      </c>
    </row>
    <row r="24" spans="1:12" ht="21.75" customHeight="1">
      <c r="A24" s="669" t="str">
        <f ca="1">IF(ROWS($1:9)&gt;COUNT(Dong13),"",OFFSET(TH!C$1,SMALL(Dong13,ROWS($1:9)),))</f>
        <v/>
      </c>
      <c r="B24" s="669" t="str">
        <f ca="1">IF(ROWS($1:9)&gt;COUNT(Dong13),"",OFFSET(TH!D$1,SMALL(Dong13,ROWS($1:9)),))</f>
        <v/>
      </c>
      <c r="C24" s="669" t="str">
        <f ca="1">IF(ROWS($1:9)&gt;COUNT(Dong13),"",OFFSET(TH!E$1,SMALL(Dong13,ROWS($1:9)),))</f>
        <v/>
      </c>
      <c r="D24" s="670" t="str">
        <f ca="1">IF(ROWS($1:9)&gt;COUNT(Dong13),"",OFFSET(TH!F$1,SMALL(Dong13,ROWS($1:9)),))</f>
        <v/>
      </c>
      <c r="E24" s="669" t="str">
        <f ca="1">IF(ROWS($1:9)&gt;COUNT(Dong13),"",OFFSET(TH!M$1,SMALL(Dong13,ROWS($1:9)),))</f>
        <v/>
      </c>
      <c r="F24" s="756" t="str">
        <f ca="1">IF(ROWS($1:9)&gt;COUNT(Dong13),"",OFFSET(TH!K$1,SMALL(Dong13,ROWS($1:9)),))</f>
        <v/>
      </c>
      <c r="G24" s="671">
        <f t="shared" ca="1" si="0"/>
        <v>0</v>
      </c>
      <c r="H24" s="671">
        <f t="shared" ca="1" si="0"/>
        <v>0</v>
      </c>
      <c r="I24" s="671" t="str">
        <f t="shared" ca="1" si="0"/>
        <v/>
      </c>
      <c r="J24" s="671" t="str">
        <f t="shared" ca="1" si="0"/>
        <v/>
      </c>
      <c r="K24" s="671" t="str">
        <f t="shared" ca="1" si="1"/>
        <v/>
      </c>
      <c r="L24" s="671" t="str">
        <f t="shared" ca="1" si="1"/>
        <v/>
      </c>
    </row>
    <row r="25" spans="1:12" ht="21.75" customHeight="1">
      <c r="A25" s="669" t="str">
        <f ca="1">IF(ROWS($1:10)&gt;COUNT(Dong13),"",OFFSET(TH!C$1,SMALL(Dong13,ROWS($1:10)),))</f>
        <v/>
      </c>
      <c r="B25" s="669" t="str">
        <f ca="1">IF(ROWS($1:10)&gt;COUNT(Dong13),"",OFFSET(TH!D$1,SMALL(Dong13,ROWS($1:10)),))</f>
        <v/>
      </c>
      <c r="C25" s="669" t="str">
        <f ca="1">IF(ROWS($1:10)&gt;COUNT(Dong13),"",OFFSET(TH!E$1,SMALL(Dong13,ROWS($1:10)),))</f>
        <v/>
      </c>
      <c r="D25" s="670" t="str">
        <f ca="1">IF(ROWS($1:10)&gt;COUNT(Dong13),"",OFFSET(TH!F$1,SMALL(Dong13,ROWS($1:10)),))</f>
        <v/>
      </c>
      <c r="E25" s="669" t="str">
        <f ca="1">IF(ROWS($1:10)&gt;COUNT(Dong13),"",OFFSET(TH!M$1,SMALL(Dong13,ROWS($1:10)),))</f>
        <v/>
      </c>
      <c r="F25" s="756" t="str">
        <f ca="1">IF(ROWS($1:10)&gt;COUNT(Dong13),"",OFFSET(TH!K$1,SMALL(Dong13,ROWS($1:10)),))</f>
        <v/>
      </c>
      <c r="G25" s="671">
        <f t="shared" ca="1" si="0"/>
        <v>0</v>
      </c>
      <c r="H25" s="671">
        <f t="shared" ca="1" si="0"/>
        <v>0</v>
      </c>
      <c r="I25" s="671" t="str">
        <f t="shared" ca="1" si="0"/>
        <v/>
      </c>
      <c r="J25" s="671" t="str">
        <f t="shared" ca="1" si="0"/>
        <v/>
      </c>
      <c r="K25" s="671" t="str">
        <f t="shared" ca="1" si="1"/>
        <v/>
      </c>
      <c r="L25" s="671" t="str">
        <f t="shared" ca="1" si="1"/>
        <v/>
      </c>
    </row>
    <row r="26" spans="1:12" ht="21.75" customHeight="1">
      <c r="A26" s="669"/>
      <c r="B26" s="672"/>
      <c r="C26" s="669"/>
      <c r="D26" s="673"/>
      <c r="E26" s="674"/>
      <c r="F26" s="675"/>
      <c r="G26" s="675"/>
      <c r="H26" s="675"/>
      <c r="I26" s="675"/>
      <c r="J26" s="675"/>
      <c r="K26" s="675"/>
      <c r="L26" s="675"/>
    </row>
    <row r="27" spans="1:12" ht="21.75" customHeight="1">
      <c r="A27" s="669"/>
      <c r="B27" s="672"/>
      <c r="C27" s="669"/>
      <c r="D27" s="667" t="s">
        <v>133</v>
      </c>
      <c r="E27" s="666" t="s">
        <v>19</v>
      </c>
      <c r="F27" s="668">
        <f t="shared" ref="F27:L27" ca="1" si="2">SUM(F15:F26)</f>
        <v>0</v>
      </c>
      <c r="G27" s="668">
        <f t="shared" ca="1" si="2"/>
        <v>0</v>
      </c>
      <c r="H27" s="668">
        <f t="shared" ca="1" si="2"/>
        <v>0</v>
      </c>
      <c r="I27" s="668">
        <f t="shared" ca="1" si="2"/>
        <v>0</v>
      </c>
      <c r="J27" s="668">
        <f t="shared" ca="1" si="2"/>
        <v>0</v>
      </c>
      <c r="K27" s="668">
        <f t="shared" ca="1" si="2"/>
        <v>0</v>
      </c>
      <c r="L27" s="668">
        <f t="shared" ca="1" si="2"/>
        <v>0</v>
      </c>
    </row>
    <row r="28" spans="1:12" ht="21.75" customHeight="1">
      <c r="A28" s="676"/>
      <c r="B28" s="674"/>
      <c r="C28" s="676"/>
      <c r="D28" s="677" t="s">
        <v>404</v>
      </c>
      <c r="E28" s="672"/>
      <c r="F28" s="668">
        <f ca="1">SUM(G28:L28)</f>
        <v>0</v>
      </c>
      <c r="G28" s="678">
        <f t="shared" ref="G28:L28" ca="1" si="3">G27</f>
        <v>0</v>
      </c>
      <c r="H28" s="678">
        <f t="shared" ca="1" si="3"/>
        <v>0</v>
      </c>
      <c r="I28" s="678">
        <f t="shared" ca="1" si="3"/>
        <v>0</v>
      </c>
      <c r="J28" s="678">
        <f t="shared" ca="1" si="3"/>
        <v>0</v>
      </c>
      <c r="K28" s="678">
        <f t="shared" ca="1" si="3"/>
        <v>0</v>
      </c>
      <c r="L28" s="678">
        <f t="shared" ca="1" si="3"/>
        <v>0</v>
      </c>
    </row>
    <row r="29" spans="1:12" ht="21.75" customHeight="1">
      <c r="A29" s="679"/>
      <c r="B29" s="679"/>
      <c r="C29" s="679"/>
      <c r="D29" s="680" t="s">
        <v>10</v>
      </c>
      <c r="E29" s="679" t="s">
        <v>19</v>
      </c>
      <c r="F29" s="681">
        <f t="shared" ref="F29:L29" ca="1" si="4">F15+F27-F28</f>
        <v>0</v>
      </c>
      <c r="G29" s="681">
        <f t="shared" ca="1" si="4"/>
        <v>0</v>
      </c>
      <c r="H29" s="681">
        <f t="shared" ca="1" si="4"/>
        <v>0</v>
      </c>
      <c r="I29" s="681">
        <f t="shared" ca="1" si="4"/>
        <v>0</v>
      </c>
      <c r="J29" s="681">
        <f t="shared" ca="1" si="4"/>
        <v>0</v>
      </c>
      <c r="K29" s="681">
        <f t="shared" ca="1" si="4"/>
        <v>0</v>
      </c>
      <c r="L29" s="681">
        <f t="shared" ca="1" si="4"/>
        <v>0</v>
      </c>
    </row>
    <row r="31" spans="1:12">
      <c r="B31" s="682"/>
      <c r="C31" s="662" t="s">
        <v>389</v>
      </c>
    </row>
    <row r="32" spans="1:12">
      <c r="C32" s="662" t="e">
        <f ca="1">"- Ngày mở sổ: "&amp;"01/"&amp;MONTH(A16)&amp;"/"&amp;YEAR(A16)</f>
        <v>#VALUE!</v>
      </c>
    </row>
    <row r="33" spans="2:12">
      <c r="E33" s="661"/>
      <c r="F33" s="661"/>
      <c r="G33" s="661"/>
      <c r="H33" s="661"/>
      <c r="I33" s="661"/>
      <c r="J33" s="116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63"/>
      <c r="L33" s="1163"/>
    </row>
    <row r="34" spans="2:12">
      <c r="B34" s="661"/>
      <c r="C34" s="752" t="s">
        <v>11</v>
      </c>
      <c r="D34" s="661"/>
      <c r="E34" s="661"/>
      <c r="F34" s="661"/>
      <c r="G34" s="661"/>
      <c r="H34" s="661"/>
      <c r="I34" s="661"/>
      <c r="J34" s="1163" t="s">
        <v>12</v>
      </c>
      <c r="K34" s="1163"/>
      <c r="L34" s="1163"/>
    </row>
    <row r="35" spans="2:12">
      <c r="B35" s="661"/>
      <c r="C35" s="752" t="s">
        <v>13</v>
      </c>
      <c r="D35" s="661"/>
      <c r="E35" s="661"/>
      <c r="F35" s="661"/>
      <c r="G35" s="661"/>
      <c r="H35" s="661"/>
      <c r="I35" s="661"/>
      <c r="J35" s="1170" t="s">
        <v>13</v>
      </c>
      <c r="K35" s="1170"/>
      <c r="L35" s="1170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2017-01-11T05:01:11Z</cp:lastPrinted>
  <dcterms:created xsi:type="dcterms:W3CDTF">1996-10-14T23:33:28Z</dcterms:created>
  <dcterms:modified xsi:type="dcterms:W3CDTF">2017-01-18T06:31:32Z</dcterms:modified>
</cp:coreProperties>
</file>