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'331'!$B$6:$B$15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 localSheetId="25">OFFSET('[3]NK-SC'!$J$11,,,COUNTA('[3]NK-SC'!$J$11:$J$3855))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K650" i="34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88" i="60"/>
  <c r="S374" i="60"/>
  <c r="S385" i="60"/>
  <c r="S371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17" i="60"/>
  <c r="S346" i="60" l="1"/>
  <c r="S235" i="60"/>
  <c r="S196" i="60"/>
  <c r="S344" i="60"/>
  <c r="S321" i="60"/>
  <c r="S238" i="60"/>
  <c r="S306" i="60"/>
  <c r="S225" i="60"/>
  <c r="K1594" i="34"/>
  <c r="S348" i="60"/>
  <c r="S342" i="60"/>
  <c r="S339" i="60"/>
  <c r="S304" i="60"/>
  <c r="S270" i="60"/>
  <c r="S318" i="60"/>
  <c r="S290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21" i="60"/>
  <c r="Z20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84" i="55"/>
  <c r="A484" i="55" s="1"/>
  <c r="A19" i="60" l="1"/>
  <c r="A20" i="60" s="1"/>
  <c r="A21" i="60" s="1"/>
  <c r="A22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21" i="70"/>
  <c r="I6" i="70"/>
  <c r="H12" i="61"/>
  <c r="I12" i="61"/>
  <c r="C12" i="61"/>
  <c r="G12" i="61"/>
  <c r="D12" i="61"/>
  <c r="E12" i="61"/>
  <c r="F12" i="61"/>
  <c r="U181" i="34" l="1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D62" i="15" s="1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50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50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I60" i="14" l="1"/>
  <c r="I61" i="14" s="1"/>
  <c r="H51" i="47"/>
  <c r="H52" i="47" s="1"/>
  <c r="A164" i="55"/>
  <c r="B165" i="55"/>
  <c r="M196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58" i="15" a="1"/>
  <c r="F58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56" i="15" a="1"/>
  <c r="F56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58" i="15" a="1"/>
  <c r="E58" i="15" s="1"/>
  <c r="I58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59" i="15" a="1"/>
  <c r="E59" i="15" s="1"/>
  <c r="I59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51" i="15" a="1"/>
  <c r="F51" i="15" s="1"/>
  <c r="F52" i="15" s="1"/>
  <c r="E55" i="15" a="1"/>
  <c r="E55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57" i="15" a="1"/>
  <c r="E57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56" i="15" a="1"/>
  <c r="E56" i="15" s="1"/>
  <c r="I56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434" i="55" a="1"/>
  <c r="H434" i="55" s="1"/>
  <c r="L434" i="55" s="1"/>
  <c r="H116" i="55" a="1"/>
  <c r="H116" i="55" s="1"/>
  <c r="E19" i="15" a="1"/>
  <c r="E19" i="15" s="1"/>
  <c r="F8" i="12" a="1"/>
  <c r="F8" i="12" s="1"/>
  <c r="F24" i="15" a="1"/>
  <c r="F24" i="15" s="1"/>
  <c r="E38" i="15" a="1"/>
  <c r="E38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F44" i="15" a="1"/>
  <c r="F44" i="15" s="1"/>
  <c r="E9" i="12" a="1"/>
  <c r="E9" i="12" s="1"/>
  <c r="F28" i="15" a="1"/>
  <c r="F28" i="15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54" i="15" a="1"/>
  <c r="E54" i="15" s="1"/>
  <c r="E60" i="15" a="1"/>
  <c r="E60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35" i="15" a="1"/>
  <c r="F35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4" i="15" a="1"/>
  <c r="E24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20" i="15" a="1"/>
  <c r="F20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36" i="15" a="1"/>
  <c r="F36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F33" i="15" a="1"/>
  <c r="F33" i="15" s="1"/>
  <c r="E21" i="15" a="1"/>
  <c r="E21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32" i="15" a="1"/>
  <c r="E32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37" i="15" a="1"/>
  <c r="E37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7" i="15" a="1"/>
  <c r="E27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48" i="15" a="1"/>
  <c r="F48" i="15" s="1"/>
  <c r="H144" i="55" a="1"/>
  <c r="H144" i="55" s="1"/>
  <c r="L144" i="55" s="1"/>
  <c r="E25" i="15" a="1"/>
  <c r="E25" i="15" s="1"/>
  <c r="F21" i="15" a="1"/>
  <c r="F21" i="15" s="1"/>
  <c r="H480" i="55" a="1"/>
  <c r="H480" i="55" s="1"/>
  <c r="L480" i="55" s="1"/>
  <c r="E26" i="15" a="1"/>
  <c r="E26" i="15" s="1"/>
  <c r="F19" i="70" a="1"/>
  <c r="F19" i="70" s="1"/>
  <c r="E10" i="15" a="1"/>
  <c r="E10" i="15" s="1"/>
  <c r="F26" i="15" a="1"/>
  <c r="F26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20" i="15" a="1"/>
  <c r="E20" i="15" s="1"/>
  <c r="E46" i="15" a="1"/>
  <c r="E46" i="15" s="1"/>
  <c r="E15" i="70" a="1"/>
  <c r="E15" i="70" s="1"/>
  <c r="G15" i="70" s="1"/>
  <c r="F17" i="15" a="1"/>
  <c r="F17" i="15" s="1"/>
  <c r="H478" i="55" a="1"/>
  <c r="H478" i="55" s="1"/>
  <c r="L478" i="55" s="1"/>
  <c r="H293" i="55" a="1"/>
  <c r="H293" i="55" s="1"/>
  <c r="L293" i="55" s="1"/>
  <c r="H12" i="55" a="1"/>
  <c r="H12" i="55" s="1"/>
  <c r="E28" i="15" a="1"/>
  <c r="E28" i="15" s="1"/>
  <c r="G28" i="15" s="1"/>
  <c r="F27" i="15" a="1"/>
  <c r="F27" i="15" s="1"/>
  <c r="E7" i="70" a="1"/>
  <c r="E7" i="70" s="1"/>
  <c r="G7" i="70" s="1"/>
  <c r="H64" i="55" a="1"/>
  <c r="H64" i="55" s="1"/>
  <c r="L64" i="55" s="1"/>
  <c r="F38" i="15" a="1"/>
  <c r="F38" i="15" s="1"/>
  <c r="H38" i="15" s="1"/>
  <c r="H141" i="55" a="1"/>
  <c r="H141" i="55" s="1"/>
  <c r="E15" i="15" a="1"/>
  <c r="E15" i="15" s="1"/>
  <c r="F39" i="15" a="1"/>
  <c r="F39" i="15" s="1"/>
  <c r="F25" i="15" a="1"/>
  <c r="F25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49" i="15" a="1"/>
  <c r="E49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23" i="15" a="1"/>
  <c r="E23" i="15" s="1"/>
  <c r="E61" i="15" a="1"/>
  <c r="E61" i="15" s="1"/>
  <c r="I61" i="15" s="1"/>
  <c r="H39" i="55" a="1"/>
  <c r="H39" i="55" s="1"/>
  <c r="L39" i="55" s="1"/>
  <c r="H157" i="55" a="1"/>
  <c r="H157" i="55" s="1"/>
  <c r="H411" i="55" a="1"/>
  <c r="H411" i="55" s="1"/>
  <c r="L411" i="55" s="1"/>
  <c r="F19" i="15" a="1"/>
  <c r="F19" i="15" s="1"/>
  <c r="H19" i="15" s="1"/>
  <c r="F42" i="15" a="1"/>
  <c r="F42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32" i="15" a="1"/>
  <c r="F32" i="15" s="1"/>
  <c r="H273" i="55" a="1"/>
  <c r="H273" i="55" s="1"/>
  <c r="L273" i="55" s="1"/>
  <c r="F18" i="70" a="1"/>
  <c r="F18" i="70" s="1"/>
  <c r="E48" i="15" a="1"/>
  <c r="E48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H23" i="15"/>
  <c r="G11" i="70"/>
  <c r="G12" i="70"/>
  <c r="H12" i="12"/>
  <c r="H13" i="12"/>
  <c r="G14" i="12"/>
  <c r="G8" i="12"/>
  <c r="G10" i="70"/>
  <c r="G10" i="12"/>
  <c r="G24" i="15"/>
  <c r="H27" i="15"/>
  <c r="H20" i="70"/>
  <c r="H48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54" i="15" a="1"/>
  <c r="F54" i="15" s="1"/>
  <c r="I54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42" i="15"/>
  <c r="F43" i="15"/>
  <c r="H43" i="15" s="1"/>
  <c r="G6" i="12"/>
  <c r="E16" i="12"/>
  <c r="L141" i="55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L57" i="55"/>
  <c r="H24" i="15"/>
  <c r="H10" i="12"/>
  <c r="G39" i="15"/>
  <c r="G40" i="15" s="1"/>
  <c r="E40" i="15"/>
  <c r="E41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55" i="15" a="1"/>
  <c r="F55" i="15" s="1"/>
  <c r="I55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2" i="15"/>
  <c r="G20" i="15"/>
  <c r="L151" i="55" s="1"/>
  <c r="H151" i="55"/>
  <c r="F18" i="15"/>
  <c r="H17" i="15"/>
  <c r="E45" i="15"/>
  <c r="G44" i="15"/>
  <c r="G45" i="15" s="1"/>
  <c r="E11" i="15"/>
  <c r="G10" i="15"/>
  <c r="G11" i="15" s="1"/>
  <c r="J17" i="55"/>
  <c r="H21" i="15"/>
  <c r="G27" i="15"/>
  <c r="L122" i="55"/>
  <c r="H37" i="15"/>
  <c r="E34" i="15"/>
  <c r="G32" i="15"/>
  <c r="G34" i="15" s="1"/>
  <c r="E31" i="15"/>
  <c r="G30" i="15"/>
  <c r="G31" i="15" s="1"/>
  <c r="H20" i="15"/>
  <c r="J151" i="55"/>
  <c r="F22" i="15"/>
  <c r="H22" i="15" s="1"/>
  <c r="G14" i="70"/>
  <c r="H28" i="15"/>
  <c r="H8" i="12"/>
  <c r="G35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57" i="15" a="1"/>
  <c r="F57" i="15" s="1"/>
  <c r="I57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60" i="15" a="1"/>
  <c r="F60" i="15" s="1"/>
  <c r="I60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53" i="15" a="1"/>
  <c r="F53" i="15" s="1"/>
  <c r="I53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F34" i="15"/>
  <c r="H32" i="15"/>
  <c r="H34" i="15" s="1"/>
  <c r="J486" i="55"/>
  <c r="H25" i="15"/>
  <c r="G18" i="70"/>
  <c r="G48" i="15"/>
  <c r="G23" i="15"/>
  <c r="F40" i="15"/>
  <c r="F41" i="15" s="1"/>
  <c r="H39" i="15"/>
  <c r="H40" i="15" s="1"/>
  <c r="H16" i="55"/>
  <c r="L355" i="55"/>
  <c r="G17" i="15"/>
  <c r="E18" i="15"/>
  <c r="G18" i="15" s="1"/>
  <c r="G25" i="15"/>
  <c r="L486" i="55" s="1"/>
  <c r="H486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20" i="70"/>
  <c r="G19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E62" i="15" l="1"/>
  <c r="F62" i="15"/>
  <c r="I17" i="55"/>
  <c r="G41" i="15"/>
  <c r="J150" i="55"/>
  <c r="I151" i="55" s="1"/>
  <c r="G22" i="70"/>
  <c r="J485" i="55"/>
  <c r="I486" i="55" s="1"/>
  <c r="H19" i="70"/>
  <c r="G22" i="15"/>
  <c r="G16" i="12"/>
  <c r="F22" i="70"/>
  <c r="H6" i="70"/>
  <c r="E22" i="70"/>
  <c r="H13" i="70"/>
  <c r="H18" i="15"/>
  <c r="H150" i="55"/>
  <c r="G151" i="55" s="1"/>
  <c r="H29" i="15"/>
  <c r="H16" i="12"/>
  <c r="J15" i="15"/>
  <c r="G16" i="15"/>
  <c r="H485" i="55"/>
  <c r="G486" i="55" s="1"/>
  <c r="L152" i="55"/>
  <c r="L485" i="55" s="1"/>
  <c r="K486" i="55" s="1"/>
  <c r="G17" i="55"/>
  <c r="H41" i="15"/>
  <c r="L150" i="55"/>
  <c r="K151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22" i="70"/>
  <c r="H64" i="15" l="1"/>
</calcChain>
</file>

<file path=xl/sharedStrings.xml><?xml version="1.0" encoding="utf-8"?>
<sst xmlns="http://schemas.openxmlformats.org/spreadsheetml/2006/main" count="18757" uniqueCount="1483">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</sst>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2" fillId="0" borderId="0"/>
  </cellStyleXfs>
  <cellXfs count="114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3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4" fillId="0" borderId="2" xfId="93" applyFont="1" applyBorder="1" applyAlignment="1">
      <alignment horizontal="center" vertical="center"/>
    </xf>
    <xf numFmtId="164" fontId="84" fillId="0" borderId="2" xfId="94" applyNumberFormat="1" applyFont="1" applyBorder="1" applyAlignment="1">
      <alignment horizontal="center" vertical="center"/>
    </xf>
    <xf numFmtId="0" fontId="84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5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4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4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7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8" fillId="0" borderId="0" xfId="85" applyFont="1" applyAlignment="1">
      <alignment vertical="center"/>
    </xf>
    <xf numFmtId="0" fontId="88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164" fontId="90" fillId="0" borderId="0" xfId="77" applyNumberFormat="1" applyFont="1" applyAlignment="1">
      <alignment vertical="center"/>
    </xf>
    <xf numFmtId="164" fontId="91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Alignment="1" applyProtection="1">
      <alignment vertical="center"/>
      <protection hidden="1"/>
    </xf>
    <xf numFmtId="0" fontId="92" fillId="0" borderId="0" xfId="80" applyFont="1" applyAlignment="1" applyProtection="1">
      <alignment horizontal="center" vertical="center"/>
      <protection hidden="1"/>
    </xf>
    <xf numFmtId="0" fontId="93" fillId="0" borderId="0" xfId="77" applyFont="1" applyFill="1" applyBorder="1" applyAlignment="1" applyProtection="1">
      <alignment horizontal="left" vertical="center"/>
      <protection hidden="1"/>
    </xf>
    <xf numFmtId="0" fontId="93" fillId="0" borderId="0" xfId="80" applyFont="1" applyFill="1" applyBorder="1" applyAlignment="1" applyProtection="1">
      <alignment vertical="center"/>
      <protection hidden="1"/>
    </xf>
    <xf numFmtId="164" fontId="94" fillId="0" borderId="0" xfId="77" applyNumberFormat="1" applyFont="1" applyBorder="1" applyAlignment="1" applyProtection="1">
      <alignment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3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3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3" fillId="0" borderId="19" xfId="98" applyFont="1" applyFill="1" applyBorder="1" applyAlignment="1">
      <alignment vertical="center"/>
    </xf>
    <xf numFmtId="164" fontId="83" fillId="29" borderId="19" xfId="29" applyNumberFormat="1" applyFont="1" applyFill="1" applyBorder="1" applyAlignment="1">
      <alignment horizontal="right" vertical="center"/>
    </xf>
    <xf numFmtId="164" fontId="83" fillId="0" borderId="19" xfId="29" applyNumberFormat="1" applyFont="1" applyBorder="1" applyAlignment="1">
      <alignment vertical="center"/>
    </xf>
    <xf numFmtId="164" fontId="83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3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5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0" fontId="97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8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9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8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8" fillId="0" borderId="16" xfId="77" applyNumberFormat="1" applyFont="1" applyFill="1" applyBorder="1" applyAlignment="1">
      <alignment horizontal="center" vertical="center"/>
    </xf>
    <xf numFmtId="14" fontId="98" fillId="0" borderId="16" xfId="76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98" fillId="0" borderId="16" xfId="54" quotePrefix="1" applyNumberFormat="1" applyFont="1" applyFill="1" applyBorder="1" applyAlignment="1">
      <alignment horizontal="left" vertical="center"/>
    </xf>
    <xf numFmtId="3" fontId="98" fillId="0" borderId="16" xfId="46" applyFont="1" applyBorder="1" applyAlignment="1">
      <alignment vertical="center"/>
    </xf>
    <xf numFmtId="164" fontId="98" fillId="0" borderId="16" xfId="29" applyNumberFormat="1" applyFont="1" applyFill="1" applyBorder="1" applyAlignment="1">
      <alignment horizontal="left" vertical="center"/>
    </xf>
    <xf numFmtId="164" fontId="98" fillId="0" borderId="16" xfId="29" quotePrefix="1" applyNumberFormat="1" applyFont="1" applyFill="1" applyBorder="1" applyAlignment="1">
      <alignment horizontal="left" vertical="center"/>
    </xf>
    <xf numFmtId="1" fontId="98" fillId="0" borderId="16" xfId="54" quotePrefix="1" applyNumberFormat="1" applyFont="1" applyFill="1" applyBorder="1" applyAlignment="1">
      <alignment horizontal="center" vertical="center"/>
    </xf>
    <xf numFmtId="0" fontId="99" fillId="0" borderId="0" xfId="0" applyFont="1" applyFill="1" applyAlignment="1"/>
    <xf numFmtId="0" fontId="99" fillId="0" borderId="0" xfId="0" applyFont="1" applyFill="1"/>
    <xf numFmtId="0" fontId="98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9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100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8" fillId="29" borderId="0" xfId="95" applyNumberFormat="1" applyFont="1" applyFill="1" applyAlignment="1">
      <alignment vertical="center"/>
    </xf>
    <xf numFmtId="41" fontId="67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2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74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42" activePane="bottomLeft" state="frozen"/>
      <selection activeCell="A6" sqref="A6"/>
      <selection pane="bottomLeft" activeCell="G10" sqref="G10"/>
    </sheetView>
  </sheetViews>
  <sheetFormatPr defaultColWidth="8" defaultRowHeight="12.75"/>
  <cols>
    <col min="1" max="1" width="5.7109375" style="655" customWidth="1"/>
    <col min="2" max="2" width="36.85546875" style="655" customWidth="1"/>
    <col min="3" max="4" width="9.85546875" style="162" customWidth="1"/>
    <col min="5" max="6" width="14.7109375" style="655" customWidth="1"/>
    <col min="7" max="8" width="13.85546875" style="655" customWidth="1"/>
    <col min="9" max="9" width="2.42578125" style="655" customWidth="1"/>
    <col min="10" max="10" width="11" style="655" customWidth="1"/>
    <col min="11" max="11" width="2.85546875" style="655" customWidth="1"/>
    <col min="12" max="12" width="11.85546875" style="655" customWidth="1"/>
    <col min="13" max="16384" width="8" style="655"/>
  </cols>
  <sheetData>
    <row r="1" spans="1:16">
      <c r="A1" s="654"/>
      <c r="B1" s="654"/>
    </row>
    <row r="2" spans="1:16">
      <c r="A2" s="654" t="str">
        <f>TH!A1</f>
        <v>Đơn vị: CÔNG TY TNHH SX TM KIM DUNG PHÁT</v>
      </c>
      <c r="B2" s="654"/>
    </row>
    <row r="3" spans="1:16">
      <c r="A3" s="655" t="str">
        <f>TH!A2</f>
        <v>Địa chỉ: 1A227/1 Ấp 1, Phạm Văn Hai, Bình Chánh, TPHCM</v>
      </c>
      <c r="B3" s="654"/>
    </row>
    <row r="5" spans="1:16" ht="36" customHeight="1">
      <c r="A5" s="656"/>
      <c r="B5" s="656"/>
      <c r="C5" s="657"/>
      <c r="D5" s="658" t="s">
        <v>383</v>
      </c>
      <c r="E5" s="656"/>
      <c r="F5" s="656"/>
      <c r="G5" s="656"/>
      <c r="H5" s="656"/>
    </row>
    <row r="6" spans="1:16" ht="15.75">
      <c r="A6" s="656"/>
      <c r="B6" s="656"/>
      <c r="C6" s="657"/>
      <c r="D6" s="682" t="s">
        <v>384</v>
      </c>
      <c r="E6" s="656"/>
      <c r="F6" s="656"/>
      <c r="G6" s="656"/>
      <c r="H6" s="656"/>
    </row>
    <row r="7" spans="1:16" ht="6.75" customHeight="1"/>
    <row r="8" spans="1:16" ht="21.75" customHeight="1">
      <c r="A8" s="946" t="s">
        <v>1465</v>
      </c>
      <c r="B8" s="946" t="s">
        <v>381</v>
      </c>
      <c r="C8" s="942" t="s">
        <v>37</v>
      </c>
      <c r="D8" s="943"/>
      <c r="E8" s="942" t="s">
        <v>38</v>
      </c>
      <c r="F8" s="943"/>
      <c r="G8" s="942" t="s">
        <v>382</v>
      </c>
      <c r="H8" s="943"/>
    </row>
    <row r="9" spans="1:16" ht="21.75" customHeight="1">
      <c r="A9" s="947"/>
      <c r="B9" s="947"/>
      <c r="C9" s="653" t="s">
        <v>42</v>
      </c>
      <c r="D9" s="653" t="s">
        <v>43</v>
      </c>
      <c r="E9" s="653" t="s">
        <v>42</v>
      </c>
      <c r="F9" s="653" t="s">
        <v>43</v>
      </c>
      <c r="G9" s="653" t="s">
        <v>42</v>
      </c>
      <c r="H9" s="653" t="s">
        <v>43</v>
      </c>
    </row>
    <row r="10" spans="1:16" s="162" customFormat="1" ht="17.25" customHeight="1">
      <c r="A10" s="659" t="s">
        <v>47</v>
      </c>
      <c r="B10" s="660" t="s">
        <v>48</v>
      </c>
      <c r="C10" s="661"/>
      <c r="D10" s="661"/>
      <c r="E10" s="661">
        <f t="array" ref="E10">SUM(IF(A10=KHN,TH))</f>
        <v>2719780204</v>
      </c>
      <c r="F10" s="661">
        <f t="array" ref="F10">SUM(IF(A10=KHC,TH))</f>
        <v>1108360582</v>
      </c>
      <c r="G10" s="662">
        <f>MAX(C10+E10-D10-F10,0)</f>
        <v>1611419622</v>
      </c>
      <c r="H10" s="662">
        <f>MAX(D10+F10-E10-C10,0)</f>
        <v>0</v>
      </c>
      <c r="J10" s="655"/>
      <c r="K10" s="655"/>
      <c r="L10" s="655"/>
      <c r="M10" s="655"/>
      <c r="N10" s="655"/>
      <c r="O10" s="655"/>
      <c r="P10" s="655"/>
    </row>
    <row r="11" spans="1:16" s="162" customFormat="1" ht="17.25" customHeight="1">
      <c r="A11" s="664" t="s">
        <v>16</v>
      </c>
      <c r="B11" s="664" t="s">
        <v>49</v>
      </c>
      <c r="C11" s="665">
        <f t="shared" ref="C11:H11" si="0">C10</f>
        <v>0</v>
      </c>
      <c r="D11" s="665">
        <f t="shared" si="0"/>
        <v>0</v>
      </c>
      <c r="E11" s="665">
        <f t="shared" si="0"/>
        <v>2719780204</v>
      </c>
      <c r="F11" s="665">
        <f t="shared" si="0"/>
        <v>1108360582</v>
      </c>
      <c r="G11" s="665">
        <f t="shared" si="0"/>
        <v>1611419622</v>
      </c>
      <c r="H11" s="665">
        <f t="shared" si="0"/>
        <v>0</v>
      </c>
      <c r="J11" s="655"/>
      <c r="K11" s="655"/>
      <c r="L11" s="655"/>
      <c r="M11" s="655"/>
      <c r="N11" s="655"/>
      <c r="O11" s="655"/>
      <c r="P11" s="655"/>
    </row>
    <row r="12" spans="1:16" s="162" customFormat="1" ht="17.25" customHeight="1">
      <c r="A12" s="660" t="s">
        <v>24</v>
      </c>
      <c r="B12" s="660" t="s">
        <v>50</v>
      </c>
      <c r="C12" s="661">
        <v>0</v>
      </c>
      <c r="D12" s="661">
        <v>0</v>
      </c>
      <c r="E12" s="661">
        <f t="array" ref="E12">SUM(IF(A12=KHN,TH))</f>
        <v>1619564840</v>
      </c>
      <c r="F12" s="661">
        <f t="array" ref="F12">SUM(IF(A12=KHC,TH))</f>
        <v>1599112401</v>
      </c>
      <c r="G12" s="662">
        <f>MAX(C12+E12-D12-F12,0)</f>
        <v>20452439</v>
      </c>
      <c r="H12" s="662">
        <f>MAX(D12+F12-E12-C12,0)</f>
        <v>0</v>
      </c>
      <c r="K12" s="663"/>
      <c r="L12" s="663"/>
      <c r="M12" s="663"/>
    </row>
    <row r="13" spans="1:16" s="162" customFormat="1" ht="17.25" customHeight="1">
      <c r="A13" s="664" t="s">
        <v>51</v>
      </c>
      <c r="B13" s="664" t="s">
        <v>52</v>
      </c>
      <c r="C13" s="665">
        <f t="shared" ref="C13:H13" si="1">C12</f>
        <v>0</v>
      </c>
      <c r="D13" s="665">
        <f t="shared" si="1"/>
        <v>0</v>
      </c>
      <c r="E13" s="665">
        <f t="shared" si="1"/>
        <v>1619564840</v>
      </c>
      <c r="F13" s="665">
        <f t="shared" si="1"/>
        <v>1599112401</v>
      </c>
      <c r="G13" s="665">
        <f t="shared" si="1"/>
        <v>20452439</v>
      </c>
      <c r="H13" s="665">
        <f t="shared" si="1"/>
        <v>0</v>
      </c>
    </row>
    <row r="14" spans="1:16" s="162" customFormat="1" ht="17.25" customHeight="1">
      <c r="A14" s="664" t="s">
        <v>274</v>
      </c>
      <c r="B14" s="664" t="s">
        <v>292</v>
      </c>
      <c r="C14" s="665"/>
      <c r="D14" s="665"/>
      <c r="E14" s="666">
        <f t="array" ref="E14">SUM(IF(A14=KHN,TH))</f>
        <v>1299769030</v>
      </c>
      <c r="F14" s="666">
        <f t="array" ref="F14">SUM(IF(A14=KHC,TH))</f>
        <v>1108286061</v>
      </c>
      <c r="G14" s="665">
        <f>MAX(C14+E14-D14-F14,0)</f>
        <v>191482969</v>
      </c>
      <c r="H14" s="665">
        <f>MAX(D14+F14-E14-C14,0)</f>
        <v>0</v>
      </c>
    </row>
    <row r="15" spans="1:16" s="162" customFormat="1" ht="17.25" customHeight="1">
      <c r="A15" s="660" t="s">
        <v>9</v>
      </c>
      <c r="B15" s="660" t="s">
        <v>53</v>
      </c>
      <c r="C15" s="661"/>
      <c r="D15" s="661"/>
      <c r="E15" s="661">
        <f t="array" ref="E15">SUM(IF(A15=KHN,TH))</f>
        <v>122714395</v>
      </c>
      <c r="F15" s="661">
        <f t="array" ref="F15">SUM(IF(A15=KHC,TH))</f>
        <v>115599418</v>
      </c>
      <c r="G15" s="662">
        <f>MAX(C15+E15-D15-F15,0)</f>
        <v>7114977</v>
      </c>
      <c r="H15" s="662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4" t="s">
        <v>54</v>
      </c>
      <c r="B16" s="664" t="s">
        <v>55</v>
      </c>
      <c r="C16" s="665">
        <f t="shared" ref="C16:H16" si="2">C15</f>
        <v>0</v>
      </c>
      <c r="D16" s="665">
        <f t="shared" si="2"/>
        <v>0</v>
      </c>
      <c r="E16" s="665">
        <f t="shared" si="2"/>
        <v>122714395</v>
      </c>
      <c r="F16" s="665">
        <f t="shared" si="2"/>
        <v>115599418</v>
      </c>
      <c r="G16" s="665">
        <f t="shared" si="2"/>
        <v>7114977</v>
      </c>
      <c r="H16" s="665">
        <f t="shared" si="2"/>
        <v>0</v>
      </c>
    </row>
    <row r="17" spans="1:8" s="162" customFormat="1" ht="17.25" hidden="1" customHeight="1">
      <c r="A17" s="660" t="s">
        <v>56</v>
      </c>
      <c r="B17" s="660" t="s">
        <v>57</v>
      </c>
      <c r="C17" s="661"/>
      <c r="D17" s="661"/>
      <c r="E17" s="661">
        <f t="array" ref="E17">SUM(IF(A17=KHN,TH))</f>
        <v>0</v>
      </c>
      <c r="F17" s="661">
        <f t="array" ref="F17">SUM(IF(A17=KHC,TH))</f>
        <v>0</v>
      </c>
      <c r="G17" s="662">
        <f t="shared" ref="G17:G39" si="3">MAX(C17+E17-D17-F17,0)</f>
        <v>0</v>
      </c>
      <c r="H17" s="662">
        <f t="shared" ref="H17:H39" si="4">MAX(D17+F17-E17-C17,0)</f>
        <v>0</v>
      </c>
    </row>
    <row r="18" spans="1:8" s="162" customFormat="1" ht="17.25" hidden="1" customHeight="1">
      <c r="A18" s="664" t="s">
        <v>58</v>
      </c>
      <c r="B18" s="664" t="s">
        <v>59</v>
      </c>
      <c r="C18" s="665">
        <f>C17</f>
        <v>0</v>
      </c>
      <c r="D18" s="665">
        <f>D17</f>
        <v>0</v>
      </c>
      <c r="E18" s="665">
        <f>E17</f>
        <v>0</v>
      </c>
      <c r="F18" s="665">
        <f>F17</f>
        <v>0</v>
      </c>
      <c r="G18" s="665">
        <f t="shared" si="3"/>
        <v>0</v>
      </c>
      <c r="H18" s="665">
        <f t="shared" si="4"/>
        <v>0</v>
      </c>
    </row>
    <row r="19" spans="1:8" s="162" customFormat="1" ht="17.25" customHeight="1">
      <c r="A19" s="673" t="s">
        <v>791</v>
      </c>
      <c r="B19" s="664" t="s">
        <v>792</v>
      </c>
      <c r="C19" s="665"/>
      <c r="D19" s="665">
        <v>0</v>
      </c>
      <c r="E19" s="666">
        <f t="array" ref="E19">SUM(IF(A19=KHN,TH))</f>
        <v>15583625</v>
      </c>
      <c r="F19" s="666">
        <f t="array" ref="F19">SUM(IF(A19=KHC,TH))</f>
        <v>11016806</v>
      </c>
      <c r="G19" s="665">
        <f t="shared" si="3"/>
        <v>4566819</v>
      </c>
      <c r="H19" s="665">
        <f t="shared" si="4"/>
        <v>0</v>
      </c>
    </row>
    <row r="20" spans="1:8" s="162" customFormat="1" ht="17.25" customHeight="1">
      <c r="A20" s="660" t="s">
        <v>159</v>
      </c>
      <c r="B20" s="660" t="s">
        <v>160</v>
      </c>
      <c r="C20" s="661"/>
      <c r="D20" s="661"/>
      <c r="E20" s="661">
        <f t="array" ref="E20">SUM(IF(A20=KHN,TH))</f>
        <v>805145217</v>
      </c>
      <c r="F20" s="661">
        <f t="array" ref="F20">SUM(IF(A20=KHC,TH))</f>
        <v>803751979</v>
      </c>
      <c r="G20" s="662">
        <f t="shared" si="3"/>
        <v>1393238</v>
      </c>
      <c r="H20" s="662">
        <f t="shared" si="4"/>
        <v>0</v>
      </c>
    </row>
    <row r="21" spans="1:8" s="162" customFormat="1" ht="17.25" customHeight="1">
      <c r="A21" s="660" t="s">
        <v>161</v>
      </c>
      <c r="B21" s="660" t="s">
        <v>162</v>
      </c>
      <c r="C21" s="661"/>
      <c r="D21" s="661"/>
      <c r="E21" s="661">
        <f t="array" ref="E21">SUM(IF(A21=KHN,TH))</f>
        <v>15142970</v>
      </c>
      <c r="F21" s="661">
        <f t="array" ref="F21">SUM(IF(A21=KHC,TH))</f>
        <v>13892970</v>
      </c>
      <c r="G21" s="661">
        <f t="shared" si="3"/>
        <v>1250000</v>
      </c>
      <c r="H21" s="661">
        <f t="shared" si="4"/>
        <v>0</v>
      </c>
    </row>
    <row r="22" spans="1:8" s="162" customFormat="1" ht="17.25" customHeight="1">
      <c r="A22" s="664" t="s">
        <v>163</v>
      </c>
      <c r="B22" s="664" t="s">
        <v>164</v>
      </c>
      <c r="C22" s="665">
        <f>C20+C21</f>
        <v>0</v>
      </c>
      <c r="D22" s="665">
        <f>D20+D21</f>
        <v>0</v>
      </c>
      <c r="E22" s="665">
        <f>E20+E21</f>
        <v>820288187</v>
      </c>
      <c r="F22" s="665">
        <f>F20+F21</f>
        <v>817644949</v>
      </c>
      <c r="G22" s="665">
        <f t="shared" si="3"/>
        <v>2643238</v>
      </c>
      <c r="H22" s="665">
        <f t="shared" si="4"/>
        <v>0</v>
      </c>
    </row>
    <row r="23" spans="1:8" s="162" customFormat="1" ht="17.25" hidden="1" customHeight="1">
      <c r="A23" s="664" t="s">
        <v>165</v>
      </c>
      <c r="B23" s="664" t="s">
        <v>166</v>
      </c>
      <c r="C23" s="665"/>
      <c r="D23" s="665">
        <v>0</v>
      </c>
      <c r="E23" s="666">
        <f t="array" ref="E23">SUM(IF(A23=KHN,TH))</f>
        <v>0</v>
      </c>
      <c r="F23" s="666">
        <f t="array" ref="F23">SUM(IF(A23=KHC,TH))</f>
        <v>0</v>
      </c>
      <c r="G23" s="665">
        <f t="shared" si="3"/>
        <v>0</v>
      </c>
      <c r="H23" s="665">
        <f t="shared" si="4"/>
        <v>0</v>
      </c>
    </row>
    <row r="24" spans="1:8" s="162" customFormat="1" ht="17.25" customHeight="1">
      <c r="A24" s="664" t="s">
        <v>167</v>
      </c>
      <c r="B24" s="664" t="s">
        <v>168</v>
      </c>
      <c r="C24" s="665"/>
      <c r="D24" s="665">
        <v>0</v>
      </c>
      <c r="E24" s="666">
        <f t="array" ref="E24">SUM(IF(A24=KHN,TH))</f>
        <v>957706400</v>
      </c>
      <c r="F24" s="666">
        <f t="array" ref="F24">SUM(IF(A24=KHC,TH))</f>
        <v>957706400</v>
      </c>
      <c r="G24" s="665">
        <f t="shared" si="3"/>
        <v>0</v>
      </c>
      <c r="H24" s="665">
        <f t="shared" si="4"/>
        <v>0</v>
      </c>
    </row>
    <row r="25" spans="1:8" s="162" customFormat="1" ht="17.25" customHeight="1">
      <c r="A25" s="664" t="s">
        <v>169</v>
      </c>
      <c r="B25" s="664" t="s">
        <v>170</v>
      </c>
      <c r="C25" s="665"/>
      <c r="D25" s="665"/>
      <c r="E25" s="666">
        <f t="array" ref="E25">SUM(IF(A25=KHN,TH))</f>
        <v>957706400</v>
      </c>
      <c r="F25" s="666">
        <f t="array" ref="F25">SUM(IF(A25=KHC,TH))</f>
        <v>957706400</v>
      </c>
      <c r="G25" s="665">
        <f t="shared" si="3"/>
        <v>0</v>
      </c>
      <c r="H25" s="665">
        <f t="shared" si="4"/>
        <v>0</v>
      </c>
    </row>
    <row r="26" spans="1:8" s="162" customFormat="1" ht="17.25" hidden="1" customHeight="1">
      <c r="A26" s="667" t="s">
        <v>171</v>
      </c>
      <c r="B26" s="668" t="s">
        <v>172</v>
      </c>
      <c r="C26" s="669"/>
      <c r="D26" s="669"/>
      <c r="E26" s="661">
        <f t="array" ref="E26">SUM(IF(A26=KHN,TH))</f>
        <v>0</v>
      </c>
      <c r="F26" s="661">
        <f t="array" ref="F26">SUM(IF(A26=KHC,TH))</f>
        <v>0</v>
      </c>
      <c r="G26" s="669">
        <f t="shared" si="3"/>
        <v>0</v>
      </c>
      <c r="H26" s="669">
        <f t="shared" si="4"/>
        <v>0</v>
      </c>
    </row>
    <row r="27" spans="1:8" s="162" customFormat="1" ht="17.25" customHeight="1">
      <c r="A27" s="670" t="s">
        <v>173</v>
      </c>
      <c r="B27" s="671" t="s">
        <v>174</v>
      </c>
      <c r="C27" s="672"/>
      <c r="D27" s="672"/>
      <c r="E27" s="661">
        <f t="array" ref="E27">SUM(IF(A27=KHN,TH))</f>
        <v>365000000</v>
      </c>
      <c r="F27" s="661">
        <f t="array" ref="F27">SUM(IF(A27=KHC,TH))</f>
        <v>0</v>
      </c>
      <c r="G27" s="672">
        <f t="shared" si="3"/>
        <v>365000000</v>
      </c>
      <c r="H27" s="672">
        <f t="shared" si="4"/>
        <v>0</v>
      </c>
    </row>
    <row r="28" spans="1:8" s="162" customFormat="1" ht="17.25" hidden="1" customHeight="1">
      <c r="A28" s="670" t="s">
        <v>175</v>
      </c>
      <c r="B28" s="671" t="s">
        <v>176</v>
      </c>
      <c r="C28" s="672"/>
      <c r="D28" s="672"/>
      <c r="E28" s="661">
        <f t="array" ref="E28">SUM(IF(A28=KHN,TH))</f>
        <v>0</v>
      </c>
      <c r="F28" s="661">
        <f t="array" ref="F28">SUM(IF(A28=KHC,TH))</f>
        <v>0</v>
      </c>
      <c r="G28" s="672">
        <f t="shared" si="3"/>
        <v>0</v>
      </c>
      <c r="H28" s="672">
        <f t="shared" si="4"/>
        <v>0</v>
      </c>
    </row>
    <row r="29" spans="1:8" s="162" customFormat="1" ht="17.25" customHeight="1">
      <c r="A29" s="664" t="s">
        <v>177</v>
      </c>
      <c r="B29" s="664" t="s">
        <v>178</v>
      </c>
      <c r="C29" s="665">
        <f t="shared" ref="C29:H29" si="5">SUM(C26:C28)</f>
        <v>0</v>
      </c>
      <c r="D29" s="665">
        <f t="shared" si="5"/>
        <v>0</v>
      </c>
      <c r="E29" s="665">
        <f t="shared" si="5"/>
        <v>365000000</v>
      </c>
      <c r="F29" s="665">
        <f t="shared" si="5"/>
        <v>0</v>
      </c>
      <c r="G29" s="665">
        <f t="shared" si="5"/>
        <v>365000000</v>
      </c>
      <c r="H29" s="665">
        <f t="shared" si="5"/>
        <v>0</v>
      </c>
    </row>
    <row r="30" spans="1:8" s="162" customFormat="1" ht="17.25" hidden="1" customHeight="1">
      <c r="A30" s="670" t="s">
        <v>284</v>
      </c>
      <c r="B30" s="671" t="s">
        <v>285</v>
      </c>
      <c r="C30" s="672"/>
      <c r="D30" s="672"/>
      <c r="E30" s="661">
        <f t="array" ref="E30">SUM(IF(A30=KHN,TH))</f>
        <v>0</v>
      </c>
      <c r="F30" s="661">
        <f t="array" ref="F30">SUM(IF(A30=KHC,TH))</f>
        <v>0</v>
      </c>
      <c r="G30" s="672">
        <f>MAX(C30+E30-D30-F30,0)</f>
        <v>0</v>
      </c>
      <c r="H30" s="672">
        <f>MAX(D30+F30-E30-C30,0)</f>
        <v>0</v>
      </c>
    </row>
    <row r="31" spans="1:8" s="162" customFormat="1" ht="17.25" hidden="1" customHeight="1">
      <c r="A31" s="673" t="s">
        <v>286</v>
      </c>
      <c r="B31" s="664" t="s">
        <v>287</v>
      </c>
      <c r="C31" s="665">
        <f t="shared" ref="C31:H31" si="6">C30</f>
        <v>0</v>
      </c>
      <c r="D31" s="665">
        <f t="shared" si="6"/>
        <v>0</v>
      </c>
      <c r="E31" s="665">
        <f t="shared" si="6"/>
        <v>0</v>
      </c>
      <c r="F31" s="665">
        <f t="shared" si="6"/>
        <v>0</v>
      </c>
      <c r="G31" s="665">
        <f t="shared" si="6"/>
        <v>0</v>
      </c>
      <c r="H31" s="665">
        <f t="shared" si="6"/>
        <v>0</v>
      </c>
    </row>
    <row r="32" spans="1:8" s="162" customFormat="1" ht="17.25" customHeight="1">
      <c r="A32" s="660" t="s">
        <v>276</v>
      </c>
      <c r="B32" s="660" t="s">
        <v>288</v>
      </c>
      <c r="C32" s="661"/>
      <c r="D32" s="661"/>
      <c r="E32" s="661">
        <f t="array" ref="E32">SUM(IF(A32=KHN,TH))</f>
        <v>0</v>
      </c>
      <c r="F32" s="661">
        <f t="array" ref="F32">SUM(IF(A32=KHC,TH))</f>
        <v>37250000</v>
      </c>
      <c r="G32" s="661">
        <f>MAX(C32+E32-D32-F32,0)</f>
        <v>0</v>
      </c>
      <c r="H32" s="661">
        <f>MAX(D32+F32-E32-C32,0)</f>
        <v>37250000</v>
      </c>
    </row>
    <row r="33" spans="1:8" s="162" customFormat="1" ht="17.25" hidden="1" customHeight="1">
      <c r="A33" s="659" t="s">
        <v>275</v>
      </c>
      <c r="B33" s="660" t="s">
        <v>289</v>
      </c>
      <c r="C33" s="661"/>
      <c r="D33" s="661"/>
      <c r="E33" s="661">
        <f t="array" ref="E33">SUM(IF(A33=KHN,TH))</f>
        <v>0</v>
      </c>
      <c r="F33" s="661">
        <f t="array" ref="F33">SUM(IF(A33=KHC,TH))</f>
        <v>0</v>
      </c>
      <c r="G33" s="661">
        <f>MAX(C33+E33-D33-F33,0)</f>
        <v>0</v>
      </c>
      <c r="H33" s="661">
        <f>MAX(D33+F33-E33-C33,0)</f>
        <v>0</v>
      </c>
    </row>
    <row r="34" spans="1:8" s="162" customFormat="1" ht="17.25" customHeight="1">
      <c r="A34" s="664" t="s">
        <v>290</v>
      </c>
      <c r="B34" s="664" t="s">
        <v>291</v>
      </c>
      <c r="C34" s="665">
        <f t="shared" ref="C34:H34" si="7">C32+C33</f>
        <v>0</v>
      </c>
      <c r="D34" s="665">
        <f t="shared" si="7"/>
        <v>0</v>
      </c>
      <c r="E34" s="665">
        <f t="shared" si="7"/>
        <v>0</v>
      </c>
      <c r="F34" s="665">
        <f t="shared" si="7"/>
        <v>37250000</v>
      </c>
      <c r="G34" s="665">
        <f t="shared" si="7"/>
        <v>0</v>
      </c>
      <c r="H34" s="665">
        <f t="shared" si="7"/>
        <v>37250000</v>
      </c>
    </row>
    <row r="35" spans="1:8" s="162" customFormat="1" ht="17.25" customHeight="1">
      <c r="A35" s="664" t="s">
        <v>8</v>
      </c>
      <c r="B35" s="664" t="s">
        <v>60</v>
      </c>
      <c r="C35" s="665"/>
      <c r="D35" s="665"/>
      <c r="E35" s="666">
        <f t="array" ref="E35">SUM(IF(A35=KHN,TH))</f>
        <v>1113798421</v>
      </c>
      <c r="F35" s="666">
        <f t="array" ref="F35">SUM(IF(A35=KHC,TH))</f>
        <v>1254317242</v>
      </c>
      <c r="G35" s="665">
        <f t="shared" si="3"/>
        <v>0</v>
      </c>
      <c r="H35" s="665">
        <f t="shared" si="4"/>
        <v>140518821</v>
      </c>
    </row>
    <row r="36" spans="1:8" s="162" customFormat="1" ht="17.25" customHeight="1">
      <c r="A36" s="674" t="s">
        <v>754</v>
      </c>
      <c r="B36" s="660" t="s">
        <v>753</v>
      </c>
      <c r="C36" s="661"/>
      <c r="D36" s="661"/>
      <c r="E36" s="661">
        <f t="array" ref="E36">SUM(IF(A36=KHN,TH))</f>
        <v>115599418</v>
      </c>
      <c r="F36" s="661">
        <f t="array" ref="F36">SUM(IF(A36=KHC,TH))</f>
        <v>115599418</v>
      </c>
      <c r="G36" s="661">
        <f t="shared" ref="G36" si="8">MAX(C36+E36-D36-F36,0)</f>
        <v>0</v>
      </c>
      <c r="H36" s="661">
        <f t="shared" ref="H36" si="9">MAX(D36+F36-E36-C36,0)</f>
        <v>0</v>
      </c>
    </row>
    <row r="37" spans="1:8" s="162" customFormat="1" ht="17.25" customHeight="1">
      <c r="A37" s="660" t="s">
        <v>61</v>
      </c>
      <c r="B37" s="660" t="s">
        <v>62</v>
      </c>
      <c r="C37" s="661"/>
      <c r="D37" s="661"/>
      <c r="E37" s="661">
        <f t="array" ref="E37">SUM(IF(A37=KHN,TH))</f>
        <v>0</v>
      </c>
      <c r="F37" s="661">
        <f t="array" ref="F37">SUM(IF(A37=KHC,TH))</f>
        <v>22244468</v>
      </c>
      <c r="G37" s="661">
        <f t="shared" si="3"/>
        <v>0</v>
      </c>
      <c r="H37" s="661">
        <f t="shared" si="4"/>
        <v>22244468</v>
      </c>
    </row>
    <row r="38" spans="1:8" s="162" customFormat="1" ht="17.25" hidden="1" customHeight="1">
      <c r="A38" s="660" t="s">
        <v>282</v>
      </c>
      <c r="B38" s="660" t="s">
        <v>283</v>
      </c>
      <c r="C38" s="661"/>
      <c r="D38" s="661"/>
      <c r="E38" s="661">
        <f t="array" ref="E38">SUM(IF(A38=KHN,TH))</f>
        <v>0</v>
      </c>
      <c r="F38" s="661">
        <f t="array" ref="F38">SUM(IF(A38=KHC,TH))</f>
        <v>0</v>
      </c>
      <c r="G38" s="661">
        <f t="shared" si="3"/>
        <v>0</v>
      </c>
      <c r="H38" s="661">
        <f t="shared" si="4"/>
        <v>0</v>
      </c>
    </row>
    <row r="39" spans="1:8" s="162" customFormat="1" ht="17.25" customHeight="1">
      <c r="A39" s="674" t="s">
        <v>63</v>
      </c>
      <c r="B39" s="675" t="s">
        <v>64</v>
      </c>
      <c r="C39" s="676"/>
      <c r="D39" s="676"/>
      <c r="E39" s="676">
        <f t="array" ref="E39">SUM(IF(A39=KHN,TH))</f>
        <v>2000000</v>
      </c>
      <c r="F39" s="676">
        <f t="array" ref="F39">SUM(IF(A39=KHC,TH))</f>
        <v>2000000</v>
      </c>
      <c r="G39" s="676">
        <f t="shared" si="3"/>
        <v>0</v>
      </c>
      <c r="H39" s="676">
        <f t="shared" si="4"/>
        <v>0</v>
      </c>
    </row>
    <row r="40" spans="1:8" s="162" customFormat="1" ht="17.25" customHeight="1">
      <c r="A40" s="660" t="s">
        <v>18</v>
      </c>
      <c r="B40" s="660" t="s">
        <v>65</v>
      </c>
      <c r="C40" s="661">
        <f>C39</f>
        <v>0</v>
      </c>
      <c r="D40" s="661">
        <f t="shared" ref="D40:H40" si="10">D39</f>
        <v>0</v>
      </c>
      <c r="E40" s="661">
        <f t="shared" si="10"/>
        <v>2000000</v>
      </c>
      <c r="F40" s="661">
        <f t="shared" si="10"/>
        <v>2000000</v>
      </c>
      <c r="G40" s="661">
        <f t="shared" si="10"/>
        <v>0</v>
      </c>
      <c r="H40" s="661">
        <f t="shared" si="10"/>
        <v>0</v>
      </c>
    </row>
    <row r="41" spans="1:8" s="162" customFormat="1" ht="17.25" customHeight="1">
      <c r="A41" s="664" t="s">
        <v>66</v>
      </c>
      <c r="B41" s="664" t="s">
        <v>67</v>
      </c>
      <c r="C41" s="665">
        <f>C37+C40+C38+C36</f>
        <v>0</v>
      </c>
      <c r="D41" s="665">
        <f t="shared" ref="D41:H41" si="11">D37+D40+D38+D36</f>
        <v>0</v>
      </c>
      <c r="E41" s="665">
        <f t="shared" si="11"/>
        <v>117599418</v>
      </c>
      <c r="F41" s="665">
        <f t="shared" si="11"/>
        <v>139843886</v>
      </c>
      <c r="G41" s="665">
        <f t="shared" si="11"/>
        <v>0</v>
      </c>
      <c r="H41" s="665">
        <f t="shared" si="11"/>
        <v>22244468</v>
      </c>
    </row>
    <row r="42" spans="1:8" s="162" customFormat="1" ht="17.25" customHeight="1">
      <c r="A42" s="660" t="s">
        <v>278</v>
      </c>
      <c r="B42" s="660" t="s">
        <v>279</v>
      </c>
      <c r="C42" s="661">
        <v>0</v>
      </c>
      <c r="D42" s="661">
        <v>0</v>
      </c>
      <c r="E42" s="661">
        <f t="array" ref="E42">SUM(IF(A42=KHN,TH))</f>
        <v>105090478</v>
      </c>
      <c r="F42" s="661">
        <f t="array" ref="F42">SUM(IF(A42=KHC,TH))</f>
        <v>105090478</v>
      </c>
      <c r="G42" s="661">
        <f t="shared" ref="G42:G44" si="12">MAX(C42+E42-D42-F42,0)</f>
        <v>0</v>
      </c>
      <c r="H42" s="661">
        <f t="shared" ref="H42:H44" si="13">MAX(D42+F42-E42-C42,0)</f>
        <v>0</v>
      </c>
    </row>
    <row r="43" spans="1:8" s="162" customFormat="1" ht="17.25" customHeight="1">
      <c r="A43" s="664" t="s">
        <v>280</v>
      </c>
      <c r="B43" s="664" t="s">
        <v>281</v>
      </c>
      <c r="C43" s="665">
        <f>C42</f>
        <v>0</v>
      </c>
      <c r="D43" s="665">
        <f>D42</f>
        <v>0</v>
      </c>
      <c r="E43" s="665">
        <f>E42</f>
        <v>105090478</v>
      </c>
      <c r="F43" s="665">
        <f>F42</f>
        <v>105090478</v>
      </c>
      <c r="G43" s="665">
        <f t="shared" si="12"/>
        <v>0</v>
      </c>
      <c r="H43" s="665">
        <f t="shared" si="13"/>
        <v>0</v>
      </c>
    </row>
    <row r="44" spans="1:8" s="162" customFormat="1" ht="17.25" hidden="1" customHeight="1">
      <c r="A44" s="660" t="s">
        <v>17</v>
      </c>
      <c r="B44" s="660" t="s">
        <v>68</v>
      </c>
      <c r="C44" s="661"/>
      <c r="D44" s="661"/>
      <c r="E44" s="661">
        <f t="array" ref="E44">SUM(IF(A44=KHN,TH))</f>
        <v>0</v>
      </c>
      <c r="F44" s="661">
        <f t="array" ref="F44">SUM(IF(A44=KHC,TH))</f>
        <v>0</v>
      </c>
      <c r="G44" s="661">
        <f t="shared" si="12"/>
        <v>0</v>
      </c>
      <c r="H44" s="661">
        <f t="shared" si="13"/>
        <v>0</v>
      </c>
    </row>
    <row r="45" spans="1:8" s="162" customFormat="1" ht="17.25" hidden="1" customHeight="1">
      <c r="A45" s="664" t="s">
        <v>69</v>
      </c>
      <c r="B45" s="664" t="s">
        <v>70</v>
      </c>
      <c r="C45" s="665">
        <f t="shared" ref="C45:H45" si="14">SUM(C44:C44)</f>
        <v>0</v>
      </c>
      <c r="D45" s="665">
        <f t="shared" si="14"/>
        <v>0</v>
      </c>
      <c r="E45" s="665">
        <f t="shared" si="14"/>
        <v>0</v>
      </c>
      <c r="F45" s="665">
        <f t="shared" si="14"/>
        <v>0</v>
      </c>
      <c r="G45" s="665">
        <f t="shared" si="14"/>
        <v>0</v>
      </c>
      <c r="H45" s="665">
        <f t="shared" si="14"/>
        <v>0</v>
      </c>
    </row>
    <row r="46" spans="1:8" s="162" customFormat="1" ht="17.25" customHeight="1">
      <c r="A46" s="660" t="s">
        <v>25</v>
      </c>
      <c r="B46" s="660" t="s">
        <v>71</v>
      </c>
      <c r="C46" s="661"/>
      <c r="D46" s="661"/>
      <c r="E46" s="661">
        <f t="array" ref="E46">SUM(IF(A46=KHN,TH))</f>
        <v>0</v>
      </c>
      <c r="F46" s="661">
        <f t="array" ref="F46">SUM(IF(A46=KHC,TH))</f>
        <v>1900000000</v>
      </c>
      <c r="G46" s="662">
        <f>MAX(C46+E46-D46-F46,0)</f>
        <v>0</v>
      </c>
      <c r="H46" s="662">
        <f>MAX(D46+F46-E46-C46,0)</f>
        <v>1900000000</v>
      </c>
    </row>
    <row r="47" spans="1:8" s="162" customFormat="1" ht="17.25" customHeight="1">
      <c r="A47" s="664" t="s">
        <v>72</v>
      </c>
      <c r="B47" s="664" t="s">
        <v>73</v>
      </c>
      <c r="C47" s="665">
        <v>0</v>
      </c>
      <c r="D47" s="665">
        <f>D46</f>
        <v>0</v>
      </c>
      <c r="E47" s="665">
        <f>E46</f>
        <v>0</v>
      </c>
      <c r="F47" s="665">
        <f>F46</f>
        <v>1900000000</v>
      </c>
      <c r="G47" s="665">
        <f>MAX(C47+E47-D47-F47,0)</f>
        <v>0</v>
      </c>
      <c r="H47" s="665">
        <f>MAX(D47+F47-E47-C47,0)</f>
        <v>1900000000</v>
      </c>
    </row>
    <row r="48" spans="1:8" s="162" customFormat="1" ht="17.25" customHeight="1">
      <c r="A48" s="659" t="s">
        <v>74</v>
      </c>
      <c r="B48" s="660" t="s">
        <v>75</v>
      </c>
      <c r="C48" s="661"/>
      <c r="D48" s="661"/>
      <c r="E48" s="661">
        <f t="array" ref="E48">SUM(IF(A48=KHN,TH))</f>
        <v>0</v>
      </c>
      <c r="F48" s="661">
        <f t="array" ref="F48">SUM(IF(A48=KHC,TH))</f>
        <v>0</v>
      </c>
      <c r="G48" s="662">
        <f>MAX(C48+E48-D48-F48,0)</f>
        <v>0</v>
      </c>
      <c r="H48" s="662">
        <f>MAX(D48+F48-E48-C48,0)</f>
        <v>0</v>
      </c>
    </row>
    <row r="49" spans="1:12" s="162" customFormat="1" ht="17.25" customHeight="1">
      <c r="A49" s="660" t="s">
        <v>76</v>
      </c>
      <c r="B49" s="660" t="s">
        <v>77</v>
      </c>
      <c r="C49" s="661"/>
      <c r="D49" s="661"/>
      <c r="E49" s="661">
        <f t="array" ref="E49">SUM(IF(A49=TH!$L$10:$L$2837,TH!$K$10:$K$2837))</f>
        <v>0</v>
      </c>
      <c r="F49" s="661">
        <f t="array" ref="F49">SUM(IF(A49=TH!$M$10:$M$2837,TH!$K$10:$K$2837))</f>
        <v>102666775</v>
      </c>
      <c r="G49" s="661">
        <f>MAX(C49+E49-D49-F49,0)</f>
        <v>0</v>
      </c>
      <c r="H49" s="661">
        <f>MAX(D49+F49-E49-C49,0)</f>
        <v>102666775</v>
      </c>
      <c r="J49" s="298">
        <f>L49-H49</f>
        <v>22244468</v>
      </c>
      <c r="L49" s="162">
        <v>124911243</v>
      </c>
    </row>
    <row r="50" spans="1:12" s="162" customFormat="1" ht="17.25" customHeight="1">
      <c r="A50" s="664" t="s">
        <v>78</v>
      </c>
      <c r="B50" s="664" t="s">
        <v>79</v>
      </c>
      <c r="C50" s="665">
        <f t="shared" ref="C50:H50" si="15">C49+C48</f>
        <v>0</v>
      </c>
      <c r="D50" s="665">
        <f t="shared" si="15"/>
        <v>0</v>
      </c>
      <c r="E50" s="665">
        <f t="shared" si="15"/>
        <v>0</v>
      </c>
      <c r="F50" s="665">
        <f t="shared" si="15"/>
        <v>102666775</v>
      </c>
      <c r="G50" s="665">
        <f t="shared" si="15"/>
        <v>0</v>
      </c>
      <c r="H50" s="665">
        <f t="shared" si="15"/>
        <v>102666775</v>
      </c>
    </row>
    <row r="51" spans="1:12" s="162" customFormat="1" ht="17.25" customHeight="1">
      <c r="A51" s="659" t="s">
        <v>181</v>
      </c>
      <c r="B51" s="660" t="s">
        <v>182</v>
      </c>
      <c r="C51" s="661"/>
      <c r="D51" s="661"/>
      <c r="E51" s="661">
        <f t="array" ref="E51">SUM(IF(A51=KHN,TH))</f>
        <v>1155993872</v>
      </c>
      <c r="F51" s="661">
        <f t="array" ref="F51">SUM(IF(A51=KHC,TH))</f>
        <v>1155993872</v>
      </c>
      <c r="G51" s="662"/>
      <c r="H51" s="662"/>
      <c r="I51" s="162">
        <f>E51-F51</f>
        <v>0</v>
      </c>
    </row>
    <row r="52" spans="1:12" s="162" customFormat="1" ht="17.25" customHeight="1">
      <c r="A52" s="664" t="s">
        <v>183</v>
      </c>
      <c r="B52" s="664" t="s">
        <v>184</v>
      </c>
      <c r="C52" s="665"/>
      <c r="D52" s="665"/>
      <c r="E52" s="665">
        <f>E51</f>
        <v>1155993872</v>
      </c>
      <c r="F52" s="665">
        <f>F51</f>
        <v>1155993872</v>
      </c>
      <c r="G52" s="665"/>
      <c r="H52" s="665"/>
      <c r="I52" s="162">
        <f>E52-F52</f>
        <v>0</v>
      </c>
    </row>
    <row r="53" spans="1:12" s="162" customFormat="1" ht="17.25" customHeight="1">
      <c r="A53" s="664" t="s">
        <v>40</v>
      </c>
      <c r="B53" s="664" t="s">
        <v>80</v>
      </c>
      <c r="C53" s="665"/>
      <c r="D53" s="665"/>
      <c r="E53" s="666">
        <f t="array" ref="E53">SUM(IF(A53=KHN,TH))</f>
        <v>954983</v>
      </c>
      <c r="F53" s="666">
        <f t="array" ref="F53">SUM(IF(A53=KHC,TH))</f>
        <v>954983</v>
      </c>
      <c r="G53" s="665"/>
      <c r="H53" s="665"/>
      <c r="I53" s="162">
        <f t="shared" ref="I53:I61" si="16">E53-F53</f>
        <v>0</v>
      </c>
    </row>
    <row r="54" spans="1:12" s="162" customFormat="1" ht="17.25" customHeight="1">
      <c r="A54" s="664" t="s">
        <v>179</v>
      </c>
      <c r="B54" s="664" t="s">
        <v>180</v>
      </c>
      <c r="C54" s="665"/>
      <c r="D54" s="665"/>
      <c r="E54" s="666">
        <f t="array" ref="E54">SUM(IF(A54=KHN,TH))</f>
        <v>957706400</v>
      </c>
      <c r="F54" s="666">
        <f t="array" ref="F54">SUM(IF(A54=KHC,TH))</f>
        <v>957706400</v>
      </c>
      <c r="G54" s="665"/>
      <c r="H54" s="665"/>
      <c r="I54" s="162">
        <f t="shared" si="16"/>
        <v>0</v>
      </c>
    </row>
    <row r="55" spans="1:12" s="162" customFormat="1" ht="17.25" customHeight="1">
      <c r="A55" s="664" t="s">
        <v>81</v>
      </c>
      <c r="B55" s="664" t="s">
        <v>82</v>
      </c>
      <c r="C55" s="665"/>
      <c r="D55" s="665"/>
      <c r="E55" s="666">
        <f t="array" ref="E55">SUM(IF(A55=KHN,TH))</f>
        <v>0</v>
      </c>
      <c r="F55" s="666">
        <f t="array" ref="F55">SUM(IF(A55=KHC,TH))</f>
        <v>0</v>
      </c>
      <c r="G55" s="665"/>
      <c r="H55" s="665"/>
      <c r="I55" s="162">
        <f t="shared" si="16"/>
        <v>0</v>
      </c>
    </row>
    <row r="56" spans="1:12" s="162" customFormat="1" ht="17.25" customHeight="1">
      <c r="A56" s="673" t="s">
        <v>277</v>
      </c>
      <c r="B56" s="664" t="s">
        <v>350</v>
      </c>
      <c r="C56" s="665"/>
      <c r="D56" s="665"/>
      <c r="E56" s="666">
        <f t="array" ref="E56">SUM(IF(A56=KHN,TH))</f>
        <v>3939014</v>
      </c>
      <c r="F56" s="666">
        <f t="array" ref="F56">SUM(IF(A56=KHC,TH))</f>
        <v>3939014</v>
      </c>
      <c r="G56" s="665"/>
      <c r="H56" s="665"/>
      <c r="I56" s="162">
        <f>E56-F56</f>
        <v>0</v>
      </c>
    </row>
    <row r="57" spans="1:12" s="162" customFormat="1" ht="17.25" customHeight="1">
      <c r="A57" s="664" t="s">
        <v>83</v>
      </c>
      <c r="B57" s="664" t="s">
        <v>84</v>
      </c>
      <c r="C57" s="665"/>
      <c r="D57" s="665"/>
      <c r="E57" s="666">
        <f t="array" ref="E57">SUM(IF(A57=KHN,TH))</f>
        <v>68192198</v>
      </c>
      <c r="F57" s="666">
        <f t="array" ref="F57">SUM(IF(A57=KHC,TH))</f>
        <v>68192198</v>
      </c>
      <c r="G57" s="665"/>
      <c r="H57" s="665"/>
      <c r="I57" s="162">
        <f t="shared" si="16"/>
        <v>0</v>
      </c>
    </row>
    <row r="58" spans="1:12" s="162" customFormat="1" ht="17.25" customHeight="1">
      <c r="A58" s="673" t="s">
        <v>85</v>
      </c>
      <c r="B58" s="664" t="s">
        <v>86</v>
      </c>
      <c r="C58" s="665"/>
      <c r="D58" s="665"/>
      <c r="E58" s="666">
        <f t="array" ref="E58">SUM(IF(A58=KHN,TH))</f>
        <v>0</v>
      </c>
      <c r="F58" s="666">
        <f t="array" ref="F58">SUM(IF(A58=KHC,TH))</f>
        <v>0</v>
      </c>
      <c r="G58" s="665"/>
      <c r="H58" s="665"/>
      <c r="I58" s="162">
        <f t="shared" si="16"/>
        <v>0</v>
      </c>
    </row>
    <row r="59" spans="1:12" s="162" customFormat="1" ht="17.25" customHeight="1">
      <c r="A59" s="664" t="s">
        <v>87</v>
      </c>
      <c r="B59" s="664" t="s">
        <v>88</v>
      </c>
      <c r="C59" s="665"/>
      <c r="D59" s="665"/>
      <c r="E59" s="666">
        <f t="array" ref="E59">SUM(IF(A59=KHN,TH))</f>
        <v>2200000</v>
      </c>
      <c r="F59" s="666">
        <f t="array" ref="F59">SUM(IF(A59=KHC,TH))</f>
        <v>2200000</v>
      </c>
      <c r="G59" s="665"/>
      <c r="H59" s="665"/>
      <c r="I59" s="162">
        <f t="shared" si="16"/>
        <v>0</v>
      </c>
    </row>
    <row r="60" spans="1:12" s="162" customFormat="1" ht="17.25" customHeight="1">
      <c r="A60" s="673" t="s">
        <v>89</v>
      </c>
      <c r="B60" s="664" t="s">
        <v>90</v>
      </c>
      <c r="C60" s="665"/>
      <c r="D60" s="665"/>
      <c r="E60" s="666">
        <f t="array" ref="E60">SUM(IF(A60=KHN,TH))</f>
        <v>22244468</v>
      </c>
      <c r="F60" s="666">
        <f t="array" ref="F60">SUM(IF(A60=KHC,TH))</f>
        <v>22244468</v>
      </c>
      <c r="G60" s="665"/>
      <c r="H60" s="665"/>
      <c r="I60" s="162">
        <f t="shared" si="16"/>
        <v>0</v>
      </c>
    </row>
    <row r="61" spans="1:12" s="162" customFormat="1" ht="17.25" customHeight="1">
      <c r="A61" s="664" t="s">
        <v>91</v>
      </c>
      <c r="B61" s="664" t="s">
        <v>92</v>
      </c>
      <c r="C61" s="665"/>
      <c r="D61" s="665"/>
      <c r="E61" s="677">
        <f t="array" ref="E61">SUM(IF(A61=KHN,TH))</f>
        <v>1156948855</v>
      </c>
      <c r="F61" s="677">
        <f t="array" ref="F61">SUM(IF(A61=TH!$M$10:$M$2837,TH!$K$10:$K$2837))</f>
        <v>1156948855</v>
      </c>
      <c r="G61" s="665"/>
      <c r="H61" s="665"/>
      <c r="I61" s="162">
        <f t="shared" si="16"/>
        <v>0</v>
      </c>
    </row>
    <row r="62" spans="1:12" s="162" customFormat="1" ht="17.25" customHeight="1">
      <c r="A62" s="944" t="s">
        <v>39</v>
      </c>
      <c r="B62" s="945"/>
      <c r="C62" s="678">
        <f>C11+C13+C14+C16+C18+C22+C23+C24+C25+C29+C34+C35+C41+C43+C45+C47+C50+C52+C53+C54+C55+C56+C57+C58+C59+C60+C61+C23+C31+C19</f>
        <v>0</v>
      </c>
      <c r="D62" s="678">
        <f t="shared" ref="D62:H62" si="17">D11+D13+D14+D16+D18+D22+D23+D24+D25+D29+D34+D35+D41+D43+D45+D47+D50+D52+D53+D54+D55+D56+D57+D58+D59+D60+D61+D23+D31+D19</f>
        <v>0</v>
      </c>
      <c r="E62" s="678">
        <f t="shared" si="17"/>
        <v>13582781188</v>
      </c>
      <c r="F62" s="678">
        <f t="shared" si="17"/>
        <v>13582781188</v>
      </c>
      <c r="G62" s="678">
        <f t="shared" si="17"/>
        <v>2202680064</v>
      </c>
      <c r="H62" s="678">
        <f t="shared" si="17"/>
        <v>2202680064</v>
      </c>
    </row>
    <row r="63" spans="1:12">
      <c r="E63" s="679"/>
      <c r="F63" s="680"/>
    </row>
    <row r="64" spans="1:12">
      <c r="E64" s="680"/>
      <c r="H64" s="680">
        <f>G62-H62</f>
        <v>0</v>
      </c>
    </row>
    <row r="65" spans="5:6">
      <c r="E65" s="681"/>
      <c r="F65" s="681"/>
    </row>
    <row r="66" spans="5:6">
      <c r="E66" s="681"/>
      <c r="F66" s="681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abSelected="1" topLeftCell="A7" workbookViewId="0">
      <pane ySplit="3" topLeftCell="A2820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3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1450</v>
      </c>
      <c r="B1" s="31"/>
      <c r="C1" s="31"/>
      <c r="D1" s="32"/>
      <c r="E1" s="32"/>
      <c r="F1" s="33"/>
      <c r="G1" s="50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1451</v>
      </c>
      <c r="B2" s="31"/>
      <c r="C2" s="31"/>
      <c r="D2" s="32"/>
      <c r="E2" s="32"/>
      <c r="F2" s="32"/>
      <c r="G2" s="50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50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66" t="s">
        <v>93</v>
      </c>
      <c r="D4" s="966"/>
      <c r="E4" s="966"/>
      <c r="F4" s="966"/>
      <c r="G4" s="966"/>
      <c r="H4" s="966"/>
      <c r="I4" s="966"/>
      <c r="J4" s="966"/>
      <c r="K4" s="966"/>
      <c r="L4" s="966"/>
      <c r="M4" s="966"/>
    </row>
    <row r="5" spans="1:27" ht="14.25">
      <c r="B5" s="42"/>
      <c r="C5" s="967"/>
      <c r="D5" s="967"/>
      <c r="E5" s="967"/>
      <c r="F5" s="967"/>
      <c r="G5" s="967"/>
      <c r="H5" s="967"/>
      <c r="I5" s="967"/>
      <c r="J5" s="967"/>
      <c r="K5" s="967"/>
      <c r="L5" s="967"/>
      <c r="M5" s="967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8" t="s">
        <v>117</v>
      </c>
      <c r="B7" s="950" t="s">
        <v>101</v>
      </c>
      <c r="C7" s="968" t="s">
        <v>20</v>
      </c>
      <c r="D7" s="969" t="s">
        <v>1</v>
      </c>
      <c r="E7" s="970"/>
      <c r="F7" s="968" t="s">
        <v>0</v>
      </c>
      <c r="G7" s="972" t="s">
        <v>116</v>
      </c>
      <c r="H7" s="952" t="s">
        <v>44</v>
      </c>
      <c r="I7" s="963" t="s">
        <v>273</v>
      </c>
      <c r="J7" s="964"/>
      <c r="K7" s="968" t="s">
        <v>157</v>
      </c>
      <c r="L7" s="971" t="s">
        <v>94</v>
      </c>
      <c r="M7" s="971"/>
      <c r="N7" s="955" t="s">
        <v>835</v>
      </c>
      <c r="O7" s="957" t="s">
        <v>47</v>
      </c>
      <c r="P7" s="958"/>
      <c r="Q7" s="959"/>
      <c r="R7" s="957" t="s">
        <v>51</v>
      </c>
      <c r="S7" s="958"/>
      <c r="T7" s="959"/>
      <c r="U7" s="955" t="s">
        <v>834</v>
      </c>
      <c r="V7" s="953" t="str">
        <f>CTTK!$E$7</f>
        <v>642</v>
      </c>
      <c r="W7" s="965" t="s">
        <v>163</v>
      </c>
      <c r="X7" s="965"/>
      <c r="Y7" s="965"/>
      <c r="Z7" s="965" t="s">
        <v>380</v>
      </c>
      <c r="AA7" s="907"/>
    </row>
    <row r="8" spans="1:27" ht="24.75" customHeight="1">
      <c r="A8" s="949"/>
      <c r="B8" s="951"/>
      <c r="C8" s="968"/>
      <c r="D8" s="202" t="s">
        <v>15</v>
      </c>
      <c r="E8" s="201" t="s">
        <v>32</v>
      </c>
      <c r="F8" s="968"/>
      <c r="G8" s="973"/>
      <c r="H8" s="952"/>
      <c r="I8" s="267" t="s">
        <v>210</v>
      </c>
      <c r="J8" s="267" t="s">
        <v>211</v>
      </c>
      <c r="K8" s="968"/>
      <c r="L8" s="203" t="s">
        <v>22</v>
      </c>
      <c r="M8" s="203" t="s">
        <v>23</v>
      </c>
      <c r="N8" s="956"/>
      <c r="O8" s="960"/>
      <c r="P8" s="961"/>
      <c r="Q8" s="962"/>
      <c r="R8" s="960"/>
      <c r="S8" s="961"/>
      <c r="T8" s="962"/>
      <c r="U8" s="956"/>
      <c r="V8" s="954"/>
      <c r="W8" s="965"/>
      <c r="X8" s="965"/>
      <c r="Y8" s="965"/>
      <c r="Z8" s="965"/>
      <c r="AA8" s="907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908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95</v>
      </c>
      <c r="E10" s="48">
        <v>40817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909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95</v>
      </c>
      <c r="E11" s="48">
        <v>40908</v>
      </c>
      <c r="F11" s="49" t="s">
        <v>296</v>
      </c>
      <c r="G11" s="49"/>
      <c r="H11" s="50"/>
      <c r="I11" s="258"/>
      <c r="J11" s="258"/>
      <c r="K11" s="51">
        <f>SUMIF(KHC,L11,TH)</f>
        <v>115599418</v>
      </c>
      <c r="L11" s="53" t="s">
        <v>754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909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95</v>
      </c>
      <c r="E12" s="48">
        <v>40908</v>
      </c>
      <c r="F12" s="49" t="s">
        <v>297</v>
      </c>
      <c r="G12" s="49"/>
      <c r="H12" s="50"/>
      <c r="I12" s="258"/>
      <c r="J12" s="258"/>
      <c r="K12" s="51">
        <f>SUMIF(KHN,M12,TH)</f>
        <v>957706400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909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95</v>
      </c>
      <c r="E13" s="48">
        <v>40908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909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95</v>
      </c>
      <c r="E14" s="48">
        <v>40908</v>
      </c>
      <c r="F14" s="49" t="s">
        <v>1464</v>
      </c>
      <c r="G14" s="49"/>
      <c r="H14" s="50"/>
      <c r="I14" s="258"/>
      <c r="J14" s="258"/>
      <c r="K14" s="51">
        <f>SUMIF(KHN,M14,TH)</f>
        <v>22244468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909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95</v>
      </c>
      <c r="E15" s="48">
        <v>40908</v>
      </c>
      <c r="F15" s="49" t="s">
        <v>298</v>
      </c>
      <c r="G15" s="49"/>
      <c r="H15" s="50"/>
      <c r="I15" s="258"/>
      <c r="J15" s="258"/>
      <c r="K15" s="51">
        <f>SUMIF(KHN,M15,TH)</f>
        <v>3939014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909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95</v>
      </c>
      <c r="E16" s="48">
        <v>40908</v>
      </c>
      <c r="F16" s="49" t="s">
        <v>97</v>
      </c>
      <c r="G16" s="49"/>
      <c r="H16" s="50"/>
      <c r="I16" s="258"/>
      <c r="J16" s="258"/>
      <c r="K16" s="51">
        <f>SUMIF(KHN,M16,TH)</f>
        <v>68192198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909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95</v>
      </c>
      <c r="E17" s="48">
        <v>40908</v>
      </c>
      <c r="F17" s="49" t="s">
        <v>98</v>
      </c>
      <c r="G17" s="49"/>
      <c r="H17" s="50"/>
      <c r="I17" s="258"/>
      <c r="J17" s="258"/>
      <c r="K17" s="51">
        <f>SUMIF(KHC,L17,TH)</f>
        <v>954983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909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95</v>
      </c>
      <c r="E18" s="48">
        <v>40908</v>
      </c>
      <c r="F18" s="49" t="s">
        <v>351</v>
      </c>
      <c r="G18" s="49"/>
      <c r="H18" s="50"/>
      <c r="I18" s="258"/>
      <c r="J18" s="258"/>
      <c r="K18" s="51">
        <f>SUMIF(KHC,L18,TH)</f>
        <v>1155993872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909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95</v>
      </c>
      <c r="E19" s="48">
        <v>40908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909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95</v>
      </c>
      <c r="E20" s="48">
        <v>40908</v>
      </c>
      <c r="F20" s="49" t="s">
        <v>100</v>
      </c>
      <c r="G20" s="49"/>
      <c r="H20" s="50"/>
      <c r="I20" s="258"/>
      <c r="J20" s="258"/>
      <c r="K20" s="51">
        <f>SUMIF(KHN,M20,TH)</f>
        <v>2200000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909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95</v>
      </c>
      <c r="E21" s="48">
        <v>40908</v>
      </c>
      <c r="F21" s="49" t="s">
        <v>1463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909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1462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909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1460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909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1461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909"/>
    </row>
    <row r="25" spans="1:30" s="610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455</v>
      </c>
      <c r="E25" s="184">
        <v>40634</v>
      </c>
      <c r="F25" s="189" t="s">
        <v>839</v>
      </c>
      <c r="G25" s="620"/>
      <c r="H25" s="7" t="s">
        <v>386</v>
      </c>
      <c r="I25" s="260"/>
      <c r="J25" s="260"/>
      <c r="K25" s="618">
        <v>1700000000</v>
      </c>
      <c r="L25" s="619" t="s">
        <v>47</v>
      </c>
      <c r="M25" s="619" t="s">
        <v>25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909"/>
    </row>
    <row r="26" spans="1:30" s="610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456</v>
      </c>
      <c r="E26" s="184">
        <v>40634</v>
      </c>
      <c r="F26" s="189" t="s">
        <v>839</v>
      </c>
      <c r="G26" s="620"/>
      <c r="H26" s="7" t="s">
        <v>836</v>
      </c>
      <c r="I26" s="260"/>
      <c r="J26" s="260"/>
      <c r="K26" s="618">
        <v>100000000</v>
      </c>
      <c r="L26" s="619" t="s">
        <v>47</v>
      </c>
      <c r="M26" s="619" t="s">
        <v>25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909"/>
    </row>
    <row r="27" spans="1:30" s="610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683</v>
      </c>
      <c r="E27" s="184">
        <v>40634</v>
      </c>
      <c r="F27" s="189" t="s">
        <v>839</v>
      </c>
      <c r="G27" s="620"/>
      <c r="H27" s="7" t="s">
        <v>837</v>
      </c>
      <c r="I27" s="260"/>
      <c r="J27" s="260"/>
      <c r="K27" s="618">
        <v>100000000</v>
      </c>
      <c r="L27" s="619" t="s">
        <v>47</v>
      </c>
      <c r="M27" s="619" t="s">
        <v>25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909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457</v>
      </c>
      <c r="E28" s="37">
        <v>40630</v>
      </c>
      <c r="F28" s="189" t="s">
        <v>442</v>
      </c>
      <c r="G28" s="683" t="s">
        <v>443</v>
      </c>
      <c r="H28" s="7" t="s">
        <v>417</v>
      </c>
      <c r="I28" s="260"/>
      <c r="J28" s="260"/>
      <c r="K28" s="38">
        <v>318182</v>
      </c>
      <c r="L28" s="619" t="s">
        <v>791</v>
      </c>
      <c r="M28" s="619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909"/>
      <c r="AB28" s="610"/>
      <c r="AC28" s="610"/>
      <c r="AD28" s="610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457</v>
      </c>
      <c r="E29" s="37">
        <v>40630</v>
      </c>
      <c r="F29" s="189" t="s">
        <v>444</v>
      </c>
      <c r="G29" s="683" t="s">
        <v>443</v>
      </c>
      <c r="H29" s="7" t="s">
        <v>417</v>
      </c>
      <c r="I29" s="260"/>
      <c r="J29" s="260"/>
      <c r="K29" s="38">
        <v>31818</v>
      </c>
      <c r="L29" s="619" t="s">
        <v>9</v>
      </c>
      <c r="M29" s="619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909"/>
      <c r="AB29" s="610">
        <v>4</v>
      </c>
      <c r="AC29" s="610"/>
      <c r="AD29" s="610"/>
    </row>
    <row r="30" spans="1:30" s="610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457</v>
      </c>
      <c r="E30" s="37">
        <v>40631</v>
      </c>
      <c r="F30" s="189" t="s">
        <v>445</v>
      </c>
      <c r="G30" s="499" t="s">
        <v>447</v>
      </c>
      <c r="H30" s="7" t="s">
        <v>417</v>
      </c>
      <c r="I30" s="260"/>
      <c r="J30" s="260"/>
      <c r="K30" s="38">
        <v>377273</v>
      </c>
      <c r="L30" s="619" t="s">
        <v>791</v>
      </c>
      <c r="M30" s="619" t="s">
        <v>47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909"/>
    </row>
    <row r="31" spans="1:30" s="610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457</v>
      </c>
      <c r="E31" s="37">
        <v>40631</v>
      </c>
      <c r="F31" s="189" t="s">
        <v>446</v>
      </c>
      <c r="G31" s="499" t="s">
        <v>447</v>
      </c>
      <c r="H31" s="7" t="s">
        <v>417</v>
      </c>
      <c r="I31" s="260"/>
      <c r="J31" s="260"/>
      <c r="K31" s="38">
        <v>37727</v>
      </c>
      <c r="L31" s="619" t="s">
        <v>9</v>
      </c>
      <c r="M31" s="619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909"/>
      <c r="AB31" s="610">
        <v>4</v>
      </c>
    </row>
    <row r="32" spans="1:30" s="610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458</v>
      </c>
      <c r="E32" s="37">
        <v>40623</v>
      </c>
      <c r="F32" s="40" t="s">
        <v>450</v>
      </c>
      <c r="G32" s="499" t="s">
        <v>448</v>
      </c>
      <c r="H32" s="45" t="s">
        <v>449</v>
      </c>
      <c r="I32" s="260"/>
      <c r="J32" s="260"/>
      <c r="K32" s="684">
        <v>50000</v>
      </c>
      <c r="L32" s="619" t="s">
        <v>83</v>
      </c>
      <c r="M32" s="619" t="s">
        <v>47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909"/>
    </row>
    <row r="33" spans="1:29" s="610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459</v>
      </c>
      <c r="E33" s="37">
        <v>40619</v>
      </c>
      <c r="F33" s="40" t="s">
        <v>452</v>
      </c>
      <c r="G33" s="499" t="s">
        <v>451</v>
      </c>
      <c r="H33" s="45" t="s">
        <v>454</v>
      </c>
      <c r="I33" s="260"/>
      <c r="J33" s="260"/>
      <c r="K33" s="38">
        <v>363636</v>
      </c>
      <c r="L33" s="619" t="s">
        <v>83</v>
      </c>
      <c r="M33" s="619" t="s">
        <v>47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909"/>
      <c r="AB33" s="211"/>
      <c r="AC33" s="211"/>
    </row>
    <row r="34" spans="1:29" s="610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459</v>
      </c>
      <c r="E34" s="37">
        <v>40619</v>
      </c>
      <c r="F34" s="40" t="s">
        <v>453</v>
      </c>
      <c r="G34" s="499" t="s">
        <v>451</v>
      </c>
      <c r="H34" s="45" t="s">
        <v>454</v>
      </c>
      <c r="I34" s="260"/>
      <c r="J34" s="260"/>
      <c r="K34" s="38">
        <v>36364</v>
      </c>
      <c r="L34" s="619" t="s">
        <v>9</v>
      </c>
      <c r="M34" s="619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909"/>
      <c r="AB34" s="610">
        <v>4</v>
      </c>
      <c r="AC34" s="211"/>
    </row>
    <row r="35" spans="1:29" s="610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460</v>
      </c>
      <c r="E35" s="184">
        <v>40636</v>
      </c>
      <c r="F35" s="189" t="s">
        <v>427</v>
      </c>
      <c r="G35" s="683" t="s">
        <v>426</v>
      </c>
      <c r="H35" s="7" t="s">
        <v>417</v>
      </c>
      <c r="I35" s="260"/>
      <c r="J35" s="260"/>
      <c r="K35" s="618">
        <v>472727</v>
      </c>
      <c r="L35" s="619" t="s">
        <v>791</v>
      </c>
      <c r="M35" s="619" t="s">
        <v>47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909"/>
      <c r="AB35" s="211"/>
      <c r="AC35" s="211"/>
    </row>
    <row r="36" spans="1:29" s="610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460</v>
      </c>
      <c r="E36" s="184">
        <v>40636</v>
      </c>
      <c r="F36" s="189" t="s">
        <v>419</v>
      </c>
      <c r="G36" s="683" t="s">
        <v>426</v>
      </c>
      <c r="H36" s="7" t="s">
        <v>417</v>
      </c>
      <c r="I36" s="260"/>
      <c r="J36" s="260"/>
      <c r="K36" s="618">
        <v>47273</v>
      </c>
      <c r="L36" s="619" t="s">
        <v>9</v>
      </c>
      <c r="M36" s="619" t="s">
        <v>47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909"/>
      <c r="AB36" s="610">
        <v>4</v>
      </c>
      <c r="AC36" s="211"/>
    </row>
    <row r="37" spans="1:29" s="610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461</v>
      </c>
      <c r="E37" s="37">
        <v>40637</v>
      </c>
      <c r="F37" s="40" t="s">
        <v>438</v>
      </c>
      <c r="G37" s="499" t="s">
        <v>440</v>
      </c>
      <c r="H37" s="45" t="s">
        <v>441</v>
      </c>
      <c r="I37" s="260"/>
      <c r="J37" s="260"/>
      <c r="K37" s="38">
        <v>6299080</v>
      </c>
      <c r="L37" s="619" t="s">
        <v>791</v>
      </c>
      <c r="M37" s="619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909"/>
    </row>
    <row r="38" spans="1:29" s="610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461</v>
      </c>
      <c r="E38" s="37">
        <v>40637</v>
      </c>
      <c r="F38" s="40" t="s">
        <v>439</v>
      </c>
      <c r="G38" s="499" t="s">
        <v>440</v>
      </c>
      <c r="H38" s="45" t="s">
        <v>441</v>
      </c>
      <c r="I38" s="260"/>
      <c r="J38" s="260"/>
      <c r="K38" s="38">
        <v>629908</v>
      </c>
      <c r="L38" s="619" t="s">
        <v>9</v>
      </c>
      <c r="M38" s="619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909"/>
      <c r="AB38" s="610">
        <v>4</v>
      </c>
    </row>
    <row r="39" spans="1:29" s="610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462</v>
      </c>
      <c r="E39" s="184">
        <v>40638</v>
      </c>
      <c r="F39" s="189" t="s">
        <v>429</v>
      </c>
      <c r="G39" s="683" t="s">
        <v>428</v>
      </c>
      <c r="H39" s="7" t="s">
        <v>417</v>
      </c>
      <c r="I39" s="260"/>
      <c r="J39" s="260"/>
      <c r="K39" s="618">
        <v>618181</v>
      </c>
      <c r="L39" s="619" t="s">
        <v>791</v>
      </c>
      <c r="M39" s="619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909"/>
      <c r="AB39" s="211"/>
      <c r="AC39" s="211"/>
    </row>
    <row r="40" spans="1:29" s="610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462</v>
      </c>
      <c r="E40" s="184">
        <v>40638</v>
      </c>
      <c r="F40" s="189" t="s">
        <v>419</v>
      </c>
      <c r="G40" s="683" t="s">
        <v>428</v>
      </c>
      <c r="H40" s="7" t="s">
        <v>417</v>
      </c>
      <c r="I40" s="260"/>
      <c r="J40" s="260"/>
      <c r="K40" s="618">
        <v>61818</v>
      </c>
      <c r="L40" s="619" t="s">
        <v>9</v>
      </c>
      <c r="M40" s="619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909"/>
      <c r="AB40" s="610">
        <v>4</v>
      </c>
      <c r="AC40" s="211"/>
    </row>
    <row r="41" spans="1:29" s="610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463</v>
      </c>
      <c r="E41" s="184">
        <v>40638</v>
      </c>
      <c r="F41" s="189" t="s">
        <v>431</v>
      </c>
      <c r="G41" s="683" t="s">
        <v>430</v>
      </c>
      <c r="H41" s="7" t="s">
        <v>433</v>
      </c>
      <c r="I41" s="260"/>
      <c r="J41" s="260"/>
      <c r="K41" s="618">
        <v>2000000</v>
      </c>
      <c r="L41" s="619" t="s">
        <v>83</v>
      </c>
      <c r="M41" s="619" t="s">
        <v>47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909"/>
    </row>
    <row r="42" spans="1:29" s="610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463</v>
      </c>
      <c r="E42" s="184">
        <v>40638</v>
      </c>
      <c r="F42" s="189" t="s">
        <v>432</v>
      </c>
      <c r="G42" s="683" t="s">
        <v>430</v>
      </c>
      <c r="H42" s="7" t="s">
        <v>433</v>
      </c>
      <c r="I42" s="260"/>
      <c r="J42" s="260"/>
      <c r="K42" s="618">
        <v>200000</v>
      </c>
      <c r="L42" s="619" t="s">
        <v>9</v>
      </c>
      <c r="M42" s="619" t="s">
        <v>47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909"/>
      <c r="AB42" s="610">
        <v>4</v>
      </c>
    </row>
    <row r="43" spans="1:29" s="610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464</v>
      </c>
      <c r="E43" s="184">
        <v>40638</v>
      </c>
      <c r="F43" s="189" t="s">
        <v>435</v>
      </c>
      <c r="G43" s="683" t="s">
        <v>434</v>
      </c>
      <c r="H43" s="7" t="s">
        <v>437</v>
      </c>
      <c r="I43" s="260"/>
      <c r="J43" s="260"/>
      <c r="K43" s="618">
        <v>108000</v>
      </c>
      <c r="L43" s="619" t="s">
        <v>83</v>
      </c>
      <c r="M43" s="619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909"/>
    </row>
    <row r="44" spans="1:29" s="610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464</v>
      </c>
      <c r="E44" s="184">
        <v>40638</v>
      </c>
      <c r="F44" s="189" t="s">
        <v>436</v>
      </c>
      <c r="G44" s="683" t="s">
        <v>434</v>
      </c>
      <c r="H44" s="7" t="s">
        <v>437</v>
      </c>
      <c r="I44" s="260"/>
      <c r="J44" s="260"/>
      <c r="K44" s="38">
        <v>10800</v>
      </c>
      <c r="L44" s="619" t="s">
        <v>9</v>
      </c>
      <c r="M44" s="619" t="s">
        <v>47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909"/>
      <c r="AB44" s="610">
        <v>4</v>
      </c>
    </row>
    <row r="45" spans="1:29" s="610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465</v>
      </c>
      <c r="E45" s="184">
        <v>40640</v>
      </c>
      <c r="F45" s="189" t="s">
        <v>385</v>
      </c>
      <c r="G45" s="620" t="s">
        <v>353</v>
      </c>
      <c r="H45" s="44" t="s">
        <v>386</v>
      </c>
      <c r="I45" s="260"/>
      <c r="J45" s="260"/>
      <c r="K45" s="618">
        <v>200000000</v>
      </c>
      <c r="L45" s="619" t="s">
        <v>24</v>
      </c>
      <c r="M45" s="619" t="s">
        <v>47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909"/>
    </row>
    <row r="46" spans="1:29" s="610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680</v>
      </c>
      <c r="E46" s="184">
        <v>40642</v>
      </c>
      <c r="F46" s="189" t="s">
        <v>1104</v>
      </c>
      <c r="G46" s="683" t="s">
        <v>421</v>
      </c>
      <c r="H46" s="7" t="s">
        <v>522</v>
      </c>
      <c r="I46" s="260"/>
      <c r="J46" s="260"/>
      <c r="K46" s="618">
        <v>5947392</v>
      </c>
      <c r="L46" s="619" t="s">
        <v>8</v>
      </c>
      <c r="M46" s="619" t="s">
        <v>47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909"/>
    </row>
    <row r="47" spans="1:29" s="610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720</v>
      </c>
      <c r="E47" s="184">
        <v>40642</v>
      </c>
      <c r="F47" s="189" t="s">
        <v>422</v>
      </c>
      <c r="G47" s="683" t="s">
        <v>421</v>
      </c>
      <c r="H47" s="7" t="s">
        <v>522</v>
      </c>
      <c r="I47" s="260">
        <v>50</v>
      </c>
      <c r="J47" s="260">
        <v>15998</v>
      </c>
      <c r="K47" s="618">
        <f>ROUND(I47*J47,0)</f>
        <v>799900</v>
      </c>
      <c r="L47" s="619" t="s">
        <v>159</v>
      </c>
      <c r="M47" s="619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909"/>
      <c r="AB47" s="211"/>
      <c r="AC47" s="211"/>
    </row>
    <row r="48" spans="1:29" s="610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720</v>
      </c>
      <c r="E48" s="184">
        <v>40642</v>
      </c>
      <c r="F48" s="189" t="s">
        <v>423</v>
      </c>
      <c r="G48" s="683" t="s">
        <v>421</v>
      </c>
      <c r="H48" s="7" t="s">
        <v>522</v>
      </c>
      <c r="I48" s="260">
        <v>50</v>
      </c>
      <c r="J48" s="260">
        <v>10830</v>
      </c>
      <c r="K48" s="618">
        <f>ROUND(I48*J48,0)</f>
        <v>541500</v>
      </c>
      <c r="L48" s="619" t="s">
        <v>159</v>
      </c>
      <c r="M48" s="619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909"/>
      <c r="AB48" s="211"/>
      <c r="AC48" s="211"/>
    </row>
    <row r="49" spans="1:30" s="610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720</v>
      </c>
      <c r="E49" s="184">
        <v>40642</v>
      </c>
      <c r="F49" s="189" t="s">
        <v>424</v>
      </c>
      <c r="G49" s="683" t="s">
        <v>421</v>
      </c>
      <c r="H49" s="7" t="s">
        <v>522</v>
      </c>
      <c r="I49" s="260">
        <v>10</v>
      </c>
      <c r="J49" s="260">
        <v>36792</v>
      </c>
      <c r="K49" s="618">
        <f>ROUND(I49*J49,0)</f>
        <v>367920</v>
      </c>
      <c r="L49" s="619" t="s">
        <v>159</v>
      </c>
      <c r="M49" s="619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909"/>
      <c r="AB49" s="211"/>
      <c r="AC49" s="211"/>
    </row>
    <row r="50" spans="1:30" s="610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720</v>
      </c>
      <c r="E50" s="184">
        <v>40642</v>
      </c>
      <c r="F50" s="189" t="s">
        <v>425</v>
      </c>
      <c r="G50" s="683" t="s">
        <v>421</v>
      </c>
      <c r="H50" s="7" t="s">
        <v>522</v>
      </c>
      <c r="I50" s="260">
        <v>152</v>
      </c>
      <c r="J50" s="260">
        <v>24325</v>
      </c>
      <c r="K50" s="618">
        <f>ROUND(I50*J50,0)</f>
        <v>3697400</v>
      </c>
      <c r="L50" s="619" t="s">
        <v>159</v>
      </c>
      <c r="M50" s="619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909"/>
      <c r="AB50" s="211"/>
      <c r="AC50" s="211"/>
    </row>
    <row r="51" spans="1:30" s="610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720</v>
      </c>
      <c r="E51" s="184">
        <v>40642</v>
      </c>
      <c r="F51" s="189" t="s">
        <v>403</v>
      </c>
      <c r="G51" s="683" t="s">
        <v>421</v>
      </c>
      <c r="H51" s="7" t="s">
        <v>522</v>
      </c>
      <c r="I51" s="260"/>
      <c r="J51" s="260"/>
      <c r="K51" s="618">
        <v>540672</v>
      </c>
      <c r="L51" s="619" t="s">
        <v>9</v>
      </c>
      <c r="M51" s="619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909"/>
      <c r="AB51" s="610">
        <v>4</v>
      </c>
      <c r="AC51" s="211"/>
    </row>
    <row r="52" spans="1:30" s="610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681</v>
      </c>
      <c r="E52" s="184">
        <v>40644</v>
      </c>
      <c r="F52" s="40" t="s">
        <v>660</v>
      </c>
      <c r="G52" s="683" t="s">
        <v>413</v>
      </c>
      <c r="H52" s="7" t="s">
        <v>414</v>
      </c>
      <c r="I52" s="260"/>
      <c r="J52" s="260"/>
      <c r="K52" s="38">
        <v>1292500</v>
      </c>
      <c r="L52" s="39" t="s">
        <v>8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909"/>
    </row>
    <row r="53" spans="1:30" s="610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682</v>
      </c>
      <c r="E53" s="184">
        <v>40644</v>
      </c>
      <c r="F53" s="40" t="s">
        <v>550</v>
      </c>
      <c r="G53" s="683" t="s">
        <v>416</v>
      </c>
      <c r="H53" s="7" t="s">
        <v>415</v>
      </c>
      <c r="I53" s="260"/>
      <c r="J53" s="260"/>
      <c r="K53" s="38">
        <v>2217600</v>
      </c>
      <c r="L53" s="39" t="s">
        <v>8</v>
      </c>
      <c r="M53" s="39" t="s">
        <v>47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909"/>
    </row>
    <row r="54" spans="1:30" s="610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684</v>
      </c>
      <c r="E54" s="184">
        <v>40644</v>
      </c>
      <c r="F54" s="189" t="s">
        <v>420</v>
      </c>
      <c r="G54" s="683" t="s">
        <v>418</v>
      </c>
      <c r="H54" s="7" t="s">
        <v>417</v>
      </c>
      <c r="I54" s="260"/>
      <c r="J54" s="260"/>
      <c r="K54" s="618">
        <v>1409091</v>
      </c>
      <c r="L54" s="619" t="s">
        <v>791</v>
      </c>
      <c r="M54" s="61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909"/>
      <c r="AB54" s="211"/>
      <c r="AC54" s="211"/>
    </row>
    <row r="55" spans="1:30" s="610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684</v>
      </c>
      <c r="E55" s="184">
        <v>40644</v>
      </c>
      <c r="F55" s="189" t="s">
        <v>419</v>
      </c>
      <c r="G55" s="683" t="s">
        <v>418</v>
      </c>
      <c r="H55" s="7" t="s">
        <v>417</v>
      </c>
      <c r="I55" s="260"/>
      <c r="J55" s="260"/>
      <c r="K55" s="618">
        <v>140909</v>
      </c>
      <c r="L55" s="619" t="s">
        <v>9</v>
      </c>
      <c r="M55" s="619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909"/>
      <c r="AB55" s="610">
        <v>4</v>
      </c>
      <c r="AC55" s="211"/>
    </row>
    <row r="56" spans="1:30" s="610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717</v>
      </c>
      <c r="E56" s="184">
        <v>40644</v>
      </c>
      <c r="F56" s="189" t="s">
        <v>411</v>
      </c>
      <c r="G56" s="683" t="s">
        <v>413</v>
      </c>
      <c r="H56" s="7" t="s">
        <v>414</v>
      </c>
      <c r="I56" s="260">
        <v>50</v>
      </c>
      <c r="J56" s="260">
        <v>23500</v>
      </c>
      <c r="K56" s="618">
        <f>ROUND(I56*J56,0)</f>
        <v>1175000</v>
      </c>
      <c r="L56" s="619" t="s">
        <v>161</v>
      </c>
      <c r="M56" s="619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909"/>
    </row>
    <row r="57" spans="1:30" s="610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717</v>
      </c>
      <c r="E57" s="184">
        <v>40644</v>
      </c>
      <c r="F57" s="189" t="s">
        <v>412</v>
      </c>
      <c r="G57" s="683" t="s">
        <v>413</v>
      </c>
      <c r="H57" s="7" t="s">
        <v>414</v>
      </c>
      <c r="I57" s="260"/>
      <c r="J57" s="260"/>
      <c r="K57" s="618">
        <v>117500</v>
      </c>
      <c r="L57" s="619" t="s">
        <v>9</v>
      </c>
      <c r="M57" s="619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909"/>
      <c r="AB57" s="610">
        <v>4</v>
      </c>
    </row>
    <row r="58" spans="1:30" s="610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718</v>
      </c>
      <c r="E58" s="184">
        <v>40644</v>
      </c>
      <c r="F58" s="189" t="s">
        <v>363</v>
      </c>
      <c r="G58" s="683" t="s">
        <v>416</v>
      </c>
      <c r="H58" s="7" t="s">
        <v>415</v>
      </c>
      <c r="I58" s="260">
        <v>48</v>
      </c>
      <c r="J58" s="260">
        <v>42000</v>
      </c>
      <c r="K58" s="618">
        <f>ROUND(I58*J58,0)</f>
        <v>2016000</v>
      </c>
      <c r="L58" s="619" t="s">
        <v>161</v>
      </c>
      <c r="M58" s="619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909"/>
    </row>
    <row r="59" spans="1:30" s="610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718</v>
      </c>
      <c r="E59" s="184">
        <v>40644</v>
      </c>
      <c r="F59" s="189" t="s">
        <v>364</v>
      </c>
      <c r="G59" s="683" t="s">
        <v>416</v>
      </c>
      <c r="H59" s="7" t="s">
        <v>415</v>
      </c>
      <c r="I59" s="260"/>
      <c r="J59" s="260"/>
      <c r="K59" s="618">
        <v>201600</v>
      </c>
      <c r="L59" s="619" t="s">
        <v>9</v>
      </c>
      <c r="M59" s="619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909"/>
      <c r="AB59" s="610">
        <v>4</v>
      </c>
    </row>
    <row r="60" spans="1:30" s="610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979</v>
      </c>
      <c r="E60" s="802">
        <v>40644</v>
      </c>
      <c r="F60" s="460" t="s">
        <v>411</v>
      </c>
      <c r="G60" s="40"/>
      <c r="H60" s="632" t="s">
        <v>1116</v>
      </c>
      <c r="I60" s="260">
        <v>50</v>
      </c>
      <c r="J60" s="260">
        <v>23500</v>
      </c>
      <c r="K60" s="618">
        <f>ROUND(I60*J60,0)</f>
        <v>1175000</v>
      </c>
      <c r="L60" s="39" t="s">
        <v>167</v>
      </c>
      <c r="M60" s="39" t="s">
        <v>161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909"/>
      <c r="AB60" s="198"/>
      <c r="AC60" s="198"/>
      <c r="AD60" s="198"/>
    </row>
    <row r="61" spans="1:30" s="610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979</v>
      </c>
      <c r="E61" s="802">
        <v>40644</v>
      </c>
      <c r="F61" s="460" t="s">
        <v>363</v>
      </c>
      <c r="G61" s="40"/>
      <c r="H61" s="632" t="s">
        <v>1116</v>
      </c>
      <c r="I61" s="260">
        <v>20</v>
      </c>
      <c r="J61" s="260">
        <v>42000</v>
      </c>
      <c r="K61" s="618">
        <f>ROUND(I61*J61,0)</f>
        <v>840000</v>
      </c>
      <c r="L61" s="39" t="s">
        <v>167</v>
      </c>
      <c r="M61" s="39" t="s">
        <v>161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909"/>
      <c r="AB61" s="198"/>
      <c r="AC61" s="198"/>
      <c r="AD61" s="198"/>
    </row>
    <row r="62" spans="1:30" s="610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685</v>
      </c>
      <c r="E62" s="184">
        <v>40646</v>
      </c>
      <c r="F62" s="189" t="s">
        <v>1104</v>
      </c>
      <c r="G62" s="683" t="s">
        <v>409</v>
      </c>
      <c r="H62" s="7" t="s">
        <v>522</v>
      </c>
      <c r="I62" s="260"/>
      <c r="J62" s="260"/>
      <c r="K62" s="618">
        <v>12234750</v>
      </c>
      <c r="L62" s="619" t="s">
        <v>8</v>
      </c>
      <c r="M62" s="619" t="s">
        <v>47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909"/>
    </row>
    <row r="63" spans="1:30" s="610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721</v>
      </c>
      <c r="E63" s="184">
        <v>40646</v>
      </c>
      <c r="F63" s="189" t="s">
        <v>410</v>
      </c>
      <c r="G63" s="683" t="s">
        <v>409</v>
      </c>
      <c r="H63" s="7" t="s">
        <v>522</v>
      </c>
      <c r="I63" s="851">
        <v>2500</v>
      </c>
      <c r="J63" s="260">
        <v>4449</v>
      </c>
      <c r="K63" s="618">
        <f>ROUND(I63*J63,0)</f>
        <v>11122500</v>
      </c>
      <c r="L63" s="619" t="s">
        <v>159</v>
      </c>
      <c r="M63" s="619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909"/>
    </row>
    <row r="64" spans="1:30" s="610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721</v>
      </c>
      <c r="E64" s="184">
        <v>40646</v>
      </c>
      <c r="F64" s="189" t="s">
        <v>403</v>
      </c>
      <c r="G64" s="683" t="s">
        <v>409</v>
      </c>
      <c r="H64" s="7" t="s">
        <v>522</v>
      </c>
      <c r="I64" s="260"/>
      <c r="J64" s="260"/>
      <c r="K64" s="618">
        <v>1112250</v>
      </c>
      <c r="L64" s="619" t="s">
        <v>9</v>
      </c>
      <c r="M64" s="619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909"/>
      <c r="AB64" s="610">
        <v>4</v>
      </c>
    </row>
    <row r="65" spans="1:30" s="610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689</v>
      </c>
      <c r="E65" s="184">
        <v>40646</v>
      </c>
      <c r="F65" s="189" t="s">
        <v>389</v>
      </c>
      <c r="G65" s="620" t="s">
        <v>353</v>
      </c>
      <c r="H65" s="44" t="s">
        <v>386</v>
      </c>
      <c r="I65" s="260"/>
      <c r="J65" s="260"/>
      <c r="K65" s="618">
        <v>50000000</v>
      </c>
      <c r="L65" s="619" t="s">
        <v>47</v>
      </c>
      <c r="M65" s="61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909"/>
    </row>
    <row r="66" spans="1:30" s="610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687</v>
      </c>
      <c r="E66" s="184">
        <v>40647</v>
      </c>
      <c r="F66" s="189" t="s">
        <v>1104</v>
      </c>
      <c r="G66" s="683" t="s">
        <v>407</v>
      </c>
      <c r="H66" s="7" t="s">
        <v>522</v>
      </c>
      <c r="I66" s="260"/>
      <c r="J66" s="260"/>
      <c r="K66" s="618">
        <v>16841000</v>
      </c>
      <c r="L66" s="619" t="s">
        <v>8</v>
      </c>
      <c r="M66" s="619" t="s">
        <v>47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909"/>
    </row>
    <row r="67" spans="1:30" s="610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722</v>
      </c>
      <c r="E67" s="184">
        <v>40647</v>
      </c>
      <c r="F67" s="189" t="s">
        <v>408</v>
      </c>
      <c r="G67" s="683" t="s">
        <v>407</v>
      </c>
      <c r="H67" s="7" t="s">
        <v>522</v>
      </c>
      <c r="I67" s="260">
        <f>600+1900</f>
        <v>2500</v>
      </c>
      <c r="J67" s="260">
        <v>6124</v>
      </c>
      <c r="K67" s="618">
        <f>ROUND(I67*J67,0)</f>
        <v>15310000</v>
      </c>
      <c r="L67" s="619" t="s">
        <v>159</v>
      </c>
      <c r="M67" s="619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909"/>
    </row>
    <row r="68" spans="1:30" s="610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722</v>
      </c>
      <c r="E68" s="184">
        <v>40647</v>
      </c>
      <c r="F68" s="189" t="s">
        <v>403</v>
      </c>
      <c r="G68" s="683" t="s">
        <v>407</v>
      </c>
      <c r="H68" s="7" t="s">
        <v>522</v>
      </c>
      <c r="I68" s="260"/>
      <c r="J68" s="260"/>
      <c r="K68" s="618">
        <v>1531000</v>
      </c>
      <c r="L68" s="619" t="s">
        <v>9</v>
      </c>
      <c r="M68" s="619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909"/>
      <c r="AB68" s="610">
        <v>4</v>
      </c>
    </row>
    <row r="69" spans="1:30" s="610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688</v>
      </c>
      <c r="E69" s="184">
        <v>40648</v>
      </c>
      <c r="F69" s="189" t="s">
        <v>1104</v>
      </c>
      <c r="G69" s="683" t="s">
        <v>401</v>
      </c>
      <c r="H69" s="7" t="s">
        <v>522</v>
      </c>
      <c r="I69" s="260"/>
      <c r="J69" s="260"/>
      <c r="K69" s="618">
        <v>5945481</v>
      </c>
      <c r="L69" s="619" t="s">
        <v>8</v>
      </c>
      <c r="M69" s="619" t="s">
        <v>47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909"/>
    </row>
    <row r="70" spans="1:30" s="610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723</v>
      </c>
      <c r="E70" s="184">
        <v>40648</v>
      </c>
      <c r="F70" s="189" t="s">
        <v>402</v>
      </c>
      <c r="G70" s="683" t="s">
        <v>401</v>
      </c>
      <c r="H70" s="7" t="s">
        <v>522</v>
      </c>
      <c r="I70" s="260">
        <v>130</v>
      </c>
      <c r="J70" s="260">
        <v>24346</v>
      </c>
      <c r="K70" s="618">
        <f>ROUND(I70*J70,0)</f>
        <v>3164980</v>
      </c>
      <c r="L70" s="619" t="s">
        <v>159</v>
      </c>
      <c r="M70" s="619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909"/>
    </row>
    <row r="71" spans="1:30" s="610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723</v>
      </c>
      <c r="E71" s="184">
        <v>40648</v>
      </c>
      <c r="F71" s="189" t="s">
        <v>404</v>
      </c>
      <c r="G71" s="683" t="s">
        <v>401</v>
      </c>
      <c r="H71" s="7" t="s">
        <v>522</v>
      </c>
      <c r="I71" s="260">
        <v>60</v>
      </c>
      <c r="J71" s="260">
        <v>14079</v>
      </c>
      <c r="K71" s="618">
        <f>ROUND(I71*J71,0)</f>
        <v>844740</v>
      </c>
      <c r="L71" s="619" t="s">
        <v>159</v>
      </c>
      <c r="M71" s="619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909"/>
    </row>
    <row r="72" spans="1:30" s="610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723</v>
      </c>
      <c r="E72" s="184">
        <v>40648</v>
      </c>
      <c r="F72" s="189" t="s">
        <v>405</v>
      </c>
      <c r="G72" s="683" t="s">
        <v>401</v>
      </c>
      <c r="H72" s="7" t="s">
        <v>522</v>
      </c>
      <c r="I72" s="260">
        <v>50</v>
      </c>
      <c r="J72" s="260">
        <v>27901</v>
      </c>
      <c r="K72" s="618">
        <f>ROUND(I72*J72,0)</f>
        <v>1395050</v>
      </c>
      <c r="L72" s="619" t="s">
        <v>159</v>
      </c>
      <c r="M72" s="619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909"/>
    </row>
    <row r="73" spans="1:30" s="610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723</v>
      </c>
      <c r="E73" s="184">
        <v>40648</v>
      </c>
      <c r="F73" s="189" t="s">
        <v>403</v>
      </c>
      <c r="G73" s="683" t="s">
        <v>401</v>
      </c>
      <c r="H73" s="7" t="s">
        <v>522</v>
      </c>
      <c r="I73" s="260"/>
      <c r="J73" s="260"/>
      <c r="K73" s="618">
        <v>540711</v>
      </c>
      <c r="L73" s="619" t="s">
        <v>9</v>
      </c>
      <c r="M73" s="619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909"/>
      <c r="AB73" s="610">
        <v>4</v>
      </c>
    </row>
    <row r="74" spans="1:30" s="610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690</v>
      </c>
      <c r="E74" s="184">
        <v>40649</v>
      </c>
      <c r="F74" s="189" t="s">
        <v>686</v>
      </c>
      <c r="G74" s="683" t="s">
        <v>396</v>
      </c>
      <c r="H74" s="7" t="s">
        <v>394</v>
      </c>
      <c r="I74" s="260">
        <v>20</v>
      </c>
      <c r="J74" s="260">
        <v>40000</v>
      </c>
      <c r="K74" s="618">
        <f>800000+1380000</f>
        <v>2180000</v>
      </c>
      <c r="L74" s="619" t="s">
        <v>167</v>
      </c>
      <c r="M74" s="619" t="s">
        <v>47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909"/>
    </row>
    <row r="75" spans="1:30" s="610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690</v>
      </c>
      <c r="E75" s="184">
        <v>40649</v>
      </c>
      <c r="F75" s="189" t="s">
        <v>365</v>
      </c>
      <c r="G75" s="683" t="s">
        <v>396</v>
      </c>
      <c r="H75" s="7" t="s">
        <v>394</v>
      </c>
      <c r="I75" s="260"/>
      <c r="J75" s="260"/>
      <c r="K75" s="618">
        <v>218000</v>
      </c>
      <c r="L75" s="619" t="s">
        <v>9</v>
      </c>
      <c r="M75" s="619" t="s">
        <v>47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909"/>
      <c r="AB75" s="610">
        <v>4</v>
      </c>
    </row>
    <row r="76" spans="1:30" s="610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691</v>
      </c>
      <c r="E76" s="37">
        <v>40652</v>
      </c>
      <c r="F76" s="40" t="s">
        <v>466</v>
      </c>
      <c r="G76" s="499" t="s">
        <v>470</v>
      </c>
      <c r="H76" s="45" t="s">
        <v>469</v>
      </c>
      <c r="I76" s="260"/>
      <c r="J76" s="260"/>
      <c r="K76" s="38">
        <v>1000000</v>
      </c>
      <c r="L76" s="39" t="s">
        <v>63</v>
      </c>
      <c r="M76" s="61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909"/>
      <c r="AB76" s="211"/>
      <c r="AC76" s="211"/>
      <c r="AD76" s="211"/>
    </row>
    <row r="77" spans="1:30" s="610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691</v>
      </c>
      <c r="E77" s="37">
        <v>40652</v>
      </c>
      <c r="F77" s="40" t="s">
        <v>467</v>
      </c>
      <c r="G77" s="499" t="s">
        <v>470</v>
      </c>
      <c r="H77" s="45"/>
      <c r="I77" s="260"/>
      <c r="J77" s="260"/>
      <c r="K77" s="38">
        <v>1000000</v>
      </c>
      <c r="L77" s="39" t="s">
        <v>83</v>
      </c>
      <c r="M77" s="619" t="s">
        <v>63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909"/>
      <c r="AB77" s="211"/>
      <c r="AC77" s="211"/>
      <c r="AD77" s="211"/>
    </row>
    <row r="78" spans="1:30" s="610" customFormat="1" ht="15.75" customHeight="1">
      <c r="A78" s="204" t="str">
        <f>IF(B78&lt;&gt;"",IF(AND(B78&gt;=_TM1,B78&lt;=_TM2,OR(TH!L78="1111",TH!M78="1111")),TH!D78,""),"")</f>
        <v/>
      </c>
      <c r="B78" s="719">
        <f t="shared" si="3"/>
        <v>4</v>
      </c>
      <c r="C78" s="720">
        <f t="shared" si="5"/>
        <v>40655</v>
      </c>
      <c r="D78" s="720" t="s">
        <v>356</v>
      </c>
      <c r="E78" s="720">
        <v>40655</v>
      </c>
      <c r="F78" s="721" t="s">
        <v>358</v>
      </c>
      <c r="G78" s="722" t="s">
        <v>353</v>
      </c>
      <c r="H78" s="50" t="s">
        <v>755</v>
      </c>
      <c r="I78" s="258"/>
      <c r="J78" s="258"/>
      <c r="K78" s="723">
        <v>28175740</v>
      </c>
      <c r="L78" s="724" t="s">
        <v>24</v>
      </c>
      <c r="M78" s="724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909"/>
      <c r="AB78" s="725"/>
      <c r="AC78" s="725"/>
      <c r="AD78" s="725"/>
    </row>
    <row r="79" spans="1:30" s="610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692</v>
      </c>
      <c r="E79" s="184">
        <v>40656</v>
      </c>
      <c r="F79" s="189" t="s">
        <v>397</v>
      </c>
      <c r="G79" s="683" t="s">
        <v>398</v>
      </c>
      <c r="H79" s="7" t="s">
        <v>400</v>
      </c>
      <c r="I79" s="260">
        <v>100</v>
      </c>
      <c r="J79" s="260">
        <v>23000</v>
      </c>
      <c r="K79" s="618">
        <f>ROUND(I79*J79,0)</f>
        <v>2300000</v>
      </c>
      <c r="L79" s="619" t="s">
        <v>167</v>
      </c>
      <c r="M79" s="61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909"/>
    </row>
    <row r="80" spans="1:30" s="610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692</v>
      </c>
      <c r="E80" s="184">
        <v>40656</v>
      </c>
      <c r="F80" s="189" t="s">
        <v>399</v>
      </c>
      <c r="G80" s="683" t="s">
        <v>398</v>
      </c>
      <c r="H80" s="7" t="s">
        <v>400</v>
      </c>
      <c r="I80" s="260"/>
      <c r="J80" s="260"/>
      <c r="K80" s="618">
        <v>230000</v>
      </c>
      <c r="L80" s="619" t="s">
        <v>9</v>
      </c>
      <c r="M80" s="619" t="s">
        <v>47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909"/>
      <c r="AB80" s="610">
        <v>4</v>
      </c>
    </row>
    <row r="81" spans="1:30" s="610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356</v>
      </c>
      <c r="E81" s="184">
        <v>40658</v>
      </c>
      <c r="F81" s="189" t="s">
        <v>387</v>
      </c>
      <c r="G81" s="620" t="s">
        <v>353</v>
      </c>
      <c r="H81" s="44"/>
      <c r="I81" s="260"/>
      <c r="J81" s="260"/>
      <c r="K81" s="618">
        <v>271892</v>
      </c>
      <c r="L81" s="619" t="s">
        <v>24</v>
      </c>
      <c r="M81" s="619" t="s">
        <v>40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909"/>
    </row>
    <row r="82" spans="1:30" s="610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724</v>
      </c>
      <c r="E82" s="37">
        <v>40658</v>
      </c>
      <c r="F82" s="189" t="s">
        <v>501</v>
      </c>
      <c r="G82" s="499" t="s">
        <v>500</v>
      </c>
      <c r="H82" s="7" t="s">
        <v>522</v>
      </c>
      <c r="I82" s="263">
        <v>3010</v>
      </c>
      <c r="J82" s="260">
        <v>4592</v>
      </c>
      <c r="K82" s="618">
        <f t="shared" ref="K82:K87" si="6">ROUND(I82*J82,0)</f>
        <v>13821920</v>
      </c>
      <c r="L82" s="39" t="s">
        <v>159</v>
      </c>
      <c r="M82" s="619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909"/>
      <c r="AB82" s="211"/>
      <c r="AC82" s="211"/>
      <c r="AD82" s="211"/>
    </row>
    <row r="83" spans="1:30" s="610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724</v>
      </c>
      <c r="E83" s="37">
        <v>40658</v>
      </c>
      <c r="F83" s="189" t="s">
        <v>502</v>
      </c>
      <c r="G83" s="499" t="s">
        <v>500</v>
      </c>
      <c r="H83" s="7" t="s">
        <v>522</v>
      </c>
      <c r="I83" s="260">
        <v>3010</v>
      </c>
      <c r="J83" s="263">
        <v>6026</v>
      </c>
      <c r="K83" s="618">
        <f t="shared" si="6"/>
        <v>18138260</v>
      </c>
      <c r="L83" s="39" t="s">
        <v>159</v>
      </c>
      <c r="M83" s="619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909"/>
      <c r="AB83" s="211"/>
      <c r="AC83" s="211"/>
      <c r="AD83" s="211"/>
    </row>
    <row r="84" spans="1:30" s="610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724</v>
      </c>
      <c r="E84" s="37">
        <v>40658</v>
      </c>
      <c r="F84" s="189" t="s">
        <v>503</v>
      </c>
      <c r="G84" s="499" t="s">
        <v>500</v>
      </c>
      <c r="H84" s="7" t="s">
        <v>522</v>
      </c>
      <c r="I84" s="260">
        <v>235</v>
      </c>
      <c r="J84" s="263">
        <v>16125</v>
      </c>
      <c r="K84" s="618">
        <f t="shared" si="6"/>
        <v>3789375</v>
      </c>
      <c r="L84" s="39" t="s">
        <v>159</v>
      </c>
      <c r="M84" s="619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909"/>
      <c r="AB84" s="211"/>
      <c r="AC84" s="211"/>
      <c r="AD84" s="211"/>
    </row>
    <row r="85" spans="1:30" s="725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724</v>
      </c>
      <c r="E85" s="37">
        <v>40658</v>
      </c>
      <c r="F85" s="189" t="s">
        <v>504</v>
      </c>
      <c r="G85" s="499" t="s">
        <v>500</v>
      </c>
      <c r="H85" s="7" t="s">
        <v>522</v>
      </c>
      <c r="I85" s="260">
        <v>1500</v>
      </c>
      <c r="J85" s="263">
        <v>25200</v>
      </c>
      <c r="K85" s="618">
        <f t="shared" si="6"/>
        <v>37800000</v>
      </c>
      <c r="L85" s="39" t="s">
        <v>159</v>
      </c>
      <c r="M85" s="619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909"/>
      <c r="AB85" s="211"/>
      <c r="AC85" s="211"/>
      <c r="AD85" s="211"/>
    </row>
    <row r="86" spans="1:30" s="610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724</v>
      </c>
      <c r="E86" s="37">
        <v>40658</v>
      </c>
      <c r="F86" s="189" t="s">
        <v>505</v>
      </c>
      <c r="G86" s="499" t="s">
        <v>500</v>
      </c>
      <c r="H86" s="7" t="s">
        <v>522</v>
      </c>
      <c r="I86" s="260">
        <v>447</v>
      </c>
      <c r="J86" s="263">
        <v>27720</v>
      </c>
      <c r="K86" s="618">
        <f t="shared" si="6"/>
        <v>12390840</v>
      </c>
      <c r="L86" s="39" t="s">
        <v>159</v>
      </c>
      <c r="M86" s="619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909"/>
      <c r="AB86" s="211"/>
      <c r="AC86" s="211"/>
      <c r="AD86" s="211"/>
    </row>
    <row r="87" spans="1:30" s="610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724</v>
      </c>
      <c r="E87" s="37">
        <v>40658</v>
      </c>
      <c r="F87" s="189" t="s">
        <v>506</v>
      </c>
      <c r="G87" s="499" t="s">
        <v>500</v>
      </c>
      <c r="H87" s="7" t="s">
        <v>522</v>
      </c>
      <c r="I87" s="260">
        <v>52</v>
      </c>
      <c r="J87" s="263">
        <v>35390</v>
      </c>
      <c r="K87" s="618">
        <f t="shared" si="6"/>
        <v>1840280</v>
      </c>
      <c r="L87" s="39" t="s">
        <v>159</v>
      </c>
      <c r="M87" s="619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909"/>
      <c r="AB87" s="211"/>
      <c r="AC87" s="211"/>
      <c r="AD87" s="211"/>
    </row>
    <row r="88" spans="1:30" s="610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724</v>
      </c>
      <c r="E88" s="37">
        <v>40658</v>
      </c>
      <c r="F88" s="189" t="s">
        <v>403</v>
      </c>
      <c r="G88" s="499" t="s">
        <v>500</v>
      </c>
      <c r="H88" s="7" t="s">
        <v>522</v>
      </c>
      <c r="I88" s="260"/>
      <c r="J88" s="263"/>
      <c r="K88" s="38">
        <v>8778068</v>
      </c>
      <c r="L88" s="39" t="s">
        <v>9</v>
      </c>
      <c r="M88" s="619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909"/>
      <c r="AB88" s="211">
        <v>5</v>
      </c>
      <c r="AC88" s="211"/>
      <c r="AD88" s="211"/>
    </row>
    <row r="89" spans="1:30" s="610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980</v>
      </c>
      <c r="E89" s="802">
        <v>40660</v>
      </c>
      <c r="F89" s="460" t="s">
        <v>498</v>
      </c>
      <c r="G89" s="40"/>
      <c r="H89" s="632" t="s">
        <v>1116</v>
      </c>
      <c r="I89" s="260">
        <v>5000</v>
      </c>
      <c r="J89" s="260">
        <v>220</v>
      </c>
      <c r="K89" s="618">
        <f>ROUND(I89*J89,0)</f>
        <v>1100000</v>
      </c>
      <c r="L89" s="39" t="s">
        <v>167</v>
      </c>
      <c r="M89" s="39" t="s">
        <v>161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909"/>
      <c r="AB89" s="198"/>
      <c r="AC89" s="198"/>
      <c r="AD89" s="198"/>
    </row>
    <row r="90" spans="1:30" s="610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725</v>
      </c>
      <c r="E90" s="37">
        <v>40661</v>
      </c>
      <c r="F90" s="189" t="s">
        <v>507</v>
      </c>
      <c r="G90" s="499" t="s">
        <v>509</v>
      </c>
      <c r="H90" s="7" t="s">
        <v>522</v>
      </c>
      <c r="I90" s="260">
        <v>230</v>
      </c>
      <c r="J90" s="263">
        <v>19112</v>
      </c>
      <c r="K90" s="618">
        <f>ROUND(I90*J90,0)</f>
        <v>4395760</v>
      </c>
      <c r="L90" s="39" t="s">
        <v>159</v>
      </c>
      <c r="M90" s="619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909"/>
      <c r="AB90" s="211"/>
      <c r="AC90" s="211"/>
      <c r="AD90" s="211"/>
    </row>
    <row r="91" spans="1:30" s="610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725</v>
      </c>
      <c r="E91" s="37">
        <v>40661</v>
      </c>
      <c r="F91" s="189" t="s">
        <v>508</v>
      </c>
      <c r="G91" s="499" t="s">
        <v>509</v>
      </c>
      <c r="H91" s="7" t="s">
        <v>522</v>
      </c>
      <c r="I91" s="260">
        <v>95</v>
      </c>
      <c r="J91" s="263">
        <v>32025</v>
      </c>
      <c r="K91" s="618">
        <f>ROUND(I91*J91,0)</f>
        <v>3042375</v>
      </c>
      <c r="L91" s="39" t="s">
        <v>159</v>
      </c>
      <c r="M91" s="619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909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725</v>
      </c>
      <c r="E92" s="37">
        <v>40661</v>
      </c>
      <c r="F92" s="189" t="s">
        <v>403</v>
      </c>
      <c r="G92" s="499" t="s">
        <v>509</v>
      </c>
      <c r="H92" s="7" t="s">
        <v>522</v>
      </c>
      <c r="I92" s="260"/>
      <c r="J92" s="263"/>
      <c r="K92" s="38">
        <v>743814</v>
      </c>
      <c r="L92" s="39" t="s">
        <v>9</v>
      </c>
      <c r="M92" s="619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909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726</v>
      </c>
      <c r="E93" s="37">
        <v>40661</v>
      </c>
      <c r="F93" s="189" t="s">
        <v>511</v>
      </c>
      <c r="G93" s="499" t="s">
        <v>510</v>
      </c>
      <c r="H93" s="7" t="s">
        <v>522</v>
      </c>
      <c r="I93" s="260">
        <v>90</v>
      </c>
      <c r="J93" s="263">
        <v>16173</v>
      </c>
      <c r="K93" s="618">
        <f>ROUND(I93*J93,0)</f>
        <v>1455570</v>
      </c>
      <c r="L93" s="39" t="s">
        <v>159</v>
      </c>
      <c r="M93" s="619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909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726</v>
      </c>
      <c r="E94" s="37">
        <v>40661</v>
      </c>
      <c r="F94" s="189" t="s">
        <v>512</v>
      </c>
      <c r="G94" s="499" t="s">
        <v>510</v>
      </c>
      <c r="H94" s="7" t="s">
        <v>522</v>
      </c>
      <c r="I94" s="260">
        <v>275</v>
      </c>
      <c r="J94" s="263">
        <v>16925</v>
      </c>
      <c r="K94" s="618">
        <f>ROUND(I94*J94,0)</f>
        <v>4654375</v>
      </c>
      <c r="L94" s="39" t="s">
        <v>159</v>
      </c>
      <c r="M94" s="619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909"/>
    </row>
    <row r="95" spans="1:30" s="895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726</v>
      </c>
      <c r="E95" s="37">
        <v>40661</v>
      </c>
      <c r="F95" s="899" t="s">
        <v>513</v>
      </c>
      <c r="G95" s="499" t="s">
        <v>510</v>
      </c>
      <c r="H95" s="7" t="s">
        <v>522</v>
      </c>
      <c r="I95" s="262">
        <v>185</v>
      </c>
      <c r="J95" s="263">
        <v>17427</v>
      </c>
      <c r="K95" s="618">
        <f>ROUND(I95*J95,0)</f>
        <v>3223995</v>
      </c>
      <c r="L95" s="39" t="s">
        <v>159</v>
      </c>
      <c r="M95" s="619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909"/>
      <c r="AB95" s="610"/>
      <c r="AC95" s="610"/>
      <c r="AD95" s="610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726</v>
      </c>
      <c r="E96" s="37">
        <v>40661</v>
      </c>
      <c r="F96" s="189" t="s">
        <v>514</v>
      </c>
      <c r="G96" s="499" t="s">
        <v>510</v>
      </c>
      <c r="H96" s="7" t="s">
        <v>522</v>
      </c>
      <c r="I96" s="262">
        <v>640</v>
      </c>
      <c r="J96" s="263">
        <v>22554</v>
      </c>
      <c r="K96" s="618">
        <f>ROUND(I96*J96,0)</f>
        <v>14434560</v>
      </c>
      <c r="L96" s="39" t="s">
        <v>159</v>
      </c>
      <c r="M96" s="619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909"/>
      <c r="AB96" s="610"/>
      <c r="AC96" s="610"/>
      <c r="AD96" s="610"/>
    </row>
    <row r="97" spans="1:30" s="610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726</v>
      </c>
      <c r="E97" s="37">
        <v>40661</v>
      </c>
      <c r="F97" s="189" t="s">
        <v>515</v>
      </c>
      <c r="G97" s="499" t="s">
        <v>510</v>
      </c>
      <c r="H97" s="7" t="s">
        <v>522</v>
      </c>
      <c r="I97" s="260">
        <v>415</v>
      </c>
      <c r="J97" s="263">
        <v>23716</v>
      </c>
      <c r="K97" s="618">
        <f>ROUND(I97*J97,0)</f>
        <v>9842140</v>
      </c>
      <c r="L97" s="39" t="s">
        <v>159</v>
      </c>
      <c r="M97" s="619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909"/>
    </row>
    <row r="98" spans="1:30" s="610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726</v>
      </c>
      <c r="E98" s="37">
        <v>40661</v>
      </c>
      <c r="F98" s="189" t="s">
        <v>403</v>
      </c>
      <c r="G98" s="499" t="s">
        <v>510</v>
      </c>
      <c r="H98" s="7" t="s">
        <v>522</v>
      </c>
      <c r="I98" s="263"/>
      <c r="J98" s="263"/>
      <c r="K98" s="38">
        <v>3361064</v>
      </c>
      <c r="L98" s="39" t="s">
        <v>9</v>
      </c>
      <c r="M98" s="619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909"/>
      <c r="AB98" s="211">
        <v>5</v>
      </c>
      <c r="AC98" s="211"/>
      <c r="AD98" s="211"/>
    </row>
    <row r="99" spans="1:30" s="610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7">
        <f t="shared" si="5"/>
        <v>40664</v>
      </c>
      <c r="D99" s="727" t="s">
        <v>360</v>
      </c>
      <c r="E99" s="732">
        <v>40664</v>
      </c>
      <c r="F99" s="728" t="s">
        <v>806</v>
      </c>
      <c r="G99" s="729"/>
      <c r="H99" s="632"/>
      <c r="I99" s="498"/>
      <c r="J99" s="498"/>
      <c r="K99" s="730">
        <v>750000</v>
      </c>
      <c r="L99" s="731" t="s">
        <v>167</v>
      </c>
      <c r="M99" s="731" t="s">
        <v>276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909"/>
    </row>
    <row r="100" spans="1:30" s="610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7">
        <f t="shared" si="5"/>
        <v>40664</v>
      </c>
      <c r="D100" s="727" t="s">
        <v>360</v>
      </c>
      <c r="E100" s="732">
        <v>40664</v>
      </c>
      <c r="F100" s="728" t="s">
        <v>807</v>
      </c>
      <c r="G100" s="729"/>
      <c r="H100" s="632"/>
      <c r="I100" s="498"/>
      <c r="J100" s="498"/>
      <c r="K100" s="730">
        <v>3164845</v>
      </c>
      <c r="L100" s="731" t="s">
        <v>167</v>
      </c>
      <c r="M100" s="731" t="s">
        <v>791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909"/>
    </row>
    <row r="101" spans="1:30" s="610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693</v>
      </c>
      <c r="E101" s="37">
        <v>40660</v>
      </c>
      <c r="F101" s="40" t="s">
        <v>390</v>
      </c>
      <c r="G101" s="499" t="s">
        <v>416</v>
      </c>
      <c r="H101" s="45" t="s">
        <v>497</v>
      </c>
      <c r="I101" s="260"/>
      <c r="J101" s="260"/>
      <c r="K101" s="618">
        <v>2762067</v>
      </c>
      <c r="L101" s="39" t="s">
        <v>8</v>
      </c>
      <c r="M101" s="619" t="s">
        <v>47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909"/>
    </row>
    <row r="102" spans="1:30" s="610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719</v>
      </c>
      <c r="E102" s="37">
        <v>40660</v>
      </c>
      <c r="F102" s="40" t="s">
        <v>498</v>
      </c>
      <c r="G102" s="499" t="s">
        <v>416</v>
      </c>
      <c r="H102" s="45" t="s">
        <v>497</v>
      </c>
      <c r="I102" s="260">
        <v>11413.5</v>
      </c>
      <c r="J102" s="260">
        <v>220</v>
      </c>
      <c r="K102" s="618">
        <f>ROUND(I102*J102,0)</f>
        <v>2510970</v>
      </c>
      <c r="L102" s="39" t="s">
        <v>161</v>
      </c>
      <c r="M102" s="619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909"/>
    </row>
    <row r="103" spans="1:30" s="610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719</v>
      </c>
      <c r="E103" s="37">
        <v>40660</v>
      </c>
      <c r="F103" s="40" t="s">
        <v>499</v>
      </c>
      <c r="G103" s="499" t="s">
        <v>416</v>
      </c>
      <c r="H103" s="45" t="s">
        <v>497</v>
      </c>
      <c r="I103" s="260"/>
      <c r="J103" s="260"/>
      <c r="K103" s="38">
        <v>251097</v>
      </c>
      <c r="L103" s="39" t="s">
        <v>9</v>
      </c>
      <c r="M103" s="619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909"/>
      <c r="AB103" s="610">
        <v>5</v>
      </c>
    </row>
    <row r="104" spans="1:30" s="610" customFormat="1" ht="15.75" customHeight="1">
      <c r="A104" s="204" t="str">
        <f>IF(B104&lt;&gt;"",IF(AND(B104&gt;=_TM1,B104&lt;=_TM2,OR(TH!L104="1111",TH!M104="1111")),TH!D104,""),"")</f>
        <v/>
      </c>
      <c r="B104" s="886">
        <f t="shared" si="7"/>
        <v>5</v>
      </c>
      <c r="C104" s="887">
        <f t="shared" ref="C104:C135" si="8">E104</f>
        <v>40667</v>
      </c>
      <c r="D104" s="888" t="s">
        <v>726</v>
      </c>
      <c r="E104" s="887">
        <v>40667</v>
      </c>
      <c r="F104" s="896" t="s">
        <v>1456</v>
      </c>
      <c r="G104" s="889" t="s">
        <v>1455</v>
      </c>
      <c r="H104" s="890" t="s">
        <v>522</v>
      </c>
      <c r="I104" s="891">
        <v>70</v>
      </c>
      <c r="J104" s="892">
        <v>16925</v>
      </c>
      <c r="K104" s="881">
        <f>ROUND(I104*J104,0)</f>
        <v>1184750</v>
      </c>
      <c r="L104" s="869" t="s">
        <v>159</v>
      </c>
      <c r="M104" s="893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909"/>
      <c r="AB104" s="894"/>
      <c r="AC104" s="894"/>
      <c r="AD104" s="894"/>
    </row>
    <row r="105" spans="1:30" s="610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726</v>
      </c>
      <c r="E105" s="37">
        <v>40667</v>
      </c>
      <c r="F105" s="189" t="s">
        <v>403</v>
      </c>
      <c r="G105" s="499" t="s">
        <v>1455</v>
      </c>
      <c r="H105" s="7" t="s">
        <v>522</v>
      </c>
      <c r="I105" s="263"/>
      <c r="J105" s="263"/>
      <c r="K105" s="38">
        <v>118475</v>
      </c>
      <c r="L105" s="39" t="s">
        <v>9</v>
      </c>
      <c r="M105" s="619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909"/>
      <c r="AB105" s="610">
        <v>5</v>
      </c>
      <c r="AC105" s="211"/>
      <c r="AD105" s="211"/>
    </row>
    <row r="106" spans="1:30" s="610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7" t="s">
        <v>1115</v>
      </c>
      <c r="E106" s="847">
        <v>40668</v>
      </c>
      <c r="F106" s="189" t="s">
        <v>519</v>
      </c>
      <c r="G106" s="729"/>
      <c r="H106" s="632" t="s">
        <v>1116</v>
      </c>
      <c r="I106" s="498">
        <v>98</v>
      </c>
      <c r="J106" s="498">
        <v>16462</v>
      </c>
      <c r="K106" s="618">
        <f t="shared" ref="K106:K114" si="9">ROUND(I106*J106,0)</f>
        <v>1613276</v>
      </c>
      <c r="L106" s="39" t="s">
        <v>167</v>
      </c>
      <c r="M106" s="731" t="s">
        <v>159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909"/>
      <c r="AB106" s="198"/>
      <c r="AC106" s="198"/>
      <c r="AD106" s="198"/>
    </row>
    <row r="107" spans="1:30" s="610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7" t="s">
        <v>1115</v>
      </c>
      <c r="E107" s="847">
        <v>40668</v>
      </c>
      <c r="F107" s="189" t="s">
        <v>425</v>
      </c>
      <c r="G107" s="729"/>
      <c r="H107" s="632" t="s">
        <v>1116</v>
      </c>
      <c r="I107" s="498">
        <v>90</v>
      </c>
      <c r="J107" s="498">
        <v>24325</v>
      </c>
      <c r="K107" s="618">
        <f t="shared" si="9"/>
        <v>2189250</v>
      </c>
      <c r="L107" s="39" t="s">
        <v>167</v>
      </c>
      <c r="M107" s="731" t="s">
        <v>159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909"/>
      <c r="AB107" s="198"/>
      <c r="AC107" s="198"/>
      <c r="AD107" s="198"/>
    </row>
    <row r="108" spans="1:30" s="610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7" t="s">
        <v>1115</v>
      </c>
      <c r="E108" s="847">
        <v>40668</v>
      </c>
      <c r="F108" s="302" t="s">
        <v>503</v>
      </c>
      <c r="G108" s="729"/>
      <c r="H108" s="632" t="s">
        <v>1116</v>
      </c>
      <c r="I108" s="498">
        <v>209</v>
      </c>
      <c r="J108" s="498">
        <v>16125</v>
      </c>
      <c r="K108" s="618">
        <f t="shared" si="9"/>
        <v>3370125</v>
      </c>
      <c r="L108" s="39" t="s">
        <v>167</v>
      </c>
      <c r="M108" s="731" t="s">
        <v>159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909"/>
      <c r="AB108" s="198"/>
      <c r="AC108" s="198"/>
      <c r="AD108" s="198"/>
    </row>
    <row r="109" spans="1:30" s="610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7" t="s">
        <v>1115</v>
      </c>
      <c r="E109" s="847">
        <v>40668</v>
      </c>
      <c r="F109" s="189" t="s">
        <v>546</v>
      </c>
      <c r="G109" s="729"/>
      <c r="H109" s="632" t="s">
        <v>1116</v>
      </c>
      <c r="I109" s="498">
        <v>283</v>
      </c>
      <c r="J109" s="498">
        <v>7268</v>
      </c>
      <c r="K109" s="618">
        <f t="shared" si="9"/>
        <v>2056844</v>
      </c>
      <c r="L109" s="39" t="s">
        <v>167</v>
      </c>
      <c r="M109" s="731" t="s">
        <v>159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909"/>
      <c r="AB109" s="198"/>
      <c r="AC109" s="198"/>
      <c r="AD109" s="198"/>
    </row>
    <row r="110" spans="1:30" s="610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7" t="s">
        <v>1115</v>
      </c>
      <c r="E110" s="847">
        <v>40668</v>
      </c>
      <c r="F110" s="189" t="s">
        <v>525</v>
      </c>
      <c r="G110" s="729"/>
      <c r="H110" s="632" t="s">
        <v>1116</v>
      </c>
      <c r="I110" s="498">
        <v>494</v>
      </c>
      <c r="J110" s="498">
        <v>5612</v>
      </c>
      <c r="K110" s="618">
        <f t="shared" si="9"/>
        <v>2772328</v>
      </c>
      <c r="L110" s="39" t="s">
        <v>167</v>
      </c>
      <c r="M110" s="731" t="s">
        <v>159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909"/>
      <c r="AB110" s="198"/>
      <c r="AC110" s="198"/>
      <c r="AD110" s="198"/>
    </row>
    <row r="111" spans="1:30" s="610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7" t="s">
        <v>1115</v>
      </c>
      <c r="E111" s="847">
        <v>40668</v>
      </c>
      <c r="F111" s="189" t="s">
        <v>526</v>
      </c>
      <c r="G111" s="729"/>
      <c r="H111" s="632" t="s">
        <v>1116</v>
      </c>
      <c r="I111" s="498">
        <v>398</v>
      </c>
      <c r="J111" s="498">
        <v>5831</v>
      </c>
      <c r="K111" s="618">
        <f t="shared" si="9"/>
        <v>2320738</v>
      </c>
      <c r="L111" s="39" t="s">
        <v>167</v>
      </c>
      <c r="M111" s="731" t="s">
        <v>159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909"/>
      <c r="AB111" s="198"/>
      <c r="AC111" s="198"/>
      <c r="AD111" s="198"/>
    </row>
    <row r="112" spans="1:30" s="610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7" t="s">
        <v>1115</v>
      </c>
      <c r="E112" s="847">
        <v>40668</v>
      </c>
      <c r="F112" s="189" t="s">
        <v>531</v>
      </c>
      <c r="G112" s="729"/>
      <c r="H112" s="632" t="s">
        <v>1116</v>
      </c>
      <c r="I112" s="498">
        <v>100</v>
      </c>
      <c r="J112" s="498">
        <v>12122</v>
      </c>
      <c r="K112" s="618">
        <f t="shared" si="9"/>
        <v>1212200</v>
      </c>
      <c r="L112" s="39" t="s">
        <v>167</v>
      </c>
      <c r="M112" s="731" t="s">
        <v>159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909"/>
      <c r="AB112" s="198"/>
      <c r="AC112" s="198"/>
      <c r="AD112" s="198"/>
    </row>
    <row r="113" spans="1:30" s="610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7" t="s">
        <v>1115</v>
      </c>
      <c r="E113" s="847">
        <v>40668</v>
      </c>
      <c r="F113" s="189" t="s">
        <v>508</v>
      </c>
      <c r="G113" s="729"/>
      <c r="H113" s="632" t="s">
        <v>1116</v>
      </c>
      <c r="I113" s="498">
        <v>95</v>
      </c>
      <c r="J113" s="498">
        <v>32025</v>
      </c>
      <c r="K113" s="618">
        <f t="shared" si="9"/>
        <v>3042375</v>
      </c>
      <c r="L113" s="39" t="s">
        <v>167</v>
      </c>
      <c r="M113" s="731" t="s">
        <v>159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909"/>
      <c r="AB113" s="198"/>
      <c r="AC113" s="198"/>
      <c r="AD113" s="198"/>
    </row>
    <row r="114" spans="1:30" s="610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7" t="s">
        <v>1115</v>
      </c>
      <c r="E114" s="847">
        <v>40668</v>
      </c>
      <c r="F114" s="189" t="s">
        <v>524</v>
      </c>
      <c r="G114" s="729"/>
      <c r="H114" s="632" t="s">
        <v>1116</v>
      </c>
      <c r="I114" s="498">
        <v>206</v>
      </c>
      <c r="J114" s="498">
        <v>13498</v>
      </c>
      <c r="K114" s="618">
        <f t="shared" si="9"/>
        <v>2780588</v>
      </c>
      <c r="L114" s="39" t="s">
        <v>167</v>
      </c>
      <c r="M114" s="731" t="s">
        <v>159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909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9">
        <f t="shared" si="7"/>
        <v>5</v>
      </c>
      <c r="C115" s="720">
        <f t="shared" si="8"/>
        <v>40669</v>
      </c>
      <c r="D115" s="720" t="s">
        <v>357</v>
      </c>
      <c r="E115" s="720">
        <v>40669</v>
      </c>
      <c r="F115" s="721" t="s">
        <v>391</v>
      </c>
      <c r="G115" s="722" t="s">
        <v>353</v>
      </c>
      <c r="H115" s="50" t="s">
        <v>755</v>
      </c>
      <c r="I115" s="258"/>
      <c r="J115" s="258"/>
      <c r="K115" s="723">
        <v>28175740</v>
      </c>
      <c r="L115" s="724" t="s">
        <v>274</v>
      </c>
      <c r="M115" s="724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909"/>
      <c r="AB115" s="725"/>
      <c r="AC115" s="725"/>
      <c r="AD115" s="725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838</v>
      </c>
      <c r="E116" s="184">
        <v>40669</v>
      </c>
      <c r="F116" s="189" t="s">
        <v>389</v>
      </c>
      <c r="G116" s="620" t="s">
        <v>353</v>
      </c>
      <c r="H116" s="44" t="s">
        <v>386</v>
      </c>
      <c r="I116" s="260"/>
      <c r="J116" s="260"/>
      <c r="K116" s="618">
        <v>10000000</v>
      </c>
      <c r="L116" s="619" t="s">
        <v>47</v>
      </c>
      <c r="M116" s="61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909"/>
      <c r="AB116" s="610"/>
      <c r="AC116" s="610"/>
      <c r="AD116" s="610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7" t="s">
        <v>1117</v>
      </c>
      <c r="E117" s="847">
        <v>40670</v>
      </c>
      <c r="F117" s="189" t="s">
        <v>423</v>
      </c>
      <c r="G117" s="729"/>
      <c r="H117" s="632" t="s">
        <v>1116</v>
      </c>
      <c r="I117" s="498">
        <v>50</v>
      </c>
      <c r="J117" s="498">
        <v>10830</v>
      </c>
      <c r="K117" s="618">
        <f t="shared" ref="K117:K125" si="10">ROUND(I117*J117,0)</f>
        <v>541500</v>
      </c>
      <c r="L117" s="39" t="s">
        <v>167</v>
      </c>
      <c r="M117" s="731" t="s">
        <v>159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909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7" t="s">
        <v>1117</v>
      </c>
      <c r="E118" s="847">
        <v>40670</v>
      </c>
      <c r="F118" s="189" t="s">
        <v>410</v>
      </c>
      <c r="G118" s="729"/>
      <c r="H118" s="632" t="s">
        <v>1116</v>
      </c>
      <c r="I118" s="877">
        <v>75</v>
      </c>
      <c r="J118" s="260">
        <v>4449</v>
      </c>
      <c r="K118" s="618">
        <f t="shared" si="10"/>
        <v>333675</v>
      </c>
      <c r="L118" s="39" t="s">
        <v>167</v>
      </c>
      <c r="M118" s="731" t="s">
        <v>159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909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7" t="s">
        <v>1117</v>
      </c>
      <c r="E119" s="847">
        <v>40670</v>
      </c>
      <c r="F119" s="302" t="s">
        <v>503</v>
      </c>
      <c r="G119" s="502"/>
      <c r="H119" s="632" t="s">
        <v>1116</v>
      </c>
      <c r="I119" s="260">
        <v>7</v>
      </c>
      <c r="J119" s="260">
        <v>16125</v>
      </c>
      <c r="K119" s="618">
        <f t="shared" si="10"/>
        <v>112875</v>
      </c>
      <c r="L119" s="39" t="s">
        <v>167</v>
      </c>
      <c r="M119" s="731" t="s">
        <v>159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909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7" t="s">
        <v>1117</v>
      </c>
      <c r="E120" s="847">
        <v>40670</v>
      </c>
      <c r="F120" s="302" t="s">
        <v>503</v>
      </c>
      <c r="G120" s="502"/>
      <c r="H120" s="632" t="s">
        <v>1116</v>
      </c>
      <c r="I120" s="260">
        <v>7</v>
      </c>
      <c r="J120" s="260">
        <v>16125</v>
      </c>
      <c r="K120" s="618">
        <f t="shared" si="10"/>
        <v>112875</v>
      </c>
      <c r="L120" s="39" t="s">
        <v>167</v>
      </c>
      <c r="M120" s="731" t="s">
        <v>159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909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7" t="s">
        <v>1117</v>
      </c>
      <c r="E121" s="847">
        <v>40670</v>
      </c>
      <c r="F121" s="189" t="s">
        <v>520</v>
      </c>
      <c r="G121" s="620"/>
      <c r="H121" s="632" t="s">
        <v>1116</v>
      </c>
      <c r="I121" s="260">
        <v>250</v>
      </c>
      <c r="J121" s="260">
        <v>11587</v>
      </c>
      <c r="K121" s="618">
        <f t="shared" si="10"/>
        <v>2896750</v>
      </c>
      <c r="L121" s="39" t="s">
        <v>167</v>
      </c>
      <c r="M121" s="731" t="s">
        <v>159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909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7" t="s">
        <v>1117</v>
      </c>
      <c r="E122" s="847">
        <v>40670</v>
      </c>
      <c r="F122" s="302" t="s">
        <v>405</v>
      </c>
      <c r="G122" s="620"/>
      <c r="H122" s="632" t="s">
        <v>1116</v>
      </c>
      <c r="I122" s="779">
        <v>45</v>
      </c>
      <c r="J122" s="260">
        <v>27901</v>
      </c>
      <c r="K122" s="618">
        <f t="shared" si="10"/>
        <v>1255545</v>
      </c>
      <c r="L122" s="39" t="s">
        <v>167</v>
      </c>
      <c r="M122" s="731" t="s">
        <v>159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909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7" t="s">
        <v>1117</v>
      </c>
      <c r="E123" s="847">
        <v>40670</v>
      </c>
      <c r="F123" s="189" t="s">
        <v>410</v>
      </c>
      <c r="G123" s="620"/>
      <c r="H123" s="632" t="s">
        <v>1116</v>
      </c>
      <c r="I123" s="903">
        <v>45</v>
      </c>
      <c r="J123" s="779">
        <v>4449</v>
      </c>
      <c r="K123" s="618">
        <f t="shared" si="10"/>
        <v>200205</v>
      </c>
      <c r="L123" s="39" t="s">
        <v>167</v>
      </c>
      <c r="M123" s="731" t="s">
        <v>159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909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7" t="s">
        <v>1117</v>
      </c>
      <c r="E124" s="847">
        <v>40670</v>
      </c>
      <c r="F124" s="189" t="s">
        <v>543</v>
      </c>
      <c r="G124" s="620"/>
      <c r="H124" s="632" t="s">
        <v>1116</v>
      </c>
      <c r="I124" s="779">
        <v>2</v>
      </c>
      <c r="J124" s="260">
        <v>6400</v>
      </c>
      <c r="K124" s="618">
        <f t="shared" si="10"/>
        <v>12800</v>
      </c>
      <c r="L124" s="39" t="s">
        <v>167</v>
      </c>
      <c r="M124" s="731" t="s">
        <v>159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909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7" t="s">
        <v>1117</v>
      </c>
      <c r="E125" s="847">
        <v>40670</v>
      </c>
      <c r="F125" s="189" t="s">
        <v>501</v>
      </c>
      <c r="G125" s="620"/>
      <c r="H125" s="632" t="s">
        <v>1116</v>
      </c>
      <c r="I125" s="779">
        <v>1</v>
      </c>
      <c r="J125" s="260">
        <v>4592</v>
      </c>
      <c r="K125" s="618">
        <f t="shared" si="10"/>
        <v>4592</v>
      </c>
      <c r="L125" s="39" t="s">
        <v>167</v>
      </c>
      <c r="M125" s="731" t="s">
        <v>159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909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694</v>
      </c>
      <c r="E126" s="37">
        <v>40673</v>
      </c>
      <c r="F126" s="189" t="s">
        <v>1104</v>
      </c>
      <c r="G126" s="501" t="s">
        <v>523</v>
      </c>
      <c r="H126" s="7" t="s">
        <v>522</v>
      </c>
      <c r="I126" s="583"/>
      <c r="J126" s="263"/>
      <c r="K126" s="38">
        <v>9364190</v>
      </c>
      <c r="L126" s="39" t="s">
        <v>8</v>
      </c>
      <c r="M126" s="619" t="s">
        <v>47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909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695</v>
      </c>
      <c r="E127" s="37">
        <v>40673</v>
      </c>
      <c r="F127" s="40" t="s">
        <v>527</v>
      </c>
      <c r="G127" s="501" t="s">
        <v>528</v>
      </c>
      <c r="H127" s="7" t="s">
        <v>394</v>
      </c>
      <c r="I127" s="779">
        <v>40</v>
      </c>
      <c r="J127" s="263">
        <v>68000</v>
      </c>
      <c r="K127" s="618">
        <f>ROUND(I127*J127,0)</f>
        <v>2720000</v>
      </c>
      <c r="L127" s="39" t="s">
        <v>167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909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695</v>
      </c>
      <c r="E128" s="37">
        <v>40673</v>
      </c>
      <c r="F128" s="40" t="s">
        <v>365</v>
      </c>
      <c r="G128" s="501" t="s">
        <v>528</v>
      </c>
      <c r="H128" s="7" t="s">
        <v>394</v>
      </c>
      <c r="I128" s="779"/>
      <c r="J128" s="263"/>
      <c r="K128" s="38">
        <v>272000</v>
      </c>
      <c r="L128" s="39" t="s">
        <v>9</v>
      </c>
      <c r="M128" s="39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909"/>
      <c r="AB128" s="610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357</v>
      </c>
      <c r="E129" s="184">
        <v>40673</v>
      </c>
      <c r="F129" s="189" t="s">
        <v>390</v>
      </c>
      <c r="G129" s="620" t="s">
        <v>353</v>
      </c>
      <c r="H129" s="7" t="s">
        <v>522</v>
      </c>
      <c r="I129" s="260"/>
      <c r="J129" s="260"/>
      <c r="K129" s="618">
        <v>50000000</v>
      </c>
      <c r="L129" s="619" t="s">
        <v>8</v>
      </c>
      <c r="M129" s="619" t="s">
        <v>24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909"/>
      <c r="AB129" s="610"/>
      <c r="AC129" s="610"/>
      <c r="AD129" s="610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357</v>
      </c>
      <c r="E130" s="184">
        <v>40673</v>
      </c>
      <c r="F130" s="189" t="s">
        <v>359</v>
      </c>
      <c r="G130" s="620" t="s">
        <v>353</v>
      </c>
      <c r="H130" s="7"/>
      <c r="I130" s="260"/>
      <c r="J130" s="260"/>
      <c r="K130" s="618">
        <v>10000</v>
      </c>
      <c r="L130" s="619" t="s">
        <v>83</v>
      </c>
      <c r="M130" s="619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909"/>
      <c r="AB130" s="610"/>
      <c r="AC130" s="610"/>
      <c r="AD130" s="610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727</v>
      </c>
      <c r="E131" s="37">
        <v>40673</v>
      </c>
      <c r="F131" s="189" t="s">
        <v>516</v>
      </c>
      <c r="G131" s="501" t="s">
        <v>521</v>
      </c>
      <c r="H131" s="7" t="s">
        <v>522</v>
      </c>
      <c r="I131" s="260">
        <v>202</v>
      </c>
      <c r="J131" s="263">
        <v>22806</v>
      </c>
      <c r="K131" s="618">
        <f>ROUND(I131*J131,0)</f>
        <v>4606812</v>
      </c>
      <c r="L131" s="39" t="s">
        <v>159</v>
      </c>
      <c r="M131" s="619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909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727</v>
      </c>
      <c r="E132" s="37">
        <v>40673</v>
      </c>
      <c r="F132" s="189" t="s">
        <v>517</v>
      </c>
      <c r="G132" s="501" t="s">
        <v>521</v>
      </c>
      <c r="H132" s="7" t="s">
        <v>522</v>
      </c>
      <c r="I132" s="260">
        <v>202</v>
      </c>
      <c r="J132" s="263">
        <v>19773</v>
      </c>
      <c r="K132" s="618">
        <f>ROUND(I132*J132,0)</f>
        <v>3994146</v>
      </c>
      <c r="L132" s="39" t="s">
        <v>159</v>
      </c>
      <c r="M132" s="619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909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727</v>
      </c>
      <c r="E133" s="37">
        <v>40673</v>
      </c>
      <c r="F133" s="189" t="s">
        <v>518</v>
      </c>
      <c r="G133" s="501" t="s">
        <v>521</v>
      </c>
      <c r="H133" s="7" t="s">
        <v>522</v>
      </c>
      <c r="I133" s="260">
        <v>52</v>
      </c>
      <c r="J133" s="263">
        <v>43904</v>
      </c>
      <c r="K133" s="618">
        <f>ROUND(I133*J133,0)</f>
        <v>2283008</v>
      </c>
      <c r="L133" s="39" t="s">
        <v>159</v>
      </c>
      <c r="M133" s="619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909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727</v>
      </c>
      <c r="E134" s="37">
        <v>40673</v>
      </c>
      <c r="F134" s="189" t="s">
        <v>520</v>
      </c>
      <c r="G134" s="501" t="s">
        <v>521</v>
      </c>
      <c r="H134" s="7" t="s">
        <v>522</v>
      </c>
      <c r="I134" s="260">
        <v>305</v>
      </c>
      <c r="J134" s="263">
        <v>11587</v>
      </c>
      <c r="K134" s="618">
        <f>ROUND(I134*J134,0)</f>
        <v>3534035</v>
      </c>
      <c r="L134" s="39" t="s">
        <v>159</v>
      </c>
      <c r="M134" s="619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909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727</v>
      </c>
      <c r="E135" s="37">
        <v>40673</v>
      </c>
      <c r="F135" s="189" t="s">
        <v>519</v>
      </c>
      <c r="G135" s="501" t="s">
        <v>521</v>
      </c>
      <c r="H135" s="7" t="s">
        <v>522</v>
      </c>
      <c r="I135" s="260">
        <v>125</v>
      </c>
      <c r="J135" s="263">
        <v>16462</v>
      </c>
      <c r="K135" s="618">
        <f>ROUND(I135*J135,0)</f>
        <v>2057750</v>
      </c>
      <c r="L135" s="39" t="s">
        <v>159</v>
      </c>
      <c r="M135" s="619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909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727</v>
      </c>
      <c r="E136" s="37">
        <v>40673</v>
      </c>
      <c r="F136" s="189" t="s">
        <v>403</v>
      </c>
      <c r="G136" s="501" t="s">
        <v>521</v>
      </c>
      <c r="H136" s="7" t="s">
        <v>522</v>
      </c>
      <c r="I136" s="260"/>
      <c r="J136" s="263"/>
      <c r="K136" s="38">
        <v>1647575</v>
      </c>
      <c r="L136" s="39" t="s">
        <v>9</v>
      </c>
      <c r="M136" s="619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909"/>
      <c r="AB136" s="610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728</v>
      </c>
      <c r="E137" s="37">
        <v>40673</v>
      </c>
      <c r="F137" s="189" t="s">
        <v>524</v>
      </c>
      <c r="G137" s="501" t="s">
        <v>523</v>
      </c>
      <c r="H137" s="7" t="s">
        <v>522</v>
      </c>
      <c r="I137" s="262">
        <v>250</v>
      </c>
      <c r="J137" s="263">
        <v>13498</v>
      </c>
      <c r="K137" s="618">
        <f>ROUND(I137*J137,0)</f>
        <v>3374500</v>
      </c>
      <c r="L137" s="39" t="s">
        <v>159</v>
      </c>
      <c r="M137" s="619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909"/>
      <c r="AB137" s="610"/>
      <c r="AC137" s="610"/>
      <c r="AD137" s="610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728</v>
      </c>
      <c r="E138" s="37">
        <v>40673</v>
      </c>
      <c r="F138" s="189" t="s">
        <v>525</v>
      </c>
      <c r="G138" s="501" t="s">
        <v>523</v>
      </c>
      <c r="H138" s="7" t="s">
        <v>522</v>
      </c>
      <c r="I138" s="262">
        <v>500</v>
      </c>
      <c r="J138" s="263">
        <v>5612</v>
      </c>
      <c r="K138" s="618">
        <f>ROUND(I138*J138,0)</f>
        <v>2806000</v>
      </c>
      <c r="L138" s="39" t="s">
        <v>159</v>
      </c>
      <c r="M138" s="619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909"/>
      <c r="AB138" s="610"/>
      <c r="AC138" s="610"/>
      <c r="AD138" s="610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728</v>
      </c>
      <c r="E139" s="37">
        <v>40673</v>
      </c>
      <c r="F139" s="189" t="s">
        <v>526</v>
      </c>
      <c r="G139" s="501" t="s">
        <v>523</v>
      </c>
      <c r="H139" s="7" t="s">
        <v>522</v>
      </c>
      <c r="I139" s="260">
        <v>400</v>
      </c>
      <c r="J139" s="263">
        <v>5831</v>
      </c>
      <c r="K139" s="618">
        <f>ROUND(I139*J139,0)</f>
        <v>2332400</v>
      </c>
      <c r="L139" s="39" t="s">
        <v>159</v>
      </c>
      <c r="M139" s="619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909"/>
      <c r="AB139" s="610"/>
      <c r="AC139" s="610"/>
      <c r="AD139" s="610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728</v>
      </c>
      <c r="E140" s="37">
        <v>40673</v>
      </c>
      <c r="F140" s="189" t="s">
        <v>403</v>
      </c>
      <c r="G140" s="501" t="s">
        <v>523</v>
      </c>
      <c r="H140" s="7" t="s">
        <v>522</v>
      </c>
      <c r="I140" s="263"/>
      <c r="J140" s="263"/>
      <c r="K140" s="38">
        <v>851290</v>
      </c>
      <c r="L140" s="39" t="s">
        <v>9</v>
      </c>
      <c r="M140" s="619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909"/>
      <c r="AB140" s="610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696</v>
      </c>
      <c r="E141" s="37">
        <v>40675</v>
      </c>
      <c r="F141" s="40" t="s">
        <v>471</v>
      </c>
      <c r="G141" s="499" t="s">
        <v>473</v>
      </c>
      <c r="H141" s="45" t="s">
        <v>474</v>
      </c>
      <c r="I141" s="260"/>
      <c r="J141" s="260"/>
      <c r="K141" s="38">
        <v>774520</v>
      </c>
      <c r="L141" s="39" t="s">
        <v>167</v>
      </c>
      <c r="M141" s="619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909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696</v>
      </c>
      <c r="E142" s="37">
        <v>40675</v>
      </c>
      <c r="F142" s="40" t="s">
        <v>472</v>
      </c>
      <c r="G142" s="499" t="s">
        <v>473</v>
      </c>
      <c r="H142" s="45" t="s">
        <v>474</v>
      </c>
      <c r="I142" s="260"/>
      <c r="J142" s="260"/>
      <c r="K142" s="38">
        <v>77452</v>
      </c>
      <c r="L142" s="39" t="s">
        <v>9</v>
      </c>
      <c r="M142" s="619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909"/>
      <c r="AB142" s="610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7" t="s">
        <v>1118</v>
      </c>
      <c r="E143" s="184">
        <v>40675</v>
      </c>
      <c r="F143" s="189" t="s">
        <v>543</v>
      </c>
      <c r="G143" s="620"/>
      <c r="H143" s="632" t="s">
        <v>1116</v>
      </c>
      <c r="I143" s="260">
        <v>199</v>
      </c>
      <c r="J143" s="260">
        <v>6400</v>
      </c>
      <c r="K143" s="618">
        <f t="shared" ref="K143:K151" si="12">ROUND(I143*J143,0)</f>
        <v>1273600</v>
      </c>
      <c r="L143" s="39" t="s">
        <v>167</v>
      </c>
      <c r="M143" s="731" t="s">
        <v>159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909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7" t="s">
        <v>1118</v>
      </c>
      <c r="E144" s="184">
        <v>40675</v>
      </c>
      <c r="F144" s="189" t="s">
        <v>532</v>
      </c>
      <c r="G144" s="620"/>
      <c r="H144" s="632" t="s">
        <v>1116</v>
      </c>
      <c r="I144" s="260">
        <v>20</v>
      </c>
      <c r="J144" s="260">
        <v>14784</v>
      </c>
      <c r="K144" s="618">
        <f t="shared" si="12"/>
        <v>295680</v>
      </c>
      <c r="L144" s="39" t="s">
        <v>167</v>
      </c>
      <c r="M144" s="731" t="s">
        <v>159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909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7" t="s">
        <v>1118</v>
      </c>
      <c r="E145" s="184">
        <v>40675</v>
      </c>
      <c r="F145" s="189" t="s">
        <v>525</v>
      </c>
      <c r="G145" s="502"/>
      <c r="H145" s="632" t="s">
        <v>1116</v>
      </c>
      <c r="I145" s="263">
        <v>1</v>
      </c>
      <c r="J145" s="263">
        <v>5612</v>
      </c>
      <c r="K145" s="618">
        <f t="shared" si="12"/>
        <v>5612</v>
      </c>
      <c r="L145" s="39" t="s">
        <v>167</v>
      </c>
      <c r="M145" s="731" t="s">
        <v>159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909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7" t="s">
        <v>1118</v>
      </c>
      <c r="E146" s="184">
        <v>40675</v>
      </c>
      <c r="F146" s="302" t="s">
        <v>410</v>
      </c>
      <c r="G146" s="502"/>
      <c r="H146" s="632" t="s">
        <v>1116</v>
      </c>
      <c r="I146" s="878">
        <v>4</v>
      </c>
      <c r="J146" s="260">
        <v>4449</v>
      </c>
      <c r="K146" s="618">
        <f t="shared" si="12"/>
        <v>17796</v>
      </c>
      <c r="L146" s="39" t="s">
        <v>167</v>
      </c>
      <c r="M146" s="731" t="s">
        <v>159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909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7" t="s">
        <v>1118</v>
      </c>
      <c r="E147" s="184">
        <v>40675</v>
      </c>
      <c r="F147" s="189" t="s">
        <v>410</v>
      </c>
      <c r="G147" s="620"/>
      <c r="H147" s="632" t="s">
        <v>1116</v>
      </c>
      <c r="I147" s="851">
        <v>1</v>
      </c>
      <c r="J147" s="260">
        <v>4449</v>
      </c>
      <c r="K147" s="618">
        <f t="shared" si="12"/>
        <v>4449</v>
      </c>
      <c r="L147" s="39" t="s">
        <v>167</v>
      </c>
      <c r="M147" s="731" t="s">
        <v>159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909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7" t="s">
        <v>1118</v>
      </c>
      <c r="E148" s="184">
        <v>40675</v>
      </c>
      <c r="F148" s="189" t="s">
        <v>546</v>
      </c>
      <c r="G148" s="620"/>
      <c r="H148" s="632" t="s">
        <v>1116</v>
      </c>
      <c r="I148" s="260">
        <v>2</v>
      </c>
      <c r="J148" s="260">
        <v>7268</v>
      </c>
      <c r="K148" s="618">
        <f t="shared" si="12"/>
        <v>14536</v>
      </c>
      <c r="L148" s="39" t="s">
        <v>167</v>
      </c>
      <c r="M148" s="731" t="s">
        <v>159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909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7" t="s">
        <v>1118</v>
      </c>
      <c r="E149" s="184">
        <v>40675</v>
      </c>
      <c r="F149" s="189" t="s">
        <v>526</v>
      </c>
      <c r="G149" s="620"/>
      <c r="H149" s="632" t="s">
        <v>1116</v>
      </c>
      <c r="I149" s="260">
        <v>2</v>
      </c>
      <c r="J149" s="260">
        <v>5831</v>
      </c>
      <c r="K149" s="618">
        <f t="shared" si="12"/>
        <v>11662</v>
      </c>
      <c r="L149" s="39" t="s">
        <v>167</v>
      </c>
      <c r="M149" s="731" t="s">
        <v>159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909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7" t="s">
        <v>1118</v>
      </c>
      <c r="E150" s="184">
        <v>40675</v>
      </c>
      <c r="F150" s="189" t="s">
        <v>525</v>
      </c>
      <c r="G150" s="502"/>
      <c r="H150" s="632" t="s">
        <v>1116</v>
      </c>
      <c r="I150" s="260">
        <v>5</v>
      </c>
      <c r="J150" s="260">
        <v>5612</v>
      </c>
      <c r="K150" s="618">
        <f t="shared" si="12"/>
        <v>28060</v>
      </c>
      <c r="L150" s="39" t="s">
        <v>167</v>
      </c>
      <c r="M150" s="731" t="s">
        <v>159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909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7" t="s">
        <v>1118</v>
      </c>
      <c r="E151" s="184">
        <v>40675</v>
      </c>
      <c r="F151" s="189" t="s">
        <v>512</v>
      </c>
      <c r="G151" s="502"/>
      <c r="H151" s="632" t="s">
        <v>1116</v>
      </c>
      <c r="I151" s="260">
        <v>86</v>
      </c>
      <c r="J151" s="260">
        <v>16925</v>
      </c>
      <c r="K151" s="618">
        <f t="shared" si="12"/>
        <v>1455550</v>
      </c>
      <c r="L151" s="39" t="s">
        <v>167</v>
      </c>
      <c r="M151" s="731" t="s">
        <v>159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909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697</v>
      </c>
      <c r="E152" s="37">
        <v>40679</v>
      </c>
      <c r="F152" s="40" t="s">
        <v>477</v>
      </c>
      <c r="G152" s="499" t="s">
        <v>475</v>
      </c>
      <c r="H152" s="45" t="s">
        <v>476</v>
      </c>
      <c r="I152" s="260"/>
      <c r="J152" s="260"/>
      <c r="K152" s="38">
        <v>2700000</v>
      </c>
      <c r="L152" s="39" t="s">
        <v>83</v>
      </c>
      <c r="M152" s="619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909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697</v>
      </c>
      <c r="E153" s="37">
        <v>40679</v>
      </c>
      <c r="F153" s="40" t="s">
        <v>478</v>
      </c>
      <c r="G153" s="499" t="s">
        <v>475</v>
      </c>
      <c r="H153" s="45" t="s">
        <v>476</v>
      </c>
      <c r="I153" s="260"/>
      <c r="J153" s="260"/>
      <c r="K153" s="38">
        <v>270000</v>
      </c>
      <c r="L153" s="39" t="s">
        <v>9</v>
      </c>
      <c r="M153" s="619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909"/>
      <c r="AB153" s="610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698</v>
      </c>
      <c r="E154" s="37">
        <v>40679</v>
      </c>
      <c r="F154" s="40" t="s">
        <v>479</v>
      </c>
      <c r="G154" s="499" t="s">
        <v>480</v>
      </c>
      <c r="H154" s="45" t="s">
        <v>386</v>
      </c>
      <c r="I154" s="260"/>
      <c r="J154" s="260"/>
      <c r="K154" s="38">
        <v>2200000</v>
      </c>
      <c r="L154" s="39" t="s">
        <v>87</v>
      </c>
      <c r="M154" s="619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909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7" t="s">
        <v>1119</v>
      </c>
      <c r="E155" s="824">
        <v>40679</v>
      </c>
      <c r="F155" s="189" t="s">
        <v>524</v>
      </c>
      <c r="G155" s="502"/>
      <c r="H155" s="632" t="s">
        <v>1116</v>
      </c>
      <c r="I155" s="260">
        <v>4</v>
      </c>
      <c r="J155" s="260">
        <v>13498</v>
      </c>
      <c r="K155" s="618">
        <f t="shared" ref="K155:K162" si="14">ROUND(I155*J155,0)</f>
        <v>53992</v>
      </c>
      <c r="L155" s="39" t="s">
        <v>167</v>
      </c>
      <c r="M155" s="731" t="s">
        <v>159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909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7" t="s">
        <v>1119</v>
      </c>
      <c r="E156" s="824">
        <v>40679</v>
      </c>
      <c r="F156" s="189" t="s">
        <v>524</v>
      </c>
      <c r="G156" s="502"/>
      <c r="H156" s="632" t="s">
        <v>1116</v>
      </c>
      <c r="I156" s="260">
        <v>24</v>
      </c>
      <c r="J156" s="260">
        <v>13498</v>
      </c>
      <c r="K156" s="618">
        <f t="shared" si="14"/>
        <v>323952</v>
      </c>
      <c r="L156" s="39" t="s">
        <v>167</v>
      </c>
      <c r="M156" s="731" t="s">
        <v>159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909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7" t="s">
        <v>1119</v>
      </c>
      <c r="E157" s="824">
        <v>40679</v>
      </c>
      <c r="F157" s="302" t="s">
        <v>505</v>
      </c>
      <c r="G157" s="502"/>
      <c r="H157" s="632" t="s">
        <v>1116</v>
      </c>
      <c r="I157" s="262">
        <v>185</v>
      </c>
      <c r="J157" s="262">
        <v>27720</v>
      </c>
      <c r="K157" s="618">
        <f t="shared" si="14"/>
        <v>5128200</v>
      </c>
      <c r="L157" s="39" t="s">
        <v>167</v>
      </c>
      <c r="M157" s="731" t="s">
        <v>159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909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7" t="s">
        <v>1119</v>
      </c>
      <c r="E158" s="824">
        <v>40679</v>
      </c>
      <c r="F158" s="189" t="s">
        <v>530</v>
      </c>
      <c r="G158" s="620"/>
      <c r="H158" s="632" t="s">
        <v>1116</v>
      </c>
      <c r="I158" s="260">
        <v>2</v>
      </c>
      <c r="J158" s="260">
        <v>8620</v>
      </c>
      <c r="K158" s="618">
        <f t="shared" si="14"/>
        <v>17240</v>
      </c>
      <c r="L158" s="39" t="s">
        <v>167</v>
      </c>
      <c r="M158" s="731" t="s">
        <v>159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909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7" t="s">
        <v>1119</v>
      </c>
      <c r="E159" s="824">
        <v>40679</v>
      </c>
      <c r="F159" s="189" t="s">
        <v>515</v>
      </c>
      <c r="G159" s="502"/>
      <c r="H159" s="632" t="s">
        <v>1116</v>
      </c>
      <c r="I159" s="260">
        <v>5</v>
      </c>
      <c r="J159" s="260">
        <v>23716</v>
      </c>
      <c r="K159" s="618">
        <f t="shared" si="14"/>
        <v>118580</v>
      </c>
      <c r="L159" s="39" t="s">
        <v>167</v>
      </c>
      <c r="M159" s="731" t="s">
        <v>159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909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7" t="s">
        <v>1119</v>
      </c>
      <c r="E160" s="824">
        <v>40679</v>
      </c>
      <c r="F160" s="302" t="s">
        <v>505</v>
      </c>
      <c r="G160" s="502"/>
      <c r="H160" s="632" t="s">
        <v>1116</v>
      </c>
      <c r="I160" s="260">
        <v>210</v>
      </c>
      <c r="J160" s="260">
        <v>27720</v>
      </c>
      <c r="K160" s="618">
        <f t="shared" si="14"/>
        <v>5821200</v>
      </c>
      <c r="L160" s="39" t="s">
        <v>167</v>
      </c>
      <c r="M160" s="731" t="s">
        <v>159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909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7" t="s">
        <v>1119</v>
      </c>
      <c r="E161" s="824">
        <v>40679</v>
      </c>
      <c r="F161" s="302" t="s">
        <v>504</v>
      </c>
      <c r="G161" s="502"/>
      <c r="H161" s="632" t="s">
        <v>1116</v>
      </c>
      <c r="I161" s="260">
        <v>690</v>
      </c>
      <c r="J161" s="260">
        <v>25200</v>
      </c>
      <c r="K161" s="618">
        <f t="shared" si="14"/>
        <v>17388000</v>
      </c>
      <c r="L161" s="39" t="s">
        <v>167</v>
      </c>
      <c r="M161" s="731" t="s">
        <v>159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909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7" t="s">
        <v>1119</v>
      </c>
      <c r="E162" s="824">
        <v>40679</v>
      </c>
      <c r="F162" s="302" t="s">
        <v>504</v>
      </c>
      <c r="G162" s="502"/>
      <c r="H162" s="632" t="s">
        <v>1116</v>
      </c>
      <c r="I162" s="260">
        <v>564</v>
      </c>
      <c r="J162" s="260">
        <v>25200</v>
      </c>
      <c r="K162" s="618">
        <f t="shared" si="14"/>
        <v>14212800</v>
      </c>
      <c r="L162" s="39" t="s">
        <v>167</v>
      </c>
      <c r="M162" s="731" t="s">
        <v>159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909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357</v>
      </c>
      <c r="E163" s="184">
        <v>40680</v>
      </c>
      <c r="F163" s="189" t="s">
        <v>390</v>
      </c>
      <c r="G163" s="620" t="s">
        <v>353</v>
      </c>
      <c r="H163" s="7" t="s">
        <v>522</v>
      </c>
      <c r="I163" s="260"/>
      <c r="J163" s="260"/>
      <c r="K163" s="618">
        <v>50000000</v>
      </c>
      <c r="L163" s="619" t="s">
        <v>8</v>
      </c>
      <c r="M163" s="619" t="s">
        <v>24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909"/>
      <c r="AB163" s="610"/>
      <c r="AC163" s="610"/>
      <c r="AD163" s="610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357</v>
      </c>
      <c r="E164" s="184">
        <v>40680</v>
      </c>
      <c r="F164" s="189" t="s">
        <v>359</v>
      </c>
      <c r="G164" s="620" t="s">
        <v>353</v>
      </c>
      <c r="H164" s="7"/>
      <c r="I164" s="260"/>
      <c r="J164" s="260"/>
      <c r="K164" s="618">
        <v>10000</v>
      </c>
      <c r="L164" s="619" t="s">
        <v>83</v>
      </c>
      <c r="M164" s="61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909"/>
      <c r="AB164" s="610"/>
      <c r="AC164" s="610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699</v>
      </c>
      <c r="E165" s="37">
        <v>40681</v>
      </c>
      <c r="F165" s="189" t="s">
        <v>1104</v>
      </c>
      <c r="G165" s="501" t="s">
        <v>529</v>
      </c>
      <c r="H165" s="7" t="s">
        <v>522</v>
      </c>
      <c r="I165" s="262"/>
      <c r="J165" s="263"/>
      <c r="K165" s="38">
        <v>14257540</v>
      </c>
      <c r="L165" s="39" t="s">
        <v>8</v>
      </c>
      <c r="M165" s="619" t="s">
        <v>47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909"/>
      <c r="AB165" s="610"/>
      <c r="AC165" s="610"/>
      <c r="AD165" s="610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729</v>
      </c>
      <c r="E166" s="37">
        <v>40681</v>
      </c>
      <c r="F166" s="189" t="s">
        <v>530</v>
      </c>
      <c r="G166" s="501" t="s">
        <v>529</v>
      </c>
      <c r="H166" s="7" t="s">
        <v>522</v>
      </c>
      <c r="I166" s="260">
        <v>1020</v>
      </c>
      <c r="J166" s="263">
        <v>8620</v>
      </c>
      <c r="K166" s="618">
        <f>ROUND(I166*J166,0)</f>
        <v>8792400</v>
      </c>
      <c r="L166" s="39" t="s">
        <v>159</v>
      </c>
      <c r="M166" s="619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909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729</v>
      </c>
      <c r="E167" s="37">
        <v>40681</v>
      </c>
      <c r="F167" s="189" t="s">
        <v>531</v>
      </c>
      <c r="G167" s="501" t="s">
        <v>529</v>
      </c>
      <c r="H167" s="7" t="s">
        <v>522</v>
      </c>
      <c r="I167" s="262">
        <v>100</v>
      </c>
      <c r="J167" s="263">
        <v>12122</v>
      </c>
      <c r="K167" s="618">
        <f>ROUND(I167*J167,0)</f>
        <v>1212200</v>
      </c>
      <c r="L167" s="39" t="s">
        <v>159</v>
      </c>
      <c r="M167" s="619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909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729</v>
      </c>
      <c r="E168" s="37">
        <v>40681</v>
      </c>
      <c r="F168" s="189" t="s">
        <v>532</v>
      </c>
      <c r="G168" s="501" t="s">
        <v>529</v>
      </c>
      <c r="H168" s="7" t="s">
        <v>522</v>
      </c>
      <c r="I168" s="260">
        <v>200</v>
      </c>
      <c r="J168" s="263">
        <v>14784</v>
      </c>
      <c r="K168" s="618">
        <f>ROUND(I168*J168,0)</f>
        <v>2956800</v>
      </c>
      <c r="L168" s="39" t="s">
        <v>159</v>
      </c>
      <c r="M168" s="619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909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729</v>
      </c>
      <c r="E169" s="37">
        <v>40681</v>
      </c>
      <c r="F169" s="189" t="s">
        <v>403</v>
      </c>
      <c r="G169" s="501" t="s">
        <v>529</v>
      </c>
      <c r="H169" s="7" t="s">
        <v>522</v>
      </c>
      <c r="I169" s="262"/>
      <c r="J169" s="263"/>
      <c r="K169" s="38">
        <v>1296140</v>
      </c>
      <c r="L169" s="39" t="s">
        <v>9</v>
      </c>
      <c r="M169" s="619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909"/>
      <c r="AB169" s="610">
        <v>5</v>
      </c>
      <c r="AC169" s="610"/>
      <c r="AD169" s="610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7" t="s">
        <v>1120</v>
      </c>
      <c r="E170" s="191">
        <v>40681</v>
      </c>
      <c r="F170" s="189" t="s">
        <v>512</v>
      </c>
      <c r="G170" s="502"/>
      <c r="H170" s="632" t="s">
        <v>1116</v>
      </c>
      <c r="I170" s="260">
        <v>181</v>
      </c>
      <c r="J170" s="260">
        <v>16925</v>
      </c>
      <c r="K170" s="618">
        <f t="shared" ref="K170:K178" si="16">ROUND(I170*J170,0)</f>
        <v>3063425</v>
      </c>
      <c r="L170" s="39" t="s">
        <v>167</v>
      </c>
      <c r="M170" s="731" t="s">
        <v>159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909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7" t="s">
        <v>1120</v>
      </c>
      <c r="E171" s="191">
        <v>40681</v>
      </c>
      <c r="F171" s="189" t="s">
        <v>410</v>
      </c>
      <c r="G171" s="502"/>
      <c r="H171" s="632" t="s">
        <v>1116</v>
      </c>
      <c r="I171" s="851">
        <v>64</v>
      </c>
      <c r="J171" s="260">
        <v>4449</v>
      </c>
      <c r="K171" s="618">
        <f t="shared" si="16"/>
        <v>284736</v>
      </c>
      <c r="L171" s="39" t="s">
        <v>167</v>
      </c>
      <c r="M171" s="731" t="s">
        <v>159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909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7" t="s">
        <v>1120</v>
      </c>
      <c r="E172" s="191">
        <v>40681</v>
      </c>
      <c r="F172" s="302" t="s">
        <v>504</v>
      </c>
      <c r="G172" s="620"/>
      <c r="H172" s="632" t="s">
        <v>1116</v>
      </c>
      <c r="I172" s="260">
        <v>208</v>
      </c>
      <c r="J172" s="260">
        <v>25200</v>
      </c>
      <c r="K172" s="618">
        <f t="shared" si="16"/>
        <v>5241600</v>
      </c>
      <c r="L172" s="39" t="s">
        <v>167</v>
      </c>
      <c r="M172" s="731" t="s">
        <v>159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909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7" t="s">
        <v>1120</v>
      </c>
      <c r="E173" s="191">
        <v>40681</v>
      </c>
      <c r="F173" s="189" t="s">
        <v>540</v>
      </c>
      <c r="G173" s="502"/>
      <c r="H173" s="632" t="s">
        <v>1116</v>
      </c>
      <c r="I173" s="260">
        <v>345</v>
      </c>
      <c r="J173" s="260">
        <v>8013</v>
      </c>
      <c r="K173" s="618">
        <f t="shared" si="16"/>
        <v>2764485</v>
      </c>
      <c r="L173" s="39" t="s">
        <v>167</v>
      </c>
      <c r="M173" s="731" t="s">
        <v>159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909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7" t="s">
        <v>1120</v>
      </c>
      <c r="E174" s="191">
        <v>40681</v>
      </c>
      <c r="F174" s="189" t="s">
        <v>530</v>
      </c>
      <c r="G174" s="502"/>
      <c r="H174" s="632" t="s">
        <v>1116</v>
      </c>
      <c r="I174" s="260">
        <v>4</v>
      </c>
      <c r="J174" s="260">
        <v>8620</v>
      </c>
      <c r="K174" s="618">
        <f t="shared" si="16"/>
        <v>34480</v>
      </c>
      <c r="L174" s="39" t="s">
        <v>167</v>
      </c>
      <c r="M174" s="731" t="s">
        <v>159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909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7" t="s">
        <v>1120</v>
      </c>
      <c r="E175" s="191">
        <v>40681</v>
      </c>
      <c r="F175" s="189" t="s">
        <v>530</v>
      </c>
      <c r="G175" s="620"/>
      <c r="H175" s="632" t="s">
        <v>1116</v>
      </c>
      <c r="I175" s="260">
        <v>67</v>
      </c>
      <c r="J175" s="260">
        <v>8620</v>
      </c>
      <c r="K175" s="618">
        <f t="shared" si="16"/>
        <v>577540</v>
      </c>
      <c r="L175" s="39" t="s">
        <v>167</v>
      </c>
      <c r="M175" s="731" t="s">
        <v>159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909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7" t="s">
        <v>1120</v>
      </c>
      <c r="E176" s="191">
        <v>40681</v>
      </c>
      <c r="F176" s="189" t="s">
        <v>532</v>
      </c>
      <c r="G176" s="620"/>
      <c r="H176" s="632" t="s">
        <v>1116</v>
      </c>
      <c r="I176" s="260">
        <v>27</v>
      </c>
      <c r="J176" s="260">
        <v>14784</v>
      </c>
      <c r="K176" s="618">
        <f t="shared" si="16"/>
        <v>399168</v>
      </c>
      <c r="L176" s="39" t="s">
        <v>167</v>
      </c>
      <c r="M176" s="731" t="s">
        <v>159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909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7" t="s">
        <v>1120</v>
      </c>
      <c r="E177" s="191">
        <v>40681</v>
      </c>
      <c r="F177" s="189" t="s">
        <v>408</v>
      </c>
      <c r="G177" s="620"/>
      <c r="H177" s="632" t="s">
        <v>1116</v>
      </c>
      <c r="I177" s="260">
        <v>16</v>
      </c>
      <c r="J177" s="260">
        <v>6124</v>
      </c>
      <c r="K177" s="618">
        <f t="shared" si="16"/>
        <v>97984</v>
      </c>
      <c r="L177" s="39" t="s">
        <v>167</v>
      </c>
      <c r="M177" s="731" t="s">
        <v>159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909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7" t="s">
        <v>1120</v>
      </c>
      <c r="E178" s="191">
        <v>40681</v>
      </c>
      <c r="F178" s="189" t="s">
        <v>532</v>
      </c>
      <c r="G178" s="620"/>
      <c r="H178" s="632" t="s">
        <v>1116</v>
      </c>
      <c r="I178" s="260">
        <v>127</v>
      </c>
      <c r="J178" s="260">
        <v>14784</v>
      </c>
      <c r="K178" s="618">
        <f t="shared" si="16"/>
        <v>1877568</v>
      </c>
      <c r="L178" s="39" t="s">
        <v>167</v>
      </c>
      <c r="M178" s="731" t="s">
        <v>159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909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700</v>
      </c>
      <c r="E179" s="37">
        <v>40682</v>
      </c>
      <c r="F179" s="40" t="s">
        <v>482</v>
      </c>
      <c r="G179" s="499" t="s">
        <v>484</v>
      </c>
      <c r="H179" s="45" t="s">
        <v>481</v>
      </c>
      <c r="I179" s="260"/>
      <c r="J179" s="260"/>
      <c r="K179" s="38">
        <v>18000000</v>
      </c>
      <c r="L179" s="39" t="s">
        <v>173</v>
      </c>
      <c r="M179" s="619" t="s">
        <v>47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909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700</v>
      </c>
      <c r="E180" s="37">
        <v>40682</v>
      </c>
      <c r="F180" s="40" t="s">
        <v>483</v>
      </c>
      <c r="G180" s="499" t="s">
        <v>484</v>
      </c>
      <c r="H180" s="45" t="s">
        <v>481</v>
      </c>
      <c r="I180" s="260"/>
      <c r="J180" s="260"/>
      <c r="K180" s="38">
        <v>1800000</v>
      </c>
      <c r="L180" s="39" t="s">
        <v>9</v>
      </c>
      <c r="M180" s="619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909"/>
      <c r="AB180" s="610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701</v>
      </c>
      <c r="E181" s="37">
        <v>40682</v>
      </c>
      <c r="F181" s="40" t="s">
        <v>390</v>
      </c>
      <c r="G181" s="501" t="s">
        <v>534</v>
      </c>
      <c r="H181" s="44" t="s">
        <v>533</v>
      </c>
      <c r="I181" s="260"/>
      <c r="J181" s="260"/>
      <c r="K181" s="618">
        <v>1430000</v>
      </c>
      <c r="L181" s="39" t="s">
        <v>8</v>
      </c>
      <c r="M181" s="619" t="s">
        <v>47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909"/>
      <c r="AB181" s="610"/>
      <c r="AC181" s="610"/>
      <c r="AD181" s="610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1453</v>
      </c>
      <c r="E182" s="37">
        <v>40682</v>
      </c>
      <c r="F182" s="40" t="s">
        <v>498</v>
      </c>
      <c r="G182" s="501" t="s">
        <v>534</v>
      </c>
      <c r="H182" s="44" t="s">
        <v>533</v>
      </c>
      <c r="I182" s="262">
        <v>1</v>
      </c>
      <c r="J182" s="263">
        <v>1300000</v>
      </c>
      <c r="K182" s="618">
        <f>ROUND(I182*J182,0)</f>
        <v>1300000</v>
      </c>
      <c r="L182" s="39" t="s">
        <v>161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909"/>
      <c r="AB182" s="610"/>
      <c r="AC182" s="610"/>
      <c r="AD182" s="610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1453</v>
      </c>
      <c r="E183" s="37">
        <v>40682</v>
      </c>
      <c r="F183" s="40" t="s">
        <v>535</v>
      </c>
      <c r="G183" s="501" t="s">
        <v>534</v>
      </c>
      <c r="H183" s="44" t="s">
        <v>533</v>
      </c>
      <c r="I183" s="262"/>
      <c r="J183" s="262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909"/>
      <c r="AB183" s="610">
        <v>5</v>
      </c>
      <c r="AC183" s="211"/>
      <c r="AD183" s="610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7" t="s">
        <v>1121</v>
      </c>
      <c r="E184" s="184">
        <v>40684</v>
      </c>
      <c r="F184" s="302" t="s">
        <v>410</v>
      </c>
      <c r="G184" s="620"/>
      <c r="H184" s="632" t="s">
        <v>1116</v>
      </c>
      <c r="I184" s="851">
        <v>5</v>
      </c>
      <c r="J184" s="260">
        <v>4449</v>
      </c>
      <c r="K184" s="618">
        <f t="shared" ref="K184:K192" si="17">ROUND(I184*J184,0)</f>
        <v>22245</v>
      </c>
      <c r="L184" s="39" t="s">
        <v>167</v>
      </c>
      <c r="M184" s="731" t="s">
        <v>159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909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7" t="s">
        <v>1121</v>
      </c>
      <c r="E185" s="184">
        <v>40684</v>
      </c>
      <c r="F185" s="189" t="s">
        <v>530</v>
      </c>
      <c r="G185" s="502"/>
      <c r="H185" s="632" t="s">
        <v>1116</v>
      </c>
      <c r="I185" s="260">
        <v>3</v>
      </c>
      <c r="J185" s="260">
        <v>8620</v>
      </c>
      <c r="K185" s="618">
        <f t="shared" si="17"/>
        <v>25860</v>
      </c>
      <c r="L185" s="39" t="s">
        <v>167</v>
      </c>
      <c r="M185" s="731" t="s">
        <v>159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909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7" t="s">
        <v>1121</v>
      </c>
      <c r="E186" s="184">
        <v>40684</v>
      </c>
      <c r="F186" s="302" t="s">
        <v>503</v>
      </c>
      <c r="G186" s="502"/>
      <c r="H186" s="632" t="s">
        <v>1116</v>
      </c>
      <c r="I186" s="260">
        <v>12</v>
      </c>
      <c r="J186" s="260">
        <v>16125</v>
      </c>
      <c r="K186" s="618">
        <f t="shared" si="17"/>
        <v>193500</v>
      </c>
      <c r="L186" s="39" t="s">
        <v>167</v>
      </c>
      <c r="M186" s="731" t="s">
        <v>159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909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7" t="s">
        <v>1121</v>
      </c>
      <c r="E187" s="184">
        <v>40684</v>
      </c>
      <c r="F187" s="189" t="s">
        <v>543</v>
      </c>
      <c r="G187" s="502"/>
      <c r="H187" s="632" t="s">
        <v>1116</v>
      </c>
      <c r="I187" s="260">
        <v>9</v>
      </c>
      <c r="J187" s="260">
        <v>6400</v>
      </c>
      <c r="K187" s="618">
        <f t="shared" si="17"/>
        <v>57600</v>
      </c>
      <c r="L187" s="39" t="s">
        <v>167</v>
      </c>
      <c r="M187" s="731" t="s">
        <v>159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909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7" t="s">
        <v>1121</v>
      </c>
      <c r="E188" s="184">
        <v>40684</v>
      </c>
      <c r="F188" s="189" t="s">
        <v>530</v>
      </c>
      <c r="G188" s="502"/>
      <c r="H188" s="632" t="s">
        <v>1116</v>
      </c>
      <c r="I188" s="260">
        <v>8</v>
      </c>
      <c r="J188" s="260">
        <v>8620</v>
      </c>
      <c r="K188" s="618">
        <f t="shared" si="17"/>
        <v>68960</v>
      </c>
      <c r="L188" s="39" t="s">
        <v>167</v>
      </c>
      <c r="M188" s="731" t="s">
        <v>159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909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7" t="s">
        <v>1121</v>
      </c>
      <c r="E189" s="184">
        <v>40684</v>
      </c>
      <c r="F189" s="189" t="s">
        <v>530</v>
      </c>
      <c r="G189" s="499"/>
      <c r="H189" s="632" t="s">
        <v>1116</v>
      </c>
      <c r="I189" s="262">
        <v>7</v>
      </c>
      <c r="J189" s="260">
        <v>8620</v>
      </c>
      <c r="K189" s="618">
        <f t="shared" si="17"/>
        <v>60340</v>
      </c>
      <c r="L189" s="39" t="s">
        <v>167</v>
      </c>
      <c r="M189" s="731" t="s">
        <v>159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909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7" t="s">
        <v>1121</v>
      </c>
      <c r="E190" s="184">
        <v>40684</v>
      </c>
      <c r="F190" s="189" t="s">
        <v>520</v>
      </c>
      <c r="G190" s="499"/>
      <c r="H190" s="632" t="s">
        <v>1116</v>
      </c>
      <c r="I190" s="262">
        <v>13</v>
      </c>
      <c r="J190" s="260">
        <v>11587</v>
      </c>
      <c r="K190" s="618">
        <f t="shared" si="17"/>
        <v>150631</v>
      </c>
      <c r="L190" s="39" t="s">
        <v>167</v>
      </c>
      <c r="M190" s="731" t="s">
        <v>159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909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7" t="s">
        <v>1121</v>
      </c>
      <c r="E191" s="184">
        <v>40684</v>
      </c>
      <c r="F191" s="189" t="s">
        <v>520</v>
      </c>
      <c r="G191" s="620"/>
      <c r="H191" s="632" t="s">
        <v>1116</v>
      </c>
      <c r="I191" s="260">
        <v>5</v>
      </c>
      <c r="J191" s="260">
        <v>11587</v>
      </c>
      <c r="K191" s="618">
        <f t="shared" si="17"/>
        <v>57935</v>
      </c>
      <c r="L191" s="39" t="s">
        <v>167</v>
      </c>
      <c r="M191" s="731" t="s">
        <v>159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909"/>
    </row>
    <row r="192" spans="1:30" s="843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7" t="s">
        <v>1121</v>
      </c>
      <c r="E192" s="184">
        <v>40684</v>
      </c>
      <c r="F192" s="189" t="s">
        <v>519</v>
      </c>
      <c r="G192" s="620"/>
      <c r="H192" s="632" t="s">
        <v>1116</v>
      </c>
      <c r="I192" s="260">
        <v>22</v>
      </c>
      <c r="J192" s="260">
        <v>16462</v>
      </c>
      <c r="K192" s="618">
        <f t="shared" si="17"/>
        <v>362164</v>
      </c>
      <c r="L192" s="39" t="s">
        <v>167</v>
      </c>
      <c r="M192" s="731" t="s">
        <v>159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909"/>
      <c r="AB192" s="198"/>
      <c r="AC192" s="198"/>
      <c r="AD192" s="198"/>
    </row>
    <row r="193" spans="1:30" s="843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702</v>
      </c>
      <c r="E193" s="37">
        <v>40686</v>
      </c>
      <c r="F193" s="40" t="s">
        <v>466</v>
      </c>
      <c r="G193" s="499" t="s">
        <v>468</v>
      </c>
      <c r="H193" s="45" t="s">
        <v>355</v>
      </c>
      <c r="I193" s="260"/>
      <c r="J193" s="260"/>
      <c r="K193" s="38">
        <v>1000000</v>
      </c>
      <c r="L193" s="39" t="s">
        <v>63</v>
      </c>
      <c r="M193" s="619" t="s">
        <v>47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909"/>
      <c r="AB193" s="211"/>
      <c r="AC193" s="211"/>
      <c r="AD193" s="211"/>
    </row>
    <row r="194" spans="1:30" s="843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702</v>
      </c>
      <c r="E194" s="37">
        <v>40686</v>
      </c>
      <c r="F194" s="40" t="s">
        <v>467</v>
      </c>
      <c r="G194" s="499" t="s">
        <v>468</v>
      </c>
      <c r="H194" s="45"/>
      <c r="I194" s="260"/>
      <c r="J194" s="260"/>
      <c r="K194" s="38">
        <v>1000000</v>
      </c>
      <c r="L194" s="39" t="s">
        <v>83</v>
      </c>
      <c r="M194" s="619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909"/>
      <c r="AB194" s="211"/>
      <c r="AC194" s="211"/>
      <c r="AD194" s="211"/>
    </row>
    <row r="195" spans="1:30" s="843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703</v>
      </c>
      <c r="E195" s="37">
        <v>40686</v>
      </c>
      <c r="F195" s="40" t="s">
        <v>485</v>
      </c>
      <c r="G195" s="499" t="s">
        <v>486</v>
      </c>
      <c r="H195" s="45" t="s">
        <v>487</v>
      </c>
      <c r="I195" s="262"/>
      <c r="J195" s="260"/>
      <c r="K195" s="38">
        <v>27000000</v>
      </c>
      <c r="L195" s="39" t="s">
        <v>173</v>
      </c>
      <c r="M195" s="619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909"/>
      <c r="AB195" s="211"/>
      <c r="AC195" s="211"/>
      <c r="AD195" s="211"/>
    </row>
    <row r="196" spans="1:30" s="843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7" t="s">
        <v>1122</v>
      </c>
      <c r="E196" s="184">
        <v>40687</v>
      </c>
      <c r="F196" s="189" t="s">
        <v>408</v>
      </c>
      <c r="G196" s="620"/>
      <c r="H196" s="632" t="s">
        <v>1116</v>
      </c>
      <c r="I196" s="260">
        <v>245</v>
      </c>
      <c r="J196" s="260">
        <v>6124</v>
      </c>
      <c r="K196" s="618">
        <f t="shared" ref="K196:K204" si="18">ROUND(I196*J196,0)</f>
        <v>1500380</v>
      </c>
      <c r="L196" s="39" t="s">
        <v>167</v>
      </c>
      <c r="M196" s="731" t="s">
        <v>159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909"/>
      <c r="AB196" s="198"/>
      <c r="AC196" s="198"/>
      <c r="AD196" s="198"/>
    </row>
    <row r="197" spans="1:30" s="843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7" t="s">
        <v>1122</v>
      </c>
      <c r="E197" s="184">
        <v>40687</v>
      </c>
      <c r="F197" s="189" t="s">
        <v>514</v>
      </c>
      <c r="G197" s="502"/>
      <c r="H197" s="632" t="s">
        <v>1116</v>
      </c>
      <c r="I197" s="260">
        <v>431</v>
      </c>
      <c r="J197" s="260">
        <v>22554</v>
      </c>
      <c r="K197" s="618">
        <f t="shared" si="18"/>
        <v>9720774</v>
      </c>
      <c r="L197" s="39" t="s">
        <v>167</v>
      </c>
      <c r="M197" s="731" t="s">
        <v>159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909"/>
      <c r="AB197" s="198"/>
      <c r="AC197" s="198"/>
      <c r="AD197" s="198"/>
    </row>
    <row r="198" spans="1:30" s="843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7" t="s">
        <v>1122</v>
      </c>
      <c r="E198" s="184">
        <v>40687</v>
      </c>
      <c r="F198" s="189" t="s">
        <v>532</v>
      </c>
      <c r="G198" s="502"/>
      <c r="H198" s="632" t="s">
        <v>1116</v>
      </c>
      <c r="I198" s="260">
        <v>22</v>
      </c>
      <c r="J198" s="260">
        <v>14784</v>
      </c>
      <c r="K198" s="618">
        <f t="shared" si="18"/>
        <v>325248</v>
      </c>
      <c r="L198" s="39" t="s">
        <v>167</v>
      </c>
      <c r="M198" s="731" t="s">
        <v>159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909"/>
      <c r="AB198" s="198"/>
      <c r="AC198" s="198"/>
      <c r="AD198" s="198"/>
    </row>
    <row r="199" spans="1:30" s="843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7" t="s">
        <v>1122</v>
      </c>
      <c r="E199" s="184">
        <v>40687</v>
      </c>
      <c r="F199" s="189" t="s">
        <v>532</v>
      </c>
      <c r="G199" s="620"/>
      <c r="H199" s="632" t="s">
        <v>1116</v>
      </c>
      <c r="I199" s="260">
        <v>4</v>
      </c>
      <c r="J199" s="260">
        <v>14784</v>
      </c>
      <c r="K199" s="618">
        <f t="shared" si="18"/>
        <v>59136</v>
      </c>
      <c r="L199" s="39" t="s">
        <v>167</v>
      </c>
      <c r="M199" s="731" t="s">
        <v>159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909"/>
      <c r="AB199" s="198"/>
      <c r="AC199" s="198"/>
      <c r="AD199" s="198"/>
    </row>
    <row r="200" spans="1:30" s="843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7" t="s">
        <v>1122</v>
      </c>
      <c r="E200" s="184">
        <v>40687</v>
      </c>
      <c r="F200" s="189" t="s">
        <v>524</v>
      </c>
      <c r="G200" s="620"/>
      <c r="H200" s="632" t="s">
        <v>1116</v>
      </c>
      <c r="I200" s="260">
        <v>2</v>
      </c>
      <c r="J200" s="260">
        <v>13498</v>
      </c>
      <c r="K200" s="618">
        <f t="shared" si="18"/>
        <v>26996</v>
      </c>
      <c r="L200" s="39" t="s">
        <v>167</v>
      </c>
      <c r="M200" s="731" t="s">
        <v>159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909"/>
      <c r="AB200" s="198"/>
      <c r="AC200" s="198"/>
      <c r="AD200" s="198"/>
    </row>
    <row r="201" spans="1:30" s="843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7" t="s">
        <v>1122</v>
      </c>
      <c r="E201" s="184">
        <v>40687</v>
      </c>
      <c r="F201" s="189" t="s">
        <v>524</v>
      </c>
      <c r="G201" s="620"/>
      <c r="H201" s="632" t="s">
        <v>1116</v>
      </c>
      <c r="I201" s="260">
        <v>3</v>
      </c>
      <c r="J201" s="260">
        <v>13498</v>
      </c>
      <c r="K201" s="618">
        <f t="shared" si="18"/>
        <v>40494</v>
      </c>
      <c r="L201" s="39" t="s">
        <v>167</v>
      </c>
      <c r="M201" s="731" t="s">
        <v>159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909"/>
      <c r="AB201" s="198"/>
      <c r="AC201" s="198"/>
      <c r="AD201" s="198"/>
    </row>
    <row r="202" spans="1:30" s="843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7" t="s">
        <v>1122</v>
      </c>
      <c r="E202" s="184">
        <v>40687</v>
      </c>
      <c r="F202" s="189" t="s">
        <v>524</v>
      </c>
      <c r="G202" s="620"/>
      <c r="H202" s="632" t="s">
        <v>1116</v>
      </c>
      <c r="I202" s="260">
        <v>1</v>
      </c>
      <c r="J202" s="260">
        <v>13498</v>
      </c>
      <c r="K202" s="618">
        <f t="shared" si="18"/>
        <v>13498</v>
      </c>
      <c r="L202" s="39" t="s">
        <v>167</v>
      </c>
      <c r="M202" s="731" t="s">
        <v>159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909"/>
      <c r="AB202" s="198"/>
      <c r="AC202" s="198"/>
      <c r="AD202" s="198"/>
    </row>
    <row r="203" spans="1:30" s="843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7" t="s">
        <v>1122</v>
      </c>
      <c r="E203" s="184">
        <v>40687</v>
      </c>
      <c r="F203" s="189" t="s">
        <v>540</v>
      </c>
      <c r="G203" s="620"/>
      <c r="H203" s="632" t="s">
        <v>1116</v>
      </c>
      <c r="I203" s="260">
        <v>5</v>
      </c>
      <c r="J203" s="260">
        <v>8013</v>
      </c>
      <c r="K203" s="618">
        <f t="shared" si="18"/>
        <v>40065</v>
      </c>
      <c r="L203" s="39" t="s">
        <v>167</v>
      </c>
      <c r="M203" s="731" t="s">
        <v>159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909"/>
      <c r="AB203" s="198"/>
      <c r="AC203" s="198"/>
      <c r="AD203" s="198"/>
    </row>
    <row r="204" spans="1:30" s="843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7" t="s">
        <v>1122</v>
      </c>
      <c r="E204" s="184">
        <v>40687</v>
      </c>
      <c r="F204" s="189" t="s">
        <v>537</v>
      </c>
      <c r="G204" s="502"/>
      <c r="H204" s="632" t="s">
        <v>1116</v>
      </c>
      <c r="I204" s="260">
        <v>346</v>
      </c>
      <c r="J204" s="260">
        <v>15246</v>
      </c>
      <c r="K204" s="618">
        <f t="shared" si="18"/>
        <v>5275116</v>
      </c>
      <c r="L204" s="39" t="s">
        <v>167</v>
      </c>
      <c r="M204" s="731" t="s">
        <v>159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909"/>
      <c r="AB204" s="198"/>
      <c r="AC204" s="198"/>
      <c r="AD204" s="198"/>
    </row>
    <row r="205" spans="1:30" s="843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356</v>
      </c>
      <c r="E205" s="184">
        <v>40688</v>
      </c>
      <c r="F205" s="189" t="s">
        <v>387</v>
      </c>
      <c r="G205" s="620" t="s">
        <v>353</v>
      </c>
      <c r="H205" s="44"/>
      <c r="I205" s="260"/>
      <c r="J205" s="260"/>
      <c r="K205" s="618">
        <v>278305</v>
      </c>
      <c r="L205" s="619" t="s">
        <v>24</v>
      </c>
      <c r="M205" s="619" t="s">
        <v>40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909"/>
      <c r="AB205" s="610"/>
      <c r="AC205" s="610"/>
      <c r="AD205" s="211"/>
    </row>
    <row r="206" spans="1:30" s="843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730</v>
      </c>
      <c r="E206" s="37">
        <v>40688</v>
      </c>
      <c r="F206" s="189" t="s">
        <v>537</v>
      </c>
      <c r="G206" s="501" t="s">
        <v>536</v>
      </c>
      <c r="H206" s="7" t="s">
        <v>522</v>
      </c>
      <c r="I206" s="260">
        <v>346</v>
      </c>
      <c r="J206" s="263">
        <v>15246</v>
      </c>
      <c r="K206" s="618">
        <f>ROUND(I206*J206,0)</f>
        <v>5275116</v>
      </c>
      <c r="L206" s="39" t="s">
        <v>159</v>
      </c>
      <c r="M206" s="619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909"/>
      <c r="AB206" s="610"/>
      <c r="AC206" s="610"/>
      <c r="AD206" s="610"/>
    </row>
    <row r="207" spans="1:30" s="843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730</v>
      </c>
      <c r="E207" s="37">
        <v>40688</v>
      </c>
      <c r="F207" s="189" t="s">
        <v>513</v>
      </c>
      <c r="G207" s="501" t="s">
        <v>536</v>
      </c>
      <c r="H207" s="7" t="s">
        <v>522</v>
      </c>
      <c r="I207" s="260">
        <v>643</v>
      </c>
      <c r="J207" s="260">
        <v>17427</v>
      </c>
      <c r="K207" s="618">
        <f>ROUND(I207*J207,0)</f>
        <v>11205561</v>
      </c>
      <c r="L207" s="39" t="s">
        <v>159</v>
      </c>
      <c r="M207" s="619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909"/>
      <c r="AB207" s="211"/>
      <c r="AC207" s="211"/>
      <c r="AD207" s="610"/>
    </row>
    <row r="208" spans="1:30" s="843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730</v>
      </c>
      <c r="E208" s="37">
        <v>40688</v>
      </c>
      <c r="F208" s="189" t="s">
        <v>538</v>
      </c>
      <c r="G208" s="501" t="s">
        <v>536</v>
      </c>
      <c r="H208" s="7" t="s">
        <v>522</v>
      </c>
      <c r="I208" s="260">
        <v>110</v>
      </c>
      <c r="J208" s="260">
        <v>19316</v>
      </c>
      <c r="K208" s="618">
        <f>ROUND(I208*J208,0)</f>
        <v>2124760</v>
      </c>
      <c r="L208" s="39" t="s">
        <v>159</v>
      </c>
      <c r="M208" s="619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909"/>
      <c r="AB208" s="610"/>
      <c r="AC208" s="610"/>
      <c r="AD208" s="610"/>
    </row>
    <row r="209" spans="1:30" s="843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730</v>
      </c>
      <c r="E209" s="37">
        <v>40688</v>
      </c>
      <c r="F209" s="189" t="s">
        <v>520</v>
      </c>
      <c r="G209" s="501" t="s">
        <v>536</v>
      </c>
      <c r="H209" s="7" t="s">
        <v>522</v>
      </c>
      <c r="I209" s="260">
        <v>293</v>
      </c>
      <c r="J209" s="260">
        <v>11587</v>
      </c>
      <c r="K209" s="618">
        <f>ROUND(I209*J209,0)</f>
        <v>3394991</v>
      </c>
      <c r="L209" s="39" t="s">
        <v>159</v>
      </c>
      <c r="M209" s="619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909"/>
      <c r="AB209" s="610"/>
      <c r="AC209" s="610"/>
      <c r="AD209" s="610"/>
    </row>
    <row r="210" spans="1:30" s="843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730</v>
      </c>
      <c r="E210" s="37">
        <v>40688</v>
      </c>
      <c r="F210" s="189" t="s">
        <v>403</v>
      </c>
      <c r="G210" s="501" t="s">
        <v>536</v>
      </c>
      <c r="H210" s="7" t="s">
        <v>522</v>
      </c>
      <c r="I210" s="260"/>
      <c r="J210" s="260"/>
      <c r="K210" s="38">
        <v>2200043</v>
      </c>
      <c r="L210" s="39" t="s">
        <v>9</v>
      </c>
      <c r="M210" s="619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909"/>
      <c r="AB210" s="610">
        <v>5</v>
      </c>
      <c r="AC210" s="211"/>
      <c r="AD210" s="610"/>
    </row>
    <row r="211" spans="1:30" s="843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731</v>
      </c>
      <c r="E211" s="37">
        <v>40688</v>
      </c>
      <c r="F211" s="189" t="s">
        <v>540</v>
      </c>
      <c r="G211" s="501" t="s">
        <v>539</v>
      </c>
      <c r="H211" s="7" t="s">
        <v>522</v>
      </c>
      <c r="I211" s="260">
        <v>490</v>
      </c>
      <c r="J211" s="260">
        <v>8013</v>
      </c>
      <c r="K211" s="618">
        <f t="shared" ref="K211:K217" si="20">ROUND(I211*J211,0)</f>
        <v>3926370</v>
      </c>
      <c r="L211" s="39" t="s">
        <v>159</v>
      </c>
      <c r="M211" s="619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909"/>
      <c r="AB211" s="610"/>
      <c r="AC211" s="610"/>
      <c r="AD211" s="610"/>
    </row>
    <row r="212" spans="1:30" s="843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731</v>
      </c>
      <c r="E212" s="37">
        <v>40688</v>
      </c>
      <c r="F212" s="189" t="s">
        <v>541</v>
      </c>
      <c r="G212" s="501" t="s">
        <v>539</v>
      </c>
      <c r="H212" s="7" t="s">
        <v>522</v>
      </c>
      <c r="I212" s="260">
        <v>840</v>
      </c>
      <c r="J212" s="260">
        <v>10930</v>
      </c>
      <c r="K212" s="618">
        <f t="shared" si="20"/>
        <v>9181200</v>
      </c>
      <c r="L212" s="39" t="s">
        <v>159</v>
      </c>
      <c r="M212" s="619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909"/>
      <c r="AB212" s="610"/>
      <c r="AC212" s="610"/>
      <c r="AD212" s="610"/>
    </row>
    <row r="213" spans="1:30" s="843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731</v>
      </c>
      <c r="E213" s="37">
        <v>40688</v>
      </c>
      <c r="F213" s="189" t="s">
        <v>542</v>
      </c>
      <c r="G213" s="501" t="s">
        <v>539</v>
      </c>
      <c r="H213" s="7" t="s">
        <v>522</v>
      </c>
      <c r="I213" s="260">
        <v>745</v>
      </c>
      <c r="J213" s="260">
        <v>10603</v>
      </c>
      <c r="K213" s="618">
        <f t="shared" si="20"/>
        <v>7899235</v>
      </c>
      <c r="L213" s="39" t="s">
        <v>159</v>
      </c>
      <c r="M213" s="619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909"/>
      <c r="AB213" s="610"/>
      <c r="AC213" s="610"/>
      <c r="AD213" s="610"/>
    </row>
    <row r="214" spans="1:30" s="843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731</v>
      </c>
      <c r="E214" s="37">
        <v>40688</v>
      </c>
      <c r="F214" s="189" t="s">
        <v>543</v>
      </c>
      <c r="G214" s="501" t="s">
        <v>539</v>
      </c>
      <c r="H214" s="7" t="s">
        <v>522</v>
      </c>
      <c r="I214" s="260">
        <v>210</v>
      </c>
      <c r="J214" s="260">
        <v>6400</v>
      </c>
      <c r="K214" s="618">
        <f t="shared" si="20"/>
        <v>1344000</v>
      </c>
      <c r="L214" s="39" t="s">
        <v>159</v>
      </c>
      <c r="M214" s="619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909"/>
      <c r="AB214" s="610"/>
      <c r="AC214" s="610"/>
      <c r="AD214" s="610"/>
    </row>
    <row r="215" spans="1:30" s="843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731</v>
      </c>
      <c r="E215" s="37">
        <v>40688</v>
      </c>
      <c r="F215" s="189" t="s">
        <v>544</v>
      </c>
      <c r="G215" s="501" t="s">
        <v>539</v>
      </c>
      <c r="H215" s="7" t="s">
        <v>522</v>
      </c>
      <c r="I215" s="262">
        <v>58</v>
      </c>
      <c r="J215" s="262">
        <v>26880</v>
      </c>
      <c r="K215" s="618">
        <f t="shared" si="20"/>
        <v>1559040</v>
      </c>
      <c r="L215" s="39" t="s">
        <v>159</v>
      </c>
      <c r="M215" s="619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909"/>
      <c r="AB215" s="211"/>
      <c r="AC215" s="211"/>
      <c r="AD215" s="610"/>
    </row>
    <row r="216" spans="1:30" s="843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731</v>
      </c>
      <c r="E216" s="37">
        <v>40688</v>
      </c>
      <c r="F216" s="189" t="s">
        <v>545</v>
      </c>
      <c r="G216" s="501" t="s">
        <v>539</v>
      </c>
      <c r="H216" s="7" t="s">
        <v>522</v>
      </c>
      <c r="I216" s="262">
        <v>205</v>
      </c>
      <c r="J216" s="262">
        <v>11373</v>
      </c>
      <c r="K216" s="618">
        <f t="shared" si="20"/>
        <v>2331465</v>
      </c>
      <c r="L216" s="39" t="s">
        <v>159</v>
      </c>
      <c r="M216" s="619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909"/>
      <c r="AB216" s="610"/>
      <c r="AC216" s="610"/>
      <c r="AD216" s="610"/>
    </row>
    <row r="217" spans="1:30" s="843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731</v>
      </c>
      <c r="E217" s="37">
        <v>40688</v>
      </c>
      <c r="F217" s="189" t="s">
        <v>546</v>
      </c>
      <c r="G217" s="501" t="s">
        <v>539</v>
      </c>
      <c r="H217" s="7" t="s">
        <v>522</v>
      </c>
      <c r="I217" s="260">
        <v>295</v>
      </c>
      <c r="J217" s="260">
        <v>7268</v>
      </c>
      <c r="K217" s="618">
        <f t="shared" si="20"/>
        <v>2144060</v>
      </c>
      <c r="L217" s="39" t="s">
        <v>159</v>
      </c>
      <c r="M217" s="619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909"/>
      <c r="AB217" s="211"/>
      <c r="AC217" s="211"/>
      <c r="AD217" s="610"/>
    </row>
    <row r="218" spans="1:30" s="843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731</v>
      </c>
      <c r="E218" s="37">
        <v>40688</v>
      </c>
      <c r="F218" s="189" t="s">
        <v>403</v>
      </c>
      <c r="G218" s="501" t="s">
        <v>539</v>
      </c>
      <c r="H218" s="7" t="s">
        <v>522</v>
      </c>
      <c r="I218" s="260"/>
      <c r="J218" s="260"/>
      <c r="K218" s="38">
        <v>2838537</v>
      </c>
      <c r="L218" s="39" t="s">
        <v>9</v>
      </c>
      <c r="M218" s="619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909"/>
      <c r="AB218" s="610">
        <v>5</v>
      </c>
      <c r="AC218" s="610"/>
      <c r="AD218" s="610"/>
    </row>
    <row r="219" spans="1:30" s="843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7" t="s">
        <v>1123</v>
      </c>
      <c r="E219" s="191">
        <v>40688</v>
      </c>
      <c r="F219" s="302" t="s">
        <v>410</v>
      </c>
      <c r="G219" s="502"/>
      <c r="H219" s="632" t="s">
        <v>1116</v>
      </c>
      <c r="I219" s="851">
        <v>239</v>
      </c>
      <c r="J219" s="260">
        <v>4449</v>
      </c>
      <c r="K219" s="618">
        <f t="shared" ref="K219:K227" si="22">ROUND(I219*J219,0)</f>
        <v>1063311</v>
      </c>
      <c r="L219" s="39" t="s">
        <v>167</v>
      </c>
      <c r="M219" s="731" t="s">
        <v>159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909"/>
      <c r="AB219" s="198"/>
      <c r="AC219" s="198"/>
      <c r="AD219" s="198"/>
    </row>
    <row r="220" spans="1:30" s="843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7" t="s">
        <v>1123</v>
      </c>
      <c r="E220" s="191">
        <v>40688</v>
      </c>
      <c r="F220" s="189" t="s">
        <v>410</v>
      </c>
      <c r="G220" s="502"/>
      <c r="H220" s="632" t="s">
        <v>1116</v>
      </c>
      <c r="I220" s="851">
        <v>51</v>
      </c>
      <c r="J220" s="260">
        <v>4449</v>
      </c>
      <c r="K220" s="618">
        <f t="shared" si="22"/>
        <v>226899</v>
      </c>
      <c r="L220" s="39" t="s">
        <v>167</v>
      </c>
      <c r="M220" s="731" t="s">
        <v>159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909"/>
      <c r="AB220" s="198"/>
      <c r="AC220" s="198"/>
      <c r="AD220" s="198"/>
    </row>
    <row r="221" spans="1:30" s="843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7" t="s">
        <v>1123</v>
      </c>
      <c r="E221" s="191">
        <v>40688</v>
      </c>
      <c r="F221" s="302" t="s">
        <v>504</v>
      </c>
      <c r="G221" s="502"/>
      <c r="H221" s="632" t="s">
        <v>1116</v>
      </c>
      <c r="I221" s="260">
        <v>12</v>
      </c>
      <c r="J221" s="260">
        <v>25200</v>
      </c>
      <c r="K221" s="618">
        <f t="shared" si="22"/>
        <v>302400</v>
      </c>
      <c r="L221" s="39" t="s">
        <v>167</v>
      </c>
      <c r="M221" s="731" t="s">
        <v>159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909"/>
      <c r="AB221" s="198"/>
      <c r="AC221" s="198"/>
      <c r="AD221" s="198"/>
    </row>
    <row r="222" spans="1:30" s="843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7" t="s">
        <v>1123</v>
      </c>
      <c r="E222" s="191">
        <v>40688</v>
      </c>
      <c r="F222" s="189" t="s">
        <v>514</v>
      </c>
      <c r="G222" s="499"/>
      <c r="H222" s="632" t="s">
        <v>1116</v>
      </c>
      <c r="I222" s="262">
        <v>209</v>
      </c>
      <c r="J222" s="260">
        <v>22554</v>
      </c>
      <c r="K222" s="618">
        <f t="shared" si="22"/>
        <v>4713786</v>
      </c>
      <c r="L222" s="39" t="s">
        <v>167</v>
      </c>
      <c r="M222" s="731" t="s">
        <v>159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909"/>
      <c r="AB222" s="198"/>
      <c r="AC222" s="198"/>
      <c r="AD222" s="198"/>
    </row>
    <row r="223" spans="1:30" s="843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7" t="s">
        <v>1123</v>
      </c>
      <c r="E223" s="191">
        <v>40688</v>
      </c>
      <c r="F223" s="189" t="s">
        <v>425</v>
      </c>
      <c r="G223" s="499"/>
      <c r="H223" s="632" t="s">
        <v>1116</v>
      </c>
      <c r="I223" s="262">
        <v>52</v>
      </c>
      <c r="J223" s="260">
        <v>24325</v>
      </c>
      <c r="K223" s="618">
        <f t="shared" si="22"/>
        <v>1264900</v>
      </c>
      <c r="L223" s="39" t="s">
        <v>167</v>
      </c>
      <c r="M223" s="731" t="s">
        <v>159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909"/>
      <c r="AB223" s="198"/>
      <c r="AC223" s="198"/>
      <c r="AD223" s="198"/>
    </row>
    <row r="224" spans="1:30" s="843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7" t="s">
        <v>1123</v>
      </c>
      <c r="E224" s="191">
        <v>40688</v>
      </c>
      <c r="F224" s="189" t="s">
        <v>515</v>
      </c>
      <c r="G224" s="502"/>
      <c r="H224" s="632" t="s">
        <v>1116</v>
      </c>
      <c r="I224" s="260">
        <v>406</v>
      </c>
      <c r="J224" s="260">
        <v>23716</v>
      </c>
      <c r="K224" s="618">
        <f t="shared" si="22"/>
        <v>9628696</v>
      </c>
      <c r="L224" s="39" t="s">
        <v>167</v>
      </c>
      <c r="M224" s="731" t="s">
        <v>159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909"/>
      <c r="AB224" s="198"/>
      <c r="AC224" s="198"/>
      <c r="AD224" s="198"/>
    </row>
    <row r="225" spans="1:30" s="843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7" t="s">
        <v>1123</v>
      </c>
      <c r="E225" s="191">
        <v>40688</v>
      </c>
      <c r="F225" s="302" t="s">
        <v>410</v>
      </c>
      <c r="G225" s="502"/>
      <c r="H225" s="632" t="s">
        <v>1116</v>
      </c>
      <c r="I225" s="851">
        <v>50</v>
      </c>
      <c r="J225" s="260">
        <v>4449</v>
      </c>
      <c r="K225" s="618">
        <f t="shared" si="22"/>
        <v>222450</v>
      </c>
      <c r="L225" s="39" t="s">
        <v>167</v>
      </c>
      <c r="M225" s="731" t="s">
        <v>159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909"/>
      <c r="AB225" s="198"/>
      <c r="AC225" s="198"/>
      <c r="AD225" s="198"/>
    </row>
    <row r="226" spans="1:30" s="843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7" t="s">
        <v>1123</v>
      </c>
      <c r="E226" s="191">
        <v>40688</v>
      </c>
      <c r="F226" s="189" t="s">
        <v>410</v>
      </c>
      <c r="G226" s="502"/>
      <c r="H226" s="632" t="s">
        <v>1116</v>
      </c>
      <c r="I226" s="879">
        <v>17</v>
      </c>
      <c r="J226" s="260">
        <v>4449</v>
      </c>
      <c r="K226" s="618">
        <f t="shared" si="22"/>
        <v>75633</v>
      </c>
      <c r="L226" s="39" t="s">
        <v>167</v>
      </c>
      <c r="M226" s="731" t="s">
        <v>159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909"/>
      <c r="AB226" s="198"/>
      <c r="AC226" s="198"/>
      <c r="AD226" s="198"/>
    </row>
    <row r="227" spans="1:30" s="843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7" t="s">
        <v>1123</v>
      </c>
      <c r="E227" s="191">
        <v>40688</v>
      </c>
      <c r="F227" s="189" t="s">
        <v>410</v>
      </c>
      <c r="G227" s="502"/>
      <c r="H227" s="632" t="s">
        <v>1116</v>
      </c>
      <c r="I227" s="851">
        <v>75</v>
      </c>
      <c r="J227" s="260">
        <v>4449</v>
      </c>
      <c r="K227" s="618">
        <f t="shared" si="22"/>
        <v>333675</v>
      </c>
      <c r="L227" s="39" t="s">
        <v>167</v>
      </c>
      <c r="M227" s="731" t="s">
        <v>159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909"/>
      <c r="AB227" s="198"/>
      <c r="AC227" s="198"/>
      <c r="AD227" s="198"/>
    </row>
    <row r="228" spans="1:30" s="843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704</v>
      </c>
      <c r="E228" s="184">
        <v>40689</v>
      </c>
      <c r="F228" s="189" t="s">
        <v>385</v>
      </c>
      <c r="G228" s="620" t="s">
        <v>353</v>
      </c>
      <c r="H228" s="44" t="s">
        <v>386</v>
      </c>
      <c r="I228" s="260"/>
      <c r="J228" s="260"/>
      <c r="K228" s="618">
        <v>5000000</v>
      </c>
      <c r="L228" s="619" t="s">
        <v>24</v>
      </c>
      <c r="M228" s="619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909"/>
      <c r="AB228" s="610"/>
      <c r="AC228" s="610"/>
      <c r="AD228" s="610"/>
    </row>
    <row r="229" spans="1:30" s="843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706</v>
      </c>
      <c r="E229" s="37">
        <v>40689</v>
      </c>
      <c r="F229" s="40" t="s">
        <v>488</v>
      </c>
      <c r="G229" s="499" t="s">
        <v>489</v>
      </c>
      <c r="H229" s="45" t="s">
        <v>490</v>
      </c>
      <c r="I229" s="260"/>
      <c r="J229" s="260"/>
      <c r="K229" s="38">
        <v>267000</v>
      </c>
      <c r="L229" s="39" t="s">
        <v>83</v>
      </c>
      <c r="M229" s="619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909"/>
      <c r="AB229" s="211"/>
      <c r="AC229" s="211"/>
      <c r="AD229" s="211"/>
    </row>
    <row r="230" spans="1:30" s="843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707</v>
      </c>
      <c r="E230" s="37">
        <v>40689</v>
      </c>
      <c r="F230" s="40" t="s">
        <v>491</v>
      </c>
      <c r="G230" s="499" t="s">
        <v>492</v>
      </c>
      <c r="H230" s="45" t="s">
        <v>493</v>
      </c>
      <c r="I230" s="262"/>
      <c r="J230" s="260"/>
      <c r="K230" s="38">
        <v>494235</v>
      </c>
      <c r="L230" s="39" t="s">
        <v>83</v>
      </c>
      <c r="M230" s="619" t="s">
        <v>47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909"/>
      <c r="AB230" s="610"/>
      <c r="AC230" s="610"/>
      <c r="AD230" s="610"/>
    </row>
    <row r="231" spans="1:30" s="843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707</v>
      </c>
      <c r="E231" s="37">
        <v>40689</v>
      </c>
      <c r="F231" s="40" t="s">
        <v>494</v>
      </c>
      <c r="G231" s="499" t="s">
        <v>492</v>
      </c>
      <c r="H231" s="45" t="s">
        <v>493</v>
      </c>
      <c r="I231" s="262"/>
      <c r="J231" s="260"/>
      <c r="K231" s="38">
        <v>49425</v>
      </c>
      <c r="L231" s="39" t="s">
        <v>9</v>
      </c>
      <c r="M231" s="619" t="s">
        <v>47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909"/>
      <c r="AB231" s="610">
        <v>5</v>
      </c>
      <c r="AC231" s="610"/>
      <c r="AD231" s="610"/>
    </row>
    <row r="232" spans="1:30" s="843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708</v>
      </c>
      <c r="E232" s="37">
        <v>40689</v>
      </c>
      <c r="F232" s="40" t="s">
        <v>491</v>
      </c>
      <c r="G232" s="499" t="s">
        <v>496</v>
      </c>
      <c r="H232" s="45" t="s">
        <v>495</v>
      </c>
      <c r="I232" s="262"/>
      <c r="J232" s="260"/>
      <c r="K232" s="38">
        <v>467016</v>
      </c>
      <c r="L232" s="39" t="s">
        <v>83</v>
      </c>
      <c r="M232" s="619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909"/>
      <c r="AB232" s="610"/>
      <c r="AC232" s="610"/>
      <c r="AD232" s="610"/>
    </row>
    <row r="233" spans="1:30" s="843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708</v>
      </c>
      <c r="E233" s="37">
        <v>40689</v>
      </c>
      <c r="F233" s="40" t="s">
        <v>494</v>
      </c>
      <c r="G233" s="499" t="s">
        <v>496</v>
      </c>
      <c r="H233" s="45" t="s">
        <v>495</v>
      </c>
      <c r="I233" s="262"/>
      <c r="J233" s="260"/>
      <c r="K233" s="38">
        <v>46702</v>
      </c>
      <c r="L233" s="39" t="s">
        <v>9</v>
      </c>
      <c r="M233" s="619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909"/>
      <c r="AB233" s="610">
        <v>5</v>
      </c>
      <c r="AC233" s="610"/>
      <c r="AD233" s="610"/>
    </row>
    <row r="234" spans="1:30" s="843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709</v>
      </c>
      <c r="E234" s="37">
        <v>40690</v>
      </c>
      <c r="F234" s="40" t="s">
        <v>547</v>
      </c>
      <c r="G234" s="501" t="s">
        <v>548</v>
      </c>
      <c r="H234" s="7" t="s">
        <v>394</v>
      </c>
      <c r="I234" s="260">
        <v>20</v>
      </c>
      <c r="J234" s="260">
        <v>67000</v>
      </c>
      <c r="K234" s="618">
        <f>ROUND(I234*J234,0)</f>
        <v>1340000</v>
      </c>
      <c r="L234" s="39" t="s">
        <v>167</v>
      </c>
      <c r="M234" s="3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909"/>
      <c r="AB234" s="211"/>
      <c r="AC234" s="211"/>
      <c r="AD234" s="610"/>
    </row>
    <row r="235" spans="1:30" s="843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709</v>
      </c>
      <c r="E235" s="37">
        <v>40690</v>
      </c>
      <c r="F235" s="901" t="s">
        <v>549</v>
      </c>
      <c r="G235" s="501" t="s">
        <v>548</v>
      </c>
      <c r="H235" s="7" t="s">
        <v>394</v>
      </c>
      <c r="I235" s="260"/>
      <c r="J235" s="260"/>
      <c r="K235" s="38">
        <v>134000</v>
      </c>
      <c r="L235" s="39" t="s">
        <v>9</v>
      </c>
      <c r="M235" s="39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909"/>
      <c r="AB235" s="610">
        <v>5</v>
      </c>
      <c r="AC235" s="610"/>
      <c r="AD235" s="610"/>
    </row>
    <row r="236" spans="1:30" s="843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357</v>
      </c>
      <c r="E236" s="184">
        <v>40690</v>
      </c>
      <c r="F236" s="189" t="s">
        <v>390</v>
      </c>
      <c r="G236" s="620" t="s">
        <v>353</v>
      </c>
      <c r="H236" s="7" t="s">
        <v>522</v>
      </c>
      <c r="I236" s="260"/>
      <c r="J236" s="260"/>
      <c r="K236" s="618">
        <v>41712396</v>
      </c>
      <c r="L236" s="619" t="s">
        <v>8</v>
      </c>
      <c r="M236" s="619" t="s">
        <v>24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909"/>
      <c r="AB236" s="610"/>
      <c r="AC236" s="610"/>
      <c r="AD236" s="610"/>
    </row>
    <row r="237" spans="1:30" s="843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357</v>
      </c>
      <c r="E237" s="184">
        <v>40690</v>
      </c>
      <c r="F237" s="189" t="s">
        <v>359</v>
      </c>
      <c r="G237" s="620" t="s">
        <v>353</v>
      </c>
      <c r="H237" s="7"/>
      <c r="I237" s="260"/>
      <c r="J237" s="260"/>
      <c r="K237" s="618">
        <v>10000</v>
      </c>
      <c r="L237" s="619" t="s">
        <v>83</v>
      </c>
      <c r="M237" s="619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909"/>
      <c r="AB237" s="610"/>
      <c r="AC237" s="610"/>
      <c r="AD237" s="610"/>
    </row>
    <row r="238" spans="1:30" s="843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357</v>
      </c>
      <c r="E238" s="184">
        <v>40690</v>
      </c>
      <c r="F238" s="189" t="s">
        <v>359</v>
      </c>
      <c r="G238" s="620" t="s">
        <v>353</v>
      </c>
      <c r="H238" s="7"/>
      <c r="I238" s="260"/>
      <c r="J238" s="260"/>
      <c r="K238" s="618">
        <v>10000</v>
      </c>
      <c r="L238" s="619" t="s">
        <v>83</v>
      </c>
      <c r="M238" s="619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909"/>
      <c r="AB238" s="610"/>
      <c r="AC238" s="610"/>
      <c r="AD238" s="610"/>
    </row>
    <row r="239" spans="1:30" s="843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981</v>
      </c>
      <c r="E239" s="191">
        <v>40690</v>
      </c>
      <c r="F239" s="192" t="s">
        <v>843</v>
      </c>
      <c r="G239" s="502" t="s">
        <v>609</v>
      </c>
      <c r="H239" s="7" t="s">
        <v>757</v>
      </c>
      <c r="I239" s="262">
        <v>98</v>
      </c>
      <c r="J239" s="262">
        <v>18940</v>
      </c>
      <c r="K239" s="618">
        <v>1856120</v>
      </c>
      <c r="L239" s="194" t="s">
        <v>274</v>
      </c>
      <c r="M239" s="194" t="s">
        <v>181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909"/>
      <c r="AB239" s="845"/>
      <c r="AC239" s="198"/>
      <c r="AD239" s="198"/>
    </row>
    <row r="240" spans="1:30" s="843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981</v>
      </c>
      <c r="E240" s="191">
        <v>40690</v>
      </c>
      <c r="F240" s="192" t="s">
        <v>844</v>
      </c>
      <c r="G240" s="502" t="s">
        <v>609</v>
      </c>
      <c r="H240" s="7" t="s">
        <v>757</v>
      </c>
      <c r="I240" s="260">
        <v>177</v>
      </c>
      <c r="J240" s="260">
        <v>15550</v>
      </c>
      <c r="K240" s="618">
        <v>2752350</v>
      </c>
      <c r="L240" s="194" t="s">
        <v>274</v>
      </c>
      <c r="M240" s="194" t="s">
        <v>181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909"/>
      <c r="AB240" s="845"/>
      <c r="AC240" s="198"/>
      <c r="AD240" s="198"/>
    </row>
    <row r="241" spans="1:30" s="843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981</v>
      </c>
      <c r="E241" s="191">
        <v>40690</v>
      </c>
      <c r="F241" s="192" t="s">
        <v>845</v>
      </c>
      <c r="G241" s="502" t="s">
        <v>609</v>
      </c>
      <c r="H241" s="7" t="s">
        <v>757</v>
      </c>
      <c r="I241" s="260">
        <v>205</v>
      </c>
      <c r="J241" s="260">
        <v>19690</v>
      </c>
      <c r="K241" s="618">
        <v>4036450</v>
      </c>
      <c r="L241" s="194" t="s">
        <v>274</v>
      </c>
      <c r="M241" s="194" t="s">
        <v>181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909"/>
      <c r="AB241" s="845"/>
      <c r="AC241" s="198"/>
      <c r="AD241" s="198"/>
    </row>
    <row r="242" spans="1:30" s="843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981</v>
      </c>
      <c r="E242" s="191">
        <v>40690</v>
      </c>
      <c r="F242" s="850" t="s">
        <v>853</v>
      </c>
      <c r="G242" s="502" t="s">
        <v>609</v>
      </c>
      <c r="H242" s="7" t="s">
        <v>757</v>
      </c>
      <c r="I242" s="260">
        <v>283</v>
      </c>
      <c r="J242" s="260">
        <v>9760</v>
      </c>
      <c r="K242" s="618">
        <v>2762080</v>
      </c>
      <c r="L242" s="194" t="s">
        <v>274</v>
      </c>
      <c r="M242" s="194" t="s">
        <v>181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909"/>
      <c r="AB242" s="845"/>
      <c r="AC242" s="198"/>
      <c r="AD242" s="198"/>
    </row>
    <row r="243" spans="1:30" s="843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981</v>
      </c>
      <c r="E243" s="191">
        <v>40690</v>
      </c>
      <c r="F243" s="192" t="s">
        <v>846</v>
      </c>
      <c r="G243" s="502" t="s">
        <v>609</v>
      </c>
      <c r="H243" s="7" t="s">
        <v>757</v>
      </c>
      <c r="I243" s="260">
        <v>493</v>
      </c>
      <c r="J243" s="260">
        <v>7160</v>
      </c>
      <c r="K243" s="618">
        <v>3529880</v>
      </c>
      <c r="L243" s="194" t="s">
        <v>274</v>
      </c>
      <c r="M243" s="194" t="s">
        <v>181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909"/>
      <c r="AB243" s="845"/>
      <c r="AC243" s="198"/>
      <c r="AD243" s="198"/>
    </row>
    <row r="244" spans="1:30" s="843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981</v>
      </c>
      <c r="E244" s="191">
        <v>40690</v>
      </c>
      <c r="F244" s="192" t="s">
        <v>847</v>
      </c>
      <c r="G244" s="502" t="s">
        <v>609</v>
      </c>
      <c r="H244" s="7" t="s">
        <v>757</v>
      </c>
      <c r="I244" s="260">
        <v>398</v>
      </c>
      <c r="J244" s="260">
        <v>7360</v>
      </c>
      <c r="K244" s="618">
        <v>2929280</v>
      </c>
      <c r="L244" s="194" t="s">
        <v>274</v>
      </c>
      <c r="M244" s="194" t="s">
        <v>181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909"/>
      <c r="AB244" s="845"/>
      <c r="AC244" s="198"/>
      <c r="AD244" s="198"/>
    </row>
    <row r="245" spans="1:30" s="843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981</v>
      </c>
      <c r="E245" s="191">
        <v>40690</v>
      </c>
      <c r="F245" s="192" t="s">
        <v>848</v>
      </c>
      <c r="G245" s="502" t="s">
        <v>609</v>
      </c>
      <c r="H245" s="7" t="s">
        <v>757</v>
      </c>
      <c r="I245" s="260">
        <v>98</v>
      </c>
      <c r="J245" s="260">
        <v>15400</v>
      </c>
      <c r="K245" s="618">
        <v>1509200</v>
      </c>
      <c r="L245" s="194" t="s">
        <v>274</v>
      </c>
      <c r="M245" s="194" t="s">
        <v>181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909"/>
      <c r="AB245" s="845"/>
      <c r="AC245" s="198"/>
      <c r="AD245" s="198"/>
    </row>
    <row r="246" spans="1:30" s="843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981</v>
      </c>
      <c r="E246" s="191">
        <v>40690</v>
      </c>
      <c r="F246" s="192" t="s">
        <v>763</v>
      </c>
      <c r="G246" s="502" t="s">
        <v>609</v>
      </c>
      <c r="H246" s="7" t="s">
        <v>757</v>
      </c>
      <c r="I246" s="260"/>
      <c r="J246" s="260"/>
      <c r="K246" s="618">
        <v>1937536</v>
      </c>
      <c r="L246" s="194" t="s">
        <v>274</v>
      </c>
      <c r="M246" s="194" t="s">
        <v>754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909"/>
      <c r="AB246" s="845"/>
      <c r="AC246" s="198"/>
      <c r="AD246" s="198"/>
    </row>
    <row r="247" spans="1:30" s="843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982</v>
      </c>
      <c r="E247" s="191">
        <v>40690</v>
      </c>
      <c r="F247" s="192" t="s">
        <v>851</v>
      </c>
      <c r="G247" s="502" t="s">
        <v>849</v>
      </c>
      <c r="H247" s="7" t="s">
        <v>757</v>
      </c>
      <c r="I247" s="260">
        <v>191</v>
      </c>
      <c r="J247" s="260">
        <v>18480</v>
      </c>
      <c r="K247" s="618">
        <v>3529680</v>
      </c>
      <c r="L247" s="194" t="s">
        <v>274</v>
      </c>
      <c r="M247" s="194" t="s">
        <v>181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909"/>
      <c r="AB247" s="845"/>
      <c r="AC247" s="198"/>
      <c r="AD247" s="198"/>
    </row>
    <row r="248" spans="1:30" s="843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982</v>
      </c>
      <c r="E248" s="191">
        <v>40690</v>
      </c>
      <c r="F248" s="192" t="s">
        <v>852</v>
      </c>
      <c r="G248" s="502" t="s">
        <v>849</v>
      </c>
      <c r="H248" s="7" t="s">
        <v>757</v>
      </c>
      <c r="I248" s="260">
        <v>206</v>
      </c>
      <c r="J248" s="260">
        <v>15230</v>
      </c>
      <c r="K248" s="618">
        <v>3137380</v>
      </c>
      <c r="L248" s="194" t="s">
        <v>274</v>
      </c>
      <c r="M248" s="194" t="s">
        <v>181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909"/>
      <c r="AB248" s="845"/>
      <c r="AC248" s="198"/>
      <c r="AD248" s="198"/>
    </row>
    <row r="249" spans="1:30" s="843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982</v>
      </c>
      <c r="E249" s="191">
        <v>40690</v>
      </c>
      <c r="F249" s="192" t="s">
        <v>763</v>
      </c>
      <c r="G249" s="502" t="s">
        <v>849</v>
      </c>
      <c r="H249" s="7" t="s">
        <v>757</v>
      </c>
      <c r="I249" s="260"/>
      <c r="J249" s="260"/>
      <c r="K249" s="618">
        <v>666706</v>
      </c>
      <c r="L249" s="194" t="s">
        <v>274</v>
      </c>
      <c r="M249" s="194" t="s">
        <v>754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909"/>
      <c r="AB249" s="845"/>
      <c r="AC249" s="198"/>
      <c r="AD249" s="198"/>
    </row>
    <row r="250" spans="1:30" s="843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983</v>
      </c>
      <c r="E250" s="191">
        <v>40690</v>
      </c>
      <c r="F250" s="192" t="s">
        <v>854</v>
      </c>
      <c r="G250" s="502" t="s">
        <v>850</v>
      </c>
      <c r="H250" s="7" t="s">
        <v>756</v>
      </c>
      <c r="I250" s="260">
        <v>50</v>
      </c>
      <c r="J250" s="260">
        <v>13832</v>
      </c>
      <c r="K250" s="618">
        <v>691600</v>
      </c>
      <c r="L250" s="194" t="s">
        <v>274</v>
      </c>
      <c r="M250" s="194" t="s">
        <v>181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909"/>
      <c r="AB250" s="845"/>
      <c r="AC250" s="198"/>
      <c r="AD250" s="198"/>
    </row>
    <row r="251" spans="1:30" s="843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983</v>
      </c>
      <c r="E251" s="191">
        <v>40690</v>
      </c>
      <c r="F251" s="192" t="s">
        <v>779</v>
      </c>
      <c r="G251" s="502" t="s">
        <v>850</v>
      </c>
      <c r="H251" s="7" t="s">
        <v>756</v>
      </c>
      <c r="I251" s="260">
        <v>300</v>
      </c>
      <c r="J251" s="260">
        <v>3500</v>
      </c>
      <c r="K251" s="618">
        <v>1050000</v>
      </c>
      <c r="L251" s="194" t="s">
        <v>274</v>
      </c>
      <c r="M251" s="194" t="s">
        <v>181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909"/>
      <c r="AB251" s="845"/>
      <c r="AC251" s="198"/>
      <c r="AD251" s="198"/>
    </row>
    <row r="252" spans="1:30" s="843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983</v>
      </c>
      <c r="E252" s="191">
        <v>40690</v>
      </c>
      <c r="F252" s="192" t="s">
        <v>855</v>
      </c>
      <c r="G252" s="502" t="s">
        <v>850</v>
      </c>
      <c r="H252" s="7" t="s">
        <v>756</v>
      </c>
      <c r="I252" s="260">
        <v>7</v>
      </c>
      <c r="J252" s="260">
        <v>19908</v>
      </c>
      <c r="K252" s="618">
        <v>139356</v>
      </c>
      <c r="L252" s="194" t="s">
        <v>274</v>
      </c>
      <c r="M252" s="194" t="s">
        <v>181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909"/>
      <c r="AB252" s="845"/>
      <c r="AC252" s="198"/>
      <c r="AD252" s="198"/>
    </row>
    <row r="253" spans="1:30" s="843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983</v>
      </c>
      <c r="E253" s="191">
        <v>40690</v>
      </c>
      <c r="F253" s="192" t="s">
        <v>856</v>
      </c>
      <c r="G253" s="502" t="s">
        <v>850</v>
      </c>
      <c r="H253" s="7" t="s">
        <v>756</v>
      </c>
      <c r="I253" s="260">
        <v>7</v>
      </c>
      <c r="J253" s="260">
        <v>19285</v>
      </c>
      <c r="K253" s="618">
        <v>134995</v>
      </c>
      <c r="L253" s="194" t="s">
        <v>274</v>
      </c>
      <c r="M253" s="194" t="s">
        <v>181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909"/>
      <c r="AB253" s="845"/>
      <c r="AC253" s="198"/>
      <c r="AD253" s="198"/>
    </row>
    <row r="254" spans="1:30" s="843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983</v>
      </c>
      <c r="E254" s="191">
        <v>40690</v>
      </c>
      <c r="F254" s="192" t="s">
        <v>854</v>
      </c>
      <c r="G254" s="502" t="s">
        <v>850</v>
      </c>
      <c r="H254" s="7" t="s">
        <v>756</v>
      </c>
      <c r="I254" s="260">
        <v>250</v>
      </c>
      <c r="J254" s="260">
        <v>13832</v>
      </c>
      <c r="K254" s="618">
        <v>3458000</v>
      </c>
      <c r="L254" s="194" t="s">
        <v>274</v>
      </c>
      <c r="M254" s="194" t="s">
        <v>181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909"/>
      <c r="AB254" s="845"/>
      <c r="AC254" s="198"/>
      <c r="AD254" s="198"/>
    </row>
    <row r="255" spans="1:30" s="843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983</v>
      </c>
      <c r="E255" s="191">
        <v>40690</v>
      </c>
      <c r="F255" s="192" t="s">
        <v>857</v>
      </c>
      <c r="G255" s="502" t="s">
        <v>850</v>
      </c>
      <c r="H255" s="7" t="s">
        <v>756</v>
      </c>
      <c r="I255" s="260">
        <v>90</v>
      </c>
      <c r="J255" s="260">
        <v>15724</v>
      </c>
      <c r="K255" s="618">
        <v>1415160</v>
      </c>
      <c r="L255" s="194" t="s">
        <v>274</v>
      </c>
      <c r="M255" s="194" t="s">
        <v>181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909"/>
      <c r="AB255" s="845"/>
      <c r="AC255" s="198"/>
      <c r="AD255" s="198"/>
    </row>
    <row r="256" spans="1:30" s="843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983</v>
      </c>
      <c r="E256" s="191">
        <v>40690</v>
      </c>
      <c r="F256" s="192" t="s">
        <v>779</v>
      </c>
      <c r="G256" s="502" t="s">
        <v>850</v>
      </c>
      <c r="H256" s="7" t="s">
        <v>756</v>
      </c>
      <c r="I256" s="260">
        <v>90</v>
      </c>
      <c r="J256" s="260">
        <v>4265</v>
      </c>
      <c r="K256" s="618">
        <v>383850</v>
      </c>
      <c r="L256" s="194" t="s">
        <v>274</v>
      </c>
      <c r="M256" s="194" t="s">
        <v>181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909"/>
      <c r="AB256" s="845"/>
      <c r="AC256" s="198"/>
      <c r="AD256" s="198"/>
    </row>
    <row r="257" spans="1:30" s="843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983</v>
      </c>
      <c r="E257" s="191">
        <v>40690</v>
      </c>
      <c r="F257" s="192" t="s">
        <v>763</v>
      </c>
      <c r="G257" s="502" t="s">
        <v>850</v>
      </c>
      <c r="H257" s="7" t="s">
        <v>756</v>
      </c>
      <c r="I257" s="260"/>
      <c r="J257" s="260"/>
      <c r="K257" s="618">
        <v>727296</v>
      </c>
      <c r="L257" s="194" t="s">
        <v>274</v>
      </c>
      <c r="M257" s="194" t="s">
        <v>754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909"/>
      <c r="AB257" s="845"/>
      <c r="AC257" s="198"/>
      <c r="AD257" s="198"/>
    </row>
    <row r="258" spans="1:30" s="843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984</v>
      </c>
      <c r="E258" s="191">
        <v>40690</v>
      </c>
      <c r="F258" s="192" t="s">
        <v>860</v>
      </c>
      <c r="G258" s="502" t="s">
        <v>858</v>
      </c>
      <c r="H258" s="7" t="s">
        <v>756</v>
      </c>
      <c r="I258" s="260">
        <v>2</v>
      </c>
      <c r="J258" s="260">
        <v>8839</v>
      </c>
      <c r="K258" s="618">
        <v>17678</v>
      </c>
      <c r="L258" s="194" t="s">
        <v>274</v>
      </c>
      <c r="M258" s="194" t="s">
        <v>181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909"/>
      <c r="AB258" s="845"/>
      <c r="AC258" s="198"/>
      <c r="AD258" s="198"/>
    </row>
    <row r="259" spans="1:30" s="843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984</v>
      </c>
      <c r="E259" s="191">
        <v>40690</v>
      </c>
      <c r="F259" s="192" t="s">
        <v>861</v>
      </c>
      <c r="G259" s="502" t="s">
        <v>858</v>
      </c>
      <c r="H259" s="7" t="s">
        <v>756</v>
      </c>
      <c r="I259" s="260">
        <v>2</v>
      </c>
      <c r="J259" s="260">
        <v>5857</v>
      </c>
      <c r="K259" s="618">
        <v>11714</v>
      </c>
      <c r="L259" s="194" t="s">
        <v>274</v>
      </c>
      <c r="M259" s="194" t="s">
        <v>181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909"/>
      <c r="AB259" s="845"/>
      <c r="AC259" s="198"/>
      <c r="AD259" s="198"/>
    </row>
    <row r="260" spans="1:30" s="843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984</v>
      </c>
      <c r="E260" s="191">
        <v>40690</v>
      </c>
      <c r="F260" s="192" t="s">
        <v>862</v>
      </c>
      <c r="G260" s="502" t="s">
        <v>858</v>
      </c>
      <c r="H260" s="7" t="s">
        <v>756</v>
      </c>
      <c r="I260" s="260">
        <v>195</v>
      </c>
      <c r="J260" s="260">
        <v>8824</v>
      </c>
      <c r="K260" s="618">
        <v>1720680</v>
      </c>
      <c r="L260" s="194" t="s">
        <v>274</v>
      </c>
      <c r="M260" s="194" t="s">
        <v>181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909"/>
      <c r="AB260" s="845"/>
      <c r="AC260" s="198"/>
      <c r="AD260" s="198"/>
    </row>
    <row r="261" spans="1:30" s="843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984</v>
      </c>
      <c r="E261" s="191">
        <v>40690</v>
      </c>
      <c r="F261" s="192" t="s">
        <v>863</v>
      </c>
      <c r="G261" s="502" t="s">
        <v>858</v>
      </c>
      <c r="H261" s="7" t="s">
        <v>756</v>
      </c>
      <c r="I261" s="260">
        <v>20</v>
      </c>
      <c r="J261" s="260">
        <v>16023</v>
      </c>
      <c r="K261" s="618">
        <v>320460</v>
      </c>
      <c r="L261" s="194" t="s">
        <v>274</v>
      </c>
      <c r="M261" s="194" t="s">
        <v>181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909"/>
      <c r="AB261" s="845"/>
      <c r="AC261" s="198"/>
      <c r="AD261" s="198"/>
    </row>
    <row r="262" spans="1:30" s="843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984</v>
      </c>
      <c r="E262" s="191">
        <v>40690</v>
      </c>
      <c r="F262" s="192" t="s">
        <v>864</v>
      </c>
      <c r="G262" s="502" t="s">
        <v>858</v>
      </c>
      <c r="H262" s="7" t="s">
        <v>756</v>
      </c>
      <c r="I262" s="260">
        <v>1</v>
      </c>
      <c r="J262" s="260">
        <v>7358</v>
      </c>
      <c r="K262" s="618">
        <v>7358</v>
      </c>
      <c r="L262" s="194" t="s">
        <v>274</v>
      </c>
      <c r="M262" s="194" t="s">
        <v>181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909"/>
      <c r="AB262" s="845"/>
      <c r="AC262" s="198"/>
      <c r="AD262" s="198"/>
    </row>
    <row r="263" spans="1:30" s="843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984</v>
      </c>
      <c r="E263" s="191">
        <v>40690</v>
      </c>
      <c r="F263" s="192" t="s">
        <v>865</v>
      </c>
      <c r="G263" s="502" t="s">
        <v>858</v>
      </c>
      <c r="H263" s="7" t="s">
        <v>756</v>
      </c>
      <c r="I263" s="260">
        <v>4</v>
      </c>
      <c r="J263" s="260">
        <v>7429</v>
      </c>
      <c r="K263" s="618">
        <v>29716</v>
      </c>
      <c r="L263" s="194" t="s">
        <v>274</v>
      </c>
      <c r="M263" s="194" t="s">
        <v>181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909"/>
      <c r="AB263" s="845"/>
      <c r="AC263" s="198"/>
      <c r="AD263" s="198"/>
    </row>
    <row r="264" spans="1:30" s="843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984</v>
      </c>
      <c r="E264" s="191">
        <v>40690</v>
      </c>
      <c r="F264" s="192" t="s">
        <v>866</v>
      </c>
      <c r="G264" s="502" t="s">
        <v>858</v>
      </c>
      <c r="H264" s="7" t="s">
        <v>756</v>
      </c>
      <c r="I264" s="260">
        <v>2</v>
      </c>
      <c r="J264" s="260">
        <v>4823</v>
      </c>
      <c r="K264" s="618">
        <v>9646</v>
      </c>
      <c r="L264" s="194" t="s">
        <v>274</v>
      </c>
      <c r="M264" s="194" t="s">
        <v>181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909"/>
      <c r="AB264" s="845"/>
      <c r="AC264" s="198"/>
      <c r="AD264" s="198"/>
    </row>
    <row r="265" spans="1:30" s="843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984</v>
      </c>
      <c r="E265" s="191">
        <v>40690</v>
      </c>
      <c r="F265" s="192" t="s">
        <v>867</v>
      </c>
      <c r="G265" s="502" t="s">
        <v>858</v>
      </c>
      <c r="H265" s="7" t="s">
        <v>756</v>
      </c>
      <c r="I265" s="260">
        <v>2</v>
      </c>
      <c r="J265" s="260">
        <v>9141</v>
      </c>
      <c r="K265" s="618">
        <v>18282</v>
      </c>
      <c r="L265" s="194" t="s">
        <v>274</v>
      </c>
      <c r="M265" s="194" t="s">
        <v>181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909"/>
      <c r="AB265" s="845"/>
      <c r="AC265" s="198"/>
      <c r="AD265" s="198"/>
    </row>
    <row r="266" spans="1:30" s="843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984</v>
      </c>
      <c r="E266" s="191">
        <v>40690</v>
      </c>
      <c r="F266" s="192" t="s">
        <v>859</v>
      </c>
      <c r="G266" s="502" t="s">
        <v>858</v>
      </c>
      <c r="H266" s="7" t="s">
        <v>756</v>
      </c>
      <c r="I266" s="260"/>
      <c r="J266" s="260"/>
      <c r="K266" s="618">
        <f>213553+2</f>
        <v>213555</v>
      </c>
      <c r="L266" s="194" t="s">
        <v>274</v>
      </c>
      <c r="M266" s="194" t="s">
        <v>754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909"/>
      <c r="AB266" s="845"/>
      <c r="AC266" s="198"/>
      <c r="AD266" s="198"/>
    </row>
    <row r="267" spans="1:30" s="843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985</v>
      </c>
      <c r="E267" s="191">
        <v>40690</v>
      </c>
      <c r="F267" s="192" t="s">
        <v>873</v>
      </c>
      <c r="G267" s="502" t="s">
        <v>868</v>
      </c>
      <c r="H267" s="7" t="s">
        <v>756</v>
      </c>
      <c r="I267" s="260">
        <v>2</v>
      </c>
      <c r="J267" s="260">
        <v>7441</v>
      </c>
      <c r="K267" s="618">
        <v>14882</v>
      </c>
      <c r="L267" s="194" t="s">
        <v>274</v>
      </c>
      <c r="M267" s="194" t="s">
        <v>181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909"/>
      <c r="AB267" s="845"/>
      <c r="AC267" s="198"/>
      <c r="AD267" s="198"/>
    </row>
    <row r="268" spans="1:30" s="843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985</v>
      </c>
      <c r="E268" s="191">
        <v>40690</v>
      </c>
      <c r="F268" s="192" t="s">
        <v>874</v>
      </c>
      <c r="G268" s="502" t="s">
        <v>868</v>
      </c>
      <c r="H268" s="7" t="s">
        <v>756</v>
      </c>
      <c r="I268" s="260">
        <v>5</v>
      </c>
      <c r="J268" s="260">
        <v>7175</v>
      </c>
      <c r="K268" s="618">
        <v>35875</v>
      </c>
      <c r="L268" s="194" t="s">
        <v>274</v>
      </c>
      <c r="M268" s="194" t="s">
        <v>181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909"/>
      <c r="AB268" s="845"/>
      <c r="AC268" s="198"/>
      <c r="AD268" s="198"/>
    </row>
    <row r="269" spans="1:30" s="843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985</v>
      </c>
      <c r="E269" s="191">
        <v>40690</v>
      </c>
      <c r="F269" s="192" t="s">
        <v>875</v>
      </c>
      <c r="G269" s="502" t="s">
        <v>868</v>
      </c>
      <c r="H269" s="7" t="s">
        <v>756</v>
      </c>
      <c r="I269" s="260">
        <v>86</v>
      </c>
      <c r="J269" s="260">
        <v>19591</v>
      </c>
      <c r="K269" s="618">
        <v>1684826</v>
      </c>
      <c r="L269" s="194" t="s">
        <v>274</v>
      </c>
      <c r="M269" s="194" t="s">
        <v>181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909"/>
      <c r="AB269" s="845"/>
      <c r="AC269" s="198"/>
      <c r="AD269" s="198"/>
    </row>
    <row r="270" spans="1:30" s="843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985</v>
      </c>
      <c r="E270" s="191">
        <v>40690</v>
      </c>
      <c r="F270" s="192" t="s">
        <v>872</v>
      </c>
      <c r="G270" s="502" t="s">
        <v>868</v>
      </c>
      <c r="H270" s="7" t="s">
        <v>756</v>
      </c>
      <c r="I270" s="260"/>
      <c r="J270" s="260"/>
      <c r="K270" s="618">
        <f>173558+1</f>
        <v>173559</v>
      </c>
      <c r="L270" s="194" t="s">
        <v>274</v>
      </c>
      <c r="M270" s="194" t="s">
        <v>754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909"/>
      <c r="AB270" s="845"/>
      <c r="AC270" s="198"/>
      <c r="AD270" s="198"/>
    </row>
    <row r="271" spans="1:30" s="843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988</v>
      </c>
      <c r="E271" s="191">
        <v>40690</v>
      </c>
      <c r="F271" s="192" t="s">
        <v>876</v>
      </c>
      <c r="G271" s="502" t="s">
        <v>869</v>
      </c>
      <c r="H271" s="7" t="s">
        <v>756</v>
      </c>
      <c r="I271" s="260">
        <v>4</v>
      </c>
      <c r="J271" s="260">
        <v>16433</v>
      </c>
      <c r="K271" s="618">
        <v>65732</v>
      </c>
      <c r="L271" s="194" t="s">
        <v>274</v>
      </c>
      <c r="M271" s="194" t="s">
        <v>181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909"/>
      <c r="AB271" s="845"/>
      <c r="AC271" s="198"/>
      <c r="AD271" s="198"/>
    </row>
    <row r="272" spans="1:30" s="843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988</v>
      </c>
      <c r="E272" s="191">
        <v>40690</v>
      </c>
      <c r="F272" s="192" t="s">
        <v>877</v>
      </c>
      <c r="G272" s="502" t="s">
        <v>869</v>
      </c>
      <c r="H272" s="7" t="s">
        <v>756</v>
      </c>
      <c r="I272" s="260">
        <v>24</v>
      </c>
      <c r="J272" s="260">
        <v>15538</v>
      </c>
      <c r="K272" s="618">
        <v>372912</v>
      </c>
      <c r="L272" s="194" t="s">
        <v>274</v>
      </c>
      <c r="M272" s="194" t="s">
        <v>181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909"/>
      <c r="AB272" s="845"/>
      <c r="AC272" s="198"/>
      <c r="AD272" s="198"/>
    </row>
    <row r="273" spans="1:30" s="843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988</v>
      </c>
      <c r="E273" s="191">
        <v>40690</v>
      </c>
      <c r="F273" s="850" t="s">
        <v>878</v>
      </c>
      <c r="G273" s="502" t="s">
        <v>869</v>
      </c>
      <c r="H273" s="7" t="s">
        <v>756</v>
      </c>
      <c r="I273" s="260">
        <v>364</v>
      </c>
      <c r="J273" s="260">
        <v>17124</v>
      </c>
      <c r="K273" s="618">
        <v>6233136</v>
      </c>
      <c r="L273" s="194" t="s">
        <v>274</v>
      </c>
      <c r="M273" s="194" t="s">
        <v>181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909"/>
      <c r="AB273" s="845"/>
      <c r="AC273" s="198"/>
      <c r="AD273" s="198"/>
    </row>
    <row r="274" spans="1:30" s="843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988</v>
      </c>
      <c r="E274" s="191">
        <v>40690</v>
      </c>
      <c r="F274" s="192" t="s">
        <v>879</v>
      </c>
      <c r="G274" s="502" t="s">
        <v>869</v>
      </c>
      <c r="H274" s="7" t="s">
        <v>756</v>
      </c>
      <c r="I274" s="260">
        <v>2</v>
      </c>
      <c r="J274" s="260">
        <v>12738</v>
      </c>
      <c r="K274" s="618">
        <v>25476</v>
      </c>
      <c r="L274" s="194" t="s">
        <v>274</v>
      </c>
      <c r="M274" s="194" t="s">
        <v>181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909"/>
      <c r="AB274" s="198"/>
      <c r="AC274" s="198"/>
      <c r="AD274" s="198"/>
    </row>
    <row r="275" spans="1:30" s="843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988</v>
      </c>
      <c r="E275" s="191">
        <v>40690</v>
      </c>
      <c r="F275" s="192" t="s">
        <v>880</v>
      </c>
      <c r="G275" s="502" t="s">
        <v>869</v>
      </c>
      <c r="H275" s="7" t="s">
        <v>756</v>
      </c>
      <c r="I275" s="260">
        <v>10</v>
      </c>
      <c r="J275" s="260">
        <v>14997</v>
      </c>
      <c r="K275" s="618">
        <v>149970</v>
      </c>
      <c r="L275" s="194" t="s">
        <v>274</v>
      </c>
      <c r="M275" s="194" t="s">
        <v>181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909"/>
      <c r="AB275" s="198"/>
      <c r="AC275" s="198"/>
      <c r="AD275" s="198"/>
    </row>
    <row r="276" spans="1:30" s="845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988</v>
      </c>
      <c r="E276" s="191">
        <v>40690</v>
      </c>
      <c r="F276" s="192" t="s">
        <v>881</v>
      </c>
      <c r="G276" s="502" t="s">
        <v>869</v>
      </c>
      <c r="H276" s="7" t="s">
        <v>756</v>
      </c>
      <c r="I276" s="260">
        <v>414</v>
      </c>
      <c r="J276" s="260">
        <v>16852</v>
      </c>
      <c r="K276" s="618">
        <v>6976728</v>
      </c>
      <c r="L276" s="194" t="s">
        <v>274</v>
      </c>
      <c r="M276" s="194" t="s">
        <v>181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909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988</v>
      </c>
      <c r="E277" s="191">
        <v>40690</v>
      </c>
      <c r="F277" s="192" t="s">
        <v>882</v>
      </c>
      <c r="G277" s="502" t="s">
        <v>869</v>
      </c>
      <c r="H277" s="7" t="s">
        <v>756</v>
      </c>
      <c r="I277" s="260">
        <v>1380</v>
      </c>
      <c r="J277" s="260">
        <v>14135</v>
      </c>
      <c r="K277" s="618">
        <v>19506300</v>
      </c>
      <c r="L277" s="194" t="s">
        <v>274</v>
      </c>
      <c r="M277" s="194" t="s">
        <v>181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909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988</v>
      </c>
      <c r="E278" s="191">
        <v>40690</v>
      </c>
      <c r="F278" s="192" t="s">
        <v>883</v>
      </c>
      <c r="G278" s="502" t="s">
        <v>869</v>
      </c>
      <c r="H278" s="7" t="s">
        <v>756</v>
      </c>
      <c r="I278" s="260">
        <v>1127</v>
      </c>
      <c r="J278" s="260">
        <v>14920</v>
      </c>
      <c r="K278" s="618">
        <v>16814840</v>
      </c>
      <c r="L278" s="194" t="s">
        <v>274</v>
      </c>
      <c r="M278" s="194" t="s">
        <v>181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909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988</v>
      </c>
      <c r="E279" s="191">
        <v>40690</v>
      </c>
      <c r="F279" s="192" t="s">
        <v>859</v>
      </c>
      <c r="G279" s="502" t="s">
        <v>869</v>
      </c>
      <c r="H279" s="7" t="s">
        <v>756</v>
      </c>
      <c r="I279" s="260"/>
      <c r="J279" s="260"/>
      <c r="K279" s="618">
        <v>5014509</v>
      </c>
      <c r="L279" s="194" t="s">
        <v>274</v>
      </c>
      <c r="M279" s="194" t="s">
        <v>754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909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981</v>
      </c>
      <c r="E280" s="191">
        <v>40690</v>
      </c>
      <c r="F280" s="192" t="s">
        <v>843</v>
      </c>
      <c r="G280" s="502" t="s">
        <v>609</v>
      </c>
      <c r="H280" s="7" t="s">
        <v>757</v>
      </c>
      <c r="I280" s="262">
        <v>98</v>
      </c>
      <c r="J280" s="262">
        <v>17821.5</v>
      </c>
      <c r="K280" s="618">
        <f t="shared" ref="K280:K311" si="24">ROUND(I280*J280,0)</f>
        <v>1746507</v>
      </c>
      <c r="L280" s="869" t="s">
        <v>179</v>
      </c>
      <c r="M280" s="869" t="s">
        <v>169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909"/>
      <c r="AB280" s="845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981</v>
      </c>
      <c r="E281" s="191">
        <v>40690</v>
      </c>
      <c r="F281" s="192" t="s">
        <v>844</v>
      </c>
      <c r="G281" s="502" t="s">
        <v>609</v>
      </c>
      <c r="H281" s="7" t="s">
        <v>757</v>
      </c>
      <c r="I281" s="260">
        <v>177</v>
      </c>
      <c r="J281" s="260">
        <v>13728.152542372882</v>
      </c>
      <c r="K281" s="618">
        <f t="shared" si="24"/>
        <v>2429883</v>
      </c>
      <c r="L281" s="869" t="s">
        <v>179</v>
      </c>
      <c r="M281" s="869" t="s">
        <v>169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909"/>
      <c r="AB281" s="845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981</v>
      </c>
      <c r="E282" s="191">
        <v>40690</v>
      </c>
      <c r="F282" s="192" t="s">
        <v>845</v>
      </c>
      <c r="G282" s="502" t="s">
        <v>609</v>
      </c>
      <c r="H282" s="7" t="s">
        <v>757</v>
      </c>
      <c r="I282" s="260">
        <v>205</v>
      </c>
      <c r="J282" s="260">
        <v>17799.141463414635</v>
      </c>
      <c r="K282" s="618">
        <f t="shared" si="24"/>
        <v>3648824</v>
      </c>
      <c r="L282" s="869" t="s">
        <v>179</v>
      </c>
      <c r="M282" s="869" t="s">
        <v>169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909"/>
      <c r="AB282" s="845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981</v>
      </c>
      <c r="E283" s="191">
        <v>40690</v>
      </c>
      <c r="F283" s="192" t="s">
        <v>853</v>
      </c>
      <c r="G283" s="502" t="s">
        <v>609</v>
      </c>
      <c r="H283" s="7" t="s">
        <v>757</v>
      </c>
      <c r="I283" s="260">
        <v>283</v>
      </c>
      <c r="J283" s="260">
        <v>8627.5088339222621</v>
      </c>
      <c r="K283" s="618">
        <f t="shared" si="24"/>
        <v>2441585</v>
      </c>
      <c r="L283" s="869" t="s">
        <v>179</v>
      </c>
      <c r="M283" s="869" t="s">
        <v>169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909"/>
      <c r="AB283" s="845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981</v>
      </c>
      <c r="E284" s="191">
        <v>40690</v>
      </c>
      <c r="F284" s="192" t="s">
        <v>846</v>
      </c>
      <c r="G284" s="502" t="s">
        <v>609</v>
      </c>
      <c r="H284" s="7" t="s">
        <v>757</v>
      </c>
      <c r="I284" s="260">
        <v>493</v>
      </c>
      <c r="J284" s="260">
        <v>6982.8945233265722</v>
      </c>
      <c r="K284" s="618">
        <f t="shared" si="24"/>
        <v>3442567</v>
      </c>
      <c r="L284" s="869" t="s">
        <v>179</v>
      </c>
      <c r="M284" s="869" t="s">
        <v>169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909"/>
      <c r="AB284" s="845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981</v>
      </c>
      <c r="E285" s="191">
        <v>40690</v>
      </c>
      <c r="F285" s="192" t="s">
        <v>847</v>
      </c>
      <c r="G285" s="502" t="s">
        <v>609</v>
      </c>
      <c r="H285" s="7" t="s">
        <v>757</v>
      </c>
      <c r="I285" s="260">
        <v>398</v>
      </c>
      <c r="J285" s="260">
        <v>7190.510050251256</v>
      </c>
      <c r="K285" s="618">
        <f t="shared" si="24"/>
        <v>2861823</v>
      </c>
      <c r="L285" s="869" t="s">
        <v>179</v>
      </c>
      <c r="M285" s="869" t="s">
        <v>169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09"/>
      <c r="AB285" s="845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981</v>
      </c>
      <c r="E286" s="191">
        <v>40690</v>
      </c>
      <c r="F286" s="192" t="s">
        <v>848</v>
      </c>
      <c r="G286" s="502" t="s">
        <v>609</v>
      </c>
      <c r="H286" s="7" t="s">
        <v>757</v>
      </c>
      <c r="I286" s="260">
        <v>98</v>
      </c>
      <c r="J286" s="260">
        <v>13728.887755102041</v>
      </c>
      <c r="K286" s="618">
        <f t="shared" si="24"/>
        <v>1345431</v>
      </c>
      <c r="L286" s="869" t="s">
        <v>179</v>
      </c>
      <c r="M286" s="869" t="s">
        <v>169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09"/>
      <c r="AB286" s="845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982</v>
      </c>
      <c r="E287" s="191">
        <v>40690</v>
      </c>
      <c r="F287" s="192" t="s">
        <v>851</v>
      </c>
      <c r="G287" s="502" t="s">
        <v>849</v>
      </c>
      <c r="H287" s="7" t="s">
        <v>757</v>
      </c>
      <c r="I287" s="260">
        <v>191</v>
      </c>
      <c r="J287" s="260">
        <v>17288.172774869108</v>
      </c>
      <c r="K287" s="618">
        <f t="shared" si="24"/>
        <v>3302041</v>
      </c>
      <c r="L287" s="869" t="s">
        <v>179</v>
      </c>
      <c r="M287" s="869" t="s">
        <v>169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09"/>
      <c r="AB287" s="845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982</v>
      </c>
      <c r="E288" s="191">
        <v>40690</v>
      </c>
      <c r="F288" s="192" t="s">
        <v>852</v>
      </c>
      <c r="G288" s="502" t="s">
        <v>849</v>
      </c>
      <c r="H288" s="7" t="s">
        <v>757</v>
      </c>
      <c r="I288" s="260">
        <v>206</v>
      </c>
      <c r="J288" s="260">
        <v>14857.509708737864</v>
      </c>
      <c r="K288" s="618">
        <f t="shared" si="24"/>
        <v>3060647</v>
      </c>
      <c r="L288" s="869" t="s">
        <v>179</v>
      </c>
      <c r="M288" s="869" t="s">
        <v>169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09"/>
      <c r="AB288" s="845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983</v>
      </c>
      <c r="E289" s="191">
        <v>40690</v>
      </c>
      <c r="F289" s="192" t="s">
        <v>854</v>
      </c>
      <c r="G289" s="502" t="s">
        <v>850</v>
      </c>
      <c r="H289" s="7" t="s">
        <v>756</v>
      </c>
      <c r="I289" s="260">
        <v>50</v>
      </c>
      <c r="J289" s="260">
        <v>12189.5</v>
      </c>
      <c r="K289" s="618">
        <f t="shared" si="24"/>
        <v>609475</v>
      </c>
      <c r="L289" s="869" t="s">
        <v>179</v>
      </c>
      <c r="M289" s="869" t="s">
        <v>169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09"/>
      <c r="AB289" s="845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983</v>
      </c>
      <c r="E290" s="191">
        <v>40690</v>
      </c>
      <c r="F290" s="192" t="s">
        <v>779</v>
      </c>
      <c r="G290" s="502" t="s">
        <v>850</v>
      </c>
      <c r="H290" s="7" t="s">
        <v>756</v>
      </c>
      <c r="I290" s="260">
        <v>300</v>
      </c>
      <c r="J290" s="260">
        <v>2471.7633333333333</v>
      </c>
      <c r="K290" s="618">
        <f t="shared" si="24"/>
        <v>741529</v>
      </c>
      <c r="L290" s="869" t="s">
        <v>179</v>
      </c>
      <c r="M290" s="869" t="s">
        <v>169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09"/>
      <c r="AB290" s="845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983</v>
      </c>
      <c r="E291" s="191">
        <v>40690</v>
      </c>
      <c r="F291" s="192" t="s">
        <v>855</v>
      </c>
      <c r="G291" s="502" t="s">
        <v>850</v>
      </c>
      <c r="H291" s="7" t="s">
        <v>756</v>
      </c>
      <c r="I291" s="260">
        <v>7</v>
      </c>
      <c r="J291" s="260">
        <v>17484.571428571428</v>
      </c>
      <c r="K291" s="618">
        <f t="shared" si="24"/>
        <v>122392</v>
      </c>
      <c r="L291" s="869" t="s">
        <v>179</v>
      </c>
      <c r="M291" s="869" t="s">
        <v>169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09"/>
      <c r="AB291" s="845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983</v>
      </c>
      <c r="E292" s="191">
        <v>40690</v>
      </c>
      <c r="F292" s="192" t="s">
        <v>856</v>
      </c>
      <c r="G292" s="502" t="s">
        <v>850</v>
      </c>
      <c r="H292" s="7" t="s">
        <v>756</v>
      </c>
      <c r="I292" s="260">
        <v>7</v>
      </c>
      <c r="J292" s="260">
        <v>17484.571428571428</v>
      </c>
      <c r="K292" s="618">
        <f t="shared" si="24"/>
        <v>122392</v>
      </c>
      <c r="L292" s="869" t="s">
        <v>179</v>
      </c>
      <c r="M292" s="869" t="s">
        <v>169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09"/>
      <c r="AB292" s="845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983</v>
      </c>
      <c r="E293" s="191">
        <v>40690</v>
      </c>
      <c r="F293" s="192" t="s">
        <v>854</v>
      </c>
      <c r="G293" s="502" t="s">
        <v>850</v>
      </c>
      <c r="H293" s="7" t="s">
        <v>756</v>
      </c>
      <c r="I293" s="260">
        <v>250</v>
      </c>
      <c r="J293" s="260">
        <v>12946.512000000001</v>
      </c>
      <c r="K293" s="618">
        <f t="shared" si="24"/>
        <v>3236628</v>
      </c>
      <c r="L293" s="869" t="s">
        <v>179</v>
      </c>
      <c r="M293" s="869" t="s">
        <v>169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09"/>
      <c r="AB293" s="845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983</v>
      </c>
      <c r="E294" s="191">
        <v>40690</v>
      </c>
      <c r="F294" s="192" t="s">
        <v>857</v>
      </c>
      <c r="G294" s="502" t="s">
        <v>850</v>
      </c>
      <c r="H294" s="7" t="s">
        <v>756</v>
      </c>
      <c r="I294" s="260">
        <v>90</v>
      </c>
      <c r="J294" s="260">
        <v>15310.011111111111</v>
      </c>
      <c r="K294" s="618">
        <f t="shared" si="24"/>
        <v>1377901</v>
      </c>
      <c r="L294" s="869" t="s">
        <v>179</v>
      </c>
      <c r="M294" s="869" t="s">
        <v>169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09"/>
      <c r="AB294" s="845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983</v>
      </c>
      <c r="E295" s="191">
        <v>40690</v>
      </c>
      <c r="F295" s="192" t="s">
        <v>779</v>
      </c>
      <c r="G295" s="502" t="s">
        <v>850</v>
      </c>
      <c r="H295" s="7" t="s">
        <v>756</v>
      </c>
      <c r="I295" s="260">
        <v>90</v>
      </c>
      <c r="J295" s="260">
        <v>3584.0111111111109</v>
      </c>
      <c r="K295" s="618">
        <f t="shared" si="24"/>
        <v>322561</v>
      </c>
      <c r="L295" s="869" t="s">
        <v>179</v>
      </c>
      <c r="M295" s="869" t="s">
        <v>169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09"/>
      <c r="AB295" s="845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984</v>
      </c>
      <c r="E296" s="191">
        <v>40690</v>
      </c>
      <c r="F296" s="192" t="s">
        <v>860</v>
      </c>
      <c r="G296" s="502" t="s">
        <v>858</v>
      </c>
      <c r="H296" s="7" t="s">
        <v>756</v>
      </c>
      <c r="I296" s="260">
        <v>2</v>
      </c>
      <c r="J296" s="260">
        <v>7759.5</v>
      </c>
      <c r="K296" s="618">
        <f t="shared" si="24"/>
        <v>15519</v>
      </c>
      <c r="L296" s="869" t="s">
        <v>179</v>
      </c>
      <c r="M296" s="869" t="s">
        <v>169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09"/>
      <c r="AB296" s="845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984</v>
      </c>
      <c r="E297" s="191">
        <v>40690</v>
      </c>
      <c r="F297" s="192" t="s">
        <v>861</v>
      </c>
      <c r="G297" s="502" t="s">
        <v>858</v>
      </c>
      <c r="H297" s="7" t="s">
        <v>756</v>
      </c>
      <c r="I297" s="260">
        <v>2</v>
      </c>
      <c r="J297" s="260">
        <v>3655.5</v>
      </c>
      <c r="K297" s="618">
        <f t="shared" si="24"/>
        <v>7311</v>
      </c>
      <c r="L297" s="869" t="s">
        <v>179</v>
      </c>
      <c r="M297" s="869" t="s">
        <v>169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09"/>
      <c r="AB297" s="845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984</v>
      </c>
      <c r="E298" s="191">
        <v>40690</v>
      </c>
      <c r="F298" s="192" t="s">
        <v>862</v>
      </c>
      <c r="G298" s="502" t="s">
        <v>858</v>
      </c>
      <c r="H298" s="7" t="s">
        <v>756</v>
      </c>
      <c r="I298" s="260">
        <v>195</v>
      </c>
      <c r="J298" s="260">
        <v>7890.7948717948721</v>
      </c>
      <c r="K298" s="618">
        <f t="shared" si="24"/>
        <v>1538705</v>
      </c>
      <c r="L298" s="869" t="s">
        <v>179</v>
      </c>
      <c r="M298" s="869" t="s">
        <v>169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09"/>
      <c r="AB298" s="845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984</v>
      </c>
      <c r="E299" s="191">
        <v>40690</v>
      </c>
      <c r="F299" s="192" t="s">
        <v>863</v>
      </c>
      <c r="G299" s="502" t="s">
        <v>858</v>
      </c>
      <c r="H299" s="7" t="s">
        <v>756</v>
      </c>
      <c r="I299" s="260">
        <v>20</v>
      </c>
      <c r="J299" s="260">
        <v>16143.5</v>
      </c>
      <c r="K299" s="618">
        <f t="shared" si="24"/>
        <v>322870</v>
      </c>
      <c r="L299" s="869" t="s">
        <v>179</v>
      </c>
      <c r="M299" s="869" t="s">
        <v>169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09"/>
      <c r="AB299" s="845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984</v>
      </c>
      <c r="E300" s="191">
        <v>40690</v>
      </c>
      <c r="F300" s="192" t="s">
        <v>864</v>
      </c>
      <c r="G300" s="502" t="s">
        <v>858</v>
      </c>
      <c r="H300" s="7" t="s">
        <v>756</v>
      </c>
      <c r="I300" s="260">
        <v>1</v>
      </c>
      <c r="J300" s="260">
        <v>6972</v>
      </c>
      <c r="K300" s="618">
        <f t="shared" si="24"/>
        <v>6972</v>
      </c>
      <c r="L300" s="869" t="s">
        <v>179</v>
      </c>
      <c r="M300" s="869" t="s">
        <v>169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09"/>
      <c r="AB300" s="845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984</v>
      </c>
      <c r="E301" s="191">
        <v>40690</v>
      </c>
      <c r="F301" s="192" t="s">
        <v>865</v>
      </c>
      <c r="G301" s="502" t="s">
        <v>858</v>
      </c>
      <c r="H301" s="7" t="s">
        <v>756</v>
      </c>
      <c r="I301" s="260">
        <v>4</v>
      </c>
      <c r="J301" s="260">
        <v>5808.5</v>
      </c>
      <c r="K301" s="618">
        <f t="shared" si="24"/>
        <v>23234</v>
      </c>
      <c r="L301" s="869" t="s">
        <v>179</v>
      </c>
      <c r="M301" s="869" t="s">
        <v>169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09"/>
      <c r="AB301" s="845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984</v>
      </c>
      <c r="E302" s="191">
        <v>40690</v>
      </c>
      <c r="F302" s="192" t="s">
        <v>866</v>
      </c>
      <c r="G302" s="502" t="s">
        <v>858</v>
      </c>
      <c r="H302" s="7" t="s">
        <v>756</v>
      </c>
      <c r="I302" s="260">
        <v>2</v>
      </c>
      <c r="J302" s="260">
        <v>3584</v>
      </c>
      <c r="K302" s="618">
        <f t="shared" si="24"/>
        <v>7168</v>
      </c>
      <c r="L302" s="869" t="s">
        <v>179</v>
      </c>
      <c r="M302" s="869" t="s">
        <v>169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09"/>
      <c r="AB302" s="845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984</v>
      </c>
      <c r="E303" s="191">
        <v>40690</v>
      </c>
      <c r="F303" s="192" t="s">
        <v>867</v>
      </c>
      <c r="G303" s="502" t="s">
        <v>858</v>
      </c>
      <c r="H303" s="7" t="s">
        <v>756</v>
      </c>
      <c r="I303" s="260">
        <v>2</v>
      </c>
      <c r="J303" s="260">
        <v>8627.5</v>
      </c>
      <c r="K303" s="618">
        <f t="shared" si="24"/>
        <v>17255</v>
      </c>
      <c r="L303" s="869" t="s">
        <v>179</v>
      </c>
      <c r="M303" s="869" t="s">
        <v>169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09"/>
      <c r="AB303" s="845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985</v>
      </c>
      <c r="E304" s="191">
        <v>40690</v>
      </c>
      <c r="F304" s="192" t="s">
        <v>873</v>
      </c>
      <c r="G304" s="502" t="s">
        <v>868</v>
      </c>
      <c r="H304" s="7" t="s">
        <v>756</v>
      </c>
      <c r="I304" s="260">
        <v>2</v>
      </c>
      <c r="J304" s="260">
        <v>7190.5</v>
      </c>
      <c r="K304" s="618">
        <f t="shared" si="24"/>
        <v>14381</v>
      </c>
      <c r="L304" s="869" t="s">
        <v>179</v>
      </c>
      <c r="M304" s="869" t="s">
        <v>169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09"/>
      <c r="AB304" s="845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985</v>
      </c>
      <c r="E305" s="191">
        <v>40690</v>
      </c>
      <c r="F305" s="192" t="s">
        <v>874</v>
      </c>
      <c r="G305" s="502" t="s">
        <v>868</v>
      </c>
      <c r="H305" s="7" t="s">
        <v>756</v>
      </c>
      <c r="I305" s="260">
        <v>5</v>
      </c>
      <c r="J305" s="260">
        <v>6971.6</v>
      </c>
      <c r="K305" s="618">
        <f t="shared" si="24"/>
        <v>34858</v>
      </c>
      <c r="L305" s="869" t="s">
        <v>179</v>
      </c>
      <c r="M305" s="869" t="s">
        <v>169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09"/>
      <c r="AB305" s="845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985</v>
      </c>
      <c r="E306" s="191">
        <v>40690</v>
      </c>
      <c r="F306" s="192" t="s">
        <v>875</v>
      </c>
      <c r="G306" s="502" t="s">
        <v>868</v>
      </c>
      <c r="H306" s="7" t="s">
        <v>756</v>
      </c>
      <c r="I306" s="260">
        <v>86</v>
      </c>
      <c r="J306" s="260">
        <v>18284.511627906977</v>
      </c>
      <c r="K306" s="618">
        <f t="shared" si="24"/>
        <v>1572468</v>
      </c>
      <c r="L306" s="869" t="s">
        <v>179</v>
      </c>
      <c r="M306" s="869" t="s">
        <v>169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09"/>
      <c r="AB306" s="845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988</v>
      </c>
      <c r="E307" s="191">
        <v>40690</v>
      </c>
      <c r="F307" s="192" t="s">
        <v>876</v>
      </c>
      <c r="G307" s="502" t="s">
        <v>869</v>
      </c>
      <c r="H307" s="7" t="s">
        <v>756</v>
      </c>
      <c r="I307" s="260">
        <v>4</v>
      </c>
      <c r="J307" s="260">
        <v>14857.5</v>
      </c>
      <c r="K307" s="618">
        <f t="shared" si="24"/>
        <v>59430</v>
      </c>
      <c r="L307" s="869" t="s">
        <v>179</v>
      </c>
      <c r="M307" s="869" t="s">
        <v>169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09"/>
      <c r="AB307" s="845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988</v>
      </c>
      <c r="E308" s="191">
        <v>40690</v>
      </c>
      <c r="F308" s="192" t="s">
        <v>877</v>
      </c>
      <c r="G308" s="502" t="s">
        <v>869</v>
      </c>
      <c r="H308" s="7" t="s">
        <v>756</v>
      </c>
      <c r="I308" s="260">
        <v>24</v>
      </c>
      <c r="J308" s="260">
        <v>14857.5</v>
      </c>
      <c r="K308" s="618">
        <f t="shared" si="24"/>
        <v>356580</v>
      </c>
      <c r="L308" s="869" t="s">
        <v>179</v>
      </c>
      <c r="M308" s="869" t="s">
        <v>169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09"/>
      <c r="AB308" s="845"/>
    </row>
    <row r="309" spans="1:30" s="610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988</v>
      </c>
      <c r="E309" s="191">
        <v>40690</v>
      </c>
      <c r="F309" s="192" t="s">
        <v>878</v>
      </c>
      <c r="G309" s="502" t="s">
        <v>869</v>
      </c>
      <c r="H309" s="7" t="s">
        <v>756</v>
      </c>
      <c r="I309" s="260">
        <v>364</v>
      </c>
      <c r="J309" s="260">
        <v>15447.975274725275</v>
      </c>
      <c r="K309" s="618">
        <f t="shared" si="24"/>
        <v>5623063</v>
      </c>
      <c r="L309" s="869" t="s">
        <v>179</v>
      </c>
      <c r="M309" s="869" t="s">
        <v>169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09"/>
      <c r="AB309" s="845"/>
      <c r="AC309" s="198"/>
      <c r="AD309" s="198"/>
    </row>
    <row r="310" spans="1:30" s="610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988</v>
      </c>
      <c r="E310" s="191">
        <v>40690</v>
      </c>
      <c r="F310" s="192" t="s">
        <v>879</v>
      </c>
      <c r="G310" s="502" t="s">
        <v>869</v>
      </c>
      <c r="H310" s="7" t="s">
        <v>756</v>
      </c>
      <c r="I310" s="260">
        <v>2</v>
      </c>
      <c r="J310" s="260">
        <v>9979.5</v>
      </c>
      <c r="K310" s="618">
        <f t="shared" si="24"/>
        <v>19959</v>
      </c>
      <c r="L310" s="869" t="s">
        <v>179</v>
      </c>
      <c r="M310" s="869" t="s">
        <v>169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09"/>
      <c r="AB310" s="845"/>
      <c r="AC310" s="198"/>
      <c r="AD310" s="198"/>
    </row>
    <row r="311" spans="1:30" s="610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988</v>
      </c>
      <c r="E311" s="191">
        <v>40690</v>
      </c>
      <c r="F311" s="192" t="s">
        <v>880</v>
      </c>
      <c r="G311" s="502" t="s">
        <v>869</v>
      </c>
      <c r="H311" s="7" t="s">
        <v>756</v>
      </c>
      <c r="I311" s="260">
        <v>10</v>
      </c>
      <c r="J311" s="260">
        <v>13217.5</v>
      </c>
      <c r="K311" s="618">
        <f t="shared" si="24"/>
        <v>132175</v>
      </c>
      <c r="L311" s="869" t="s">
        <v>179</v>
      </c>
      <c r="M311" s="869" t="s">
        <v>169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09"/>
      <c r="AB311" s="845"/>
      <c r="AC311" s="198"/>
      <c r="AD311" s="198"/>
    </row>
    <row r="312" spans="1:30" s="610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988</v>
      </c>
      <c r="E312" s="191">
        <v>40690</v>
      </c>
      <c r="F312" s="192" t="s">
        <v>881</v>
      </c>
      <c r="G312" s="502" t="s">
        <v>869</v>
      </c>
      <c r="H312" s="7" t="s">
        <v>756</v>
      </c>
      <c r="I312" s="260">
        <v>414</v>
      </c>
      <c r="J312" s="260">
        <v>15420.381642512077</v>
      </c>
      <c r="K312" s="618">
        <f t="shared" ref="K312:K343" si="26">ROUND(I312*J312,0)</f>
        <v>6384038</v>
      </c>
      <c r="L312" s="869" t="s">
        <v>179</v>
      </c>
      <c r="M312" s="869" t="s">
        <v>169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09"/>
      <c r="AB312" s="845"/>
      <c r="AC312" s="198"/>
      <c r="AD312" s="198"/>
    </row>
    <row r="313" spans="1:30" s="610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988</v>
      </c>
      <c r="E313" s="191">
        <v>40690</v>
      </c>
      <c r="F313" s="192" t="s">
        <v>882</v>
      </c>
      <c r="G313" s="502" t="s">
        <v>869</v>
      </c>
      <c r="H313" s="7" t="s">
        <v>756</v>
      </c>
      <c r="I313" s="260">
        <v>1380</v>
      </c>
      <c r="J313" s="260">
        <v>13959.51304347826</v>
      </c>
      <c r="K313" s="618">
        <f t="shared" si="26"/>
        <v>19264128</v>
      </c>
      <c r="L313" s="869" t="s">
        <v>179</v>
      </c>
      <c r="M313" s="869" t="s">
        <v>169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09"/>
      <c r="AB313" s="845"/>
      <c r="AC313" s="198"/>
      <c r="AD313" s="198"/>
    </row>
    <row r="314" spans="1:30" s="610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988</v>
      </c>
      <c r="E314" s="191">
        <v>40690</v>
      </c>
      <c r="F314" s="192" t="s">
        <v>883</v>
      </c>
      <c r="G314" s="502" t="s">
        <v>869</v>
      </c>
      <c r="H314" s="7" t="s">
        <v>756</v>
      </c>
      <c r="I314" s="260">
        <v>1127</v>
      </c>
      <c r="J314" s="260">
        <v>13970.692990239573</v>
      </c>
      <c r="K314" s="618">
        <f t="shared" si="26"/>
        <v>15744971</v>
      </c>
      <c r="L314" s="869" t="s">
        <v>179</v>
      </c>
      <c r="M314" s="869" t="s">
        <v>169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09"/>
      <c r="AB314" s="845"/>
      <c r="AC314" s="198"/>
      <c r="AD314" s="198"/>
    </row>
    <row r="315" spans="1:30" s="610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7" t="s">
        <v>1124</v>
      </c>
      <c r="E315" s="184">
        <v>40690</v>
      </c>
      <c r="F315" s="189" t="s">
        <v>410</v>
      </c>
      <c r="G315" s="620"/>
      <c r="H315" s="632" t="s">
        <v>1116</v>
      </c>
      <c r="I315" s="851">
        <v>10</v>
      </c>
      <c r="J315" s="260">
        <v>4449</v>
      </c>
      <c r="K315" s="618">
        <f t="shared" si="26"/>
        <v>44490</v>
      </c>
      <c r="L315" s="39" t="s">
        <v>167</v>
      </c>
      <c r="M315" s="731" t="s">
        <v>159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09"/>
      <c r="AB315" s="198"/>
      <c r="AC315" s="198"/>
      <c r="AD315" s="198"/>
    </row>
    <row r="316" spans="1:30" s="610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7" t="s">
        <v>1124</v>
      </c>
      <c r="E316" s="184">
        <v>40690</v>
      </c>
      <c r="F316" s="189" t="s">
        <v>410</v>
      </c>
      <c r="G316" s="620"/>
      <c r="H316" s="632" t="s">
        <v>1116</v>
      </c>
      <c r="I316" s="851">
        <v>17</v>
      </c>
      <c r="J316" s="260">
        <v>4449</v>
      </c>
      <c r="K316" s="618">
        <f t="shared" si="26"/>
        <v>75633</v>
      </c>
      <c r="L316" s="39" t="s">
        <v>167</v>
      </c>
      <c r="M316" s="731" t="s">
        <v>159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09"/>
      <c r="AB316" s="198"/>
      <c r="AC316" s="198"/>
      <c r="AD316" s="198"/>
    </row>
    <row r="317" spans="1:30" s="610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7" t="s">
        <v>1124</v>
      </c>
      <c r="E317" s="184">
        <v>40690</v>
      </c>
      <c r="F317" s="189" t="s">
        <v>410</v>
      </c>
      <c r="G317" s="620"/>
      <c r="H317" s="632" t="s">
        <v>1116</v>
      </c>
      <c r="I317" s="851">
        <v>70</v>
      </c>
      <c r="J317" s="260">
        <v>4449</v>
      </c>
      <c r="K317" s="618">
        <f t="shared" si="26"/>
        <v>311430</v>
      </c>
      <c r="L317" s="39" t="s">
        <v>167</v>
      </c>
      <c r="M317" s="731" t="s">
        <v>159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09"/>
      <c r="AB317" s="198"/>
      <c r="AC317" s="198"/>
      <c r="AD317" s="198"/>
    </row>
    <row r="318" spans="1:30" s="610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7" t="s">
        <v>1124</v>
      </c>
      <c r="E318" s="184">
        <v>40690</v>
      </c>
      <c r="F318" s="189" t="s">
        <v>540</v>
      </c>
      <c r="G318" s="620"/>
      <c r="H318" s="632" t="s">
        <v>1116</v>
      </c>
      <c r="I318" s="260">
        <v>140</v>
      </c>
      <c r="J318" s="260">
        <v>8013</v>
      </c>
      <c r="K318" s="618">
        <f t="shared" si="26"/>
        <v>1121820</v>
      </c>
      <c r="L318" s="39" t="s">
        <v>167</v>
      </c>
      <c r="M318" s="731" t="s">
        <v>159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09"/>
      <c r="AB318" s="198"/>
      <c r="AC318" s="198"/>
      <c r="AD318" s="198"/>
    </row>
    <row r="319" spans="1:30" s="610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7" t="s">
        <v>1124</v>
      </c>
      <c r="E319" s="184">
        <v>40690</v>
      </c>
      <c r="F319" s="302" t="s">
        <v>504</v>
      </c>
      <c r="G319" s="502"/>
      <c r="H319" s="632" t="s">
        <v>1116</v>
      </c>
      <c r="I319" s="260">
        <v>5</v>
      </c>
      <c r="J319" s="260">
        <v>25200</v>
      </c>
      <c r="K319" s="618">
        <f t="shared" si="26"/>
        <v>126000</v>
      </c>
      <c r="L319" s="39" t="s">
        <v>167</v>
      </c>
      <c r="M319" s="731" t="s">
        <v>159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09"/>
      <c r="AB319" s="198"/>
      <c r="AC319" s="198"/>
      <c r="AD319" s="198"/>
    </row>
    <row r="320" spans="1:30" s="610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7" t="s">
        <v>1124</v>
      </c>
      <c r="E320" s="184">
        <v>40690</v>
      </c>
      <c r="F320" s="189" t="s">
        <v>530</v>
      </c>
      <c r="G320" s="502"/>
      <c r="H320" s="632" t="s">
        <v>1116</v>
      </c>
      <c r="I320" s="262">
        <v>68</v>
      </c>
      <c r="J320" s="262">
        <v>8620</v>
      </c>
      <c r="K320" s="618">
        <f t="shared" si="26"/>
        <v>586160</v>
      </c>
      <c r="L320" s="39" t="s">
        <v>167</v>
      </c>
      <c r="M320" s="731" t="s">
        <v>159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09"/>
      <c r="AB320" s="198"/>
      <c r="AC320" s="198"/>
      <c r="AD320" s="198"/>
    </row>
    <row r="321" spans="1:30" s="610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7" t="s">
        <v>1124</v>
      </c>
      <c r="E321" s="184">
        <v>40690</v>
      </c>
      <c r="F321" s="189" t="s">
        <v>520</v>
      </c>
      <c r="G321" s="502"/>
      <c r="H321" s="632" t="s">
        <v>1116</v>
      </c>
      <c r="I321" s="260">
        <v>300</v>
      </c>
      <c r="J321" s="260">
        <v>11587</v>
      </c>
      <c r="K321" s="618">
        <f t="shared" si="26"/>
        <v>3476100</v>
      </c>
      <c r="L321" s="39" t="s">
        <v>167</v>
      </c>
      <c r="M321" s="731" t="s">
        <v>159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09"/>
      <c r="AB321" s="198"/>
      <c r="AC321" s="198"/>
      <c r="AD321" s="198"/>
    </row>
    <row r="322" spans="1:30" s="610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7" t="s">
        <v>1124</v>
      </c>
      <c r="E322" s="184">
        <v>40690</v>
      </c>
      <c r="F322" s="302" t="s">
        <v>504</v>
      </c>
      <c r="G322" s="502"/>
      <c r="H322" s="632" t="s">
        <v>1116</v>
      </c>
      <c r="I322" s="260">
        <v>21</v>
      </c>
      <c r="J322" s="260">
        <v>25200</v>
      </c>
      <c r="K322" s="618">
        <f t="shared" si="26"/>
        <v>529200</v>
      </c>
      <c r="L322" s="39" t="s">
        <v>167</v>
      </c>
      <c r="M322" s="731" t="s">
        <v>159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09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1136</v>
      </c>
      <c r="E323" s="191">
        <v>40690</v>
      </c>
      <c r="F323" s="460" t="s">
        <v>843</v>
      </c>
      <c r="G323" s="502"/>
      <c r="H323" s="632" t="s">
        <v>1116</v>
      </c>
      <c r="I323" s="260">
        <v>98</v>
      </c>
      <c r="J323" s="260">
        <v>17821.5</v>
      </c>
      <c r="K323" s="618">
        <f t="shared" si="26"/>
        <v>1746507</v>
      </c>
      <c r="L323" s="39" t="s">
        <v>169</v>
      </c>
      <c r="M323" s="731" t="s">
        <v>167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09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1136</v>
      </c>
      <c r="E324" s="191">
        <v>40690</v>
      </c>
      <c r="F324" s="192" t="s">
        <v>844</v>
      </c>
      <c r="G324" s="502"/>
      <c r="H324" s="632" t="s">
        <v>1116</v>
      </c>
      <c r="I324" s="260">
        <v>177</v>
      </c>
      <c r="J324" s="260">
        <v>13728.152542372882</v>
      </c>
      <c r="K324" s="618">
        <f t="shared" si="26"/>
        <v>2429883</v>
      </c>
      <c r="L324" s="39" t="s">
        <v>169</v>
      </c>
      <c r="M324" s="731" t="s">
        <v>167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09"/>
      <c r="AB324" s="198"/>
      <c r="AC324" s="198"/>
      <c r="AD324" s="198"/>
    </row>
    <row r="325" spans="1:30" s="610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1136</v>
      </c>
      <c r="E325" s="191">
        <v>40690</v>
      </c>
      <c r="F325" s="192" t="s">
        <v>845</v>
      </c>
      <c r="G325" s="502"/>
      <c r="H325" s="632" t="s">
        <v>1116</v>
      </c>
      <c r="I325" s="260">
        <v>205</v>
      </c>
      <c r="J325" s="260">
        <v>17799.141463414635</v>
      </c>
      <c r="K325" s="618">
        <f t="shared" si="26"/>
        <v>3648824</v>
      </c>
      <c r="L325" s="39" t="s">
        <v>169</v>
      </c>
      <c r="M325" s="731" t="s">
        <v>167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09"/>
      <c r="AB325" s="198"/>
      <c r="AC325" s="198"/>
      <c r="AD325" s="198"/>
    </row>
    <row r="326" spans="1:30" s="610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1136</v>
      </c>
      <c r="E326" s="191">
        <v>40690</v>
      </c>
      <c r="F326" s="192" t="s">
        <v>853</v>
      </c>
      <c r="G326" s="502"/>
      <c r="H326" s="632" t="s">
        <v>1116</v>
      </c>
      <c r="I326" s="260">
        <v>283</v>
      </c>
      <c r="J326" s="260">
        <v>8627.5088339222621</v>
      </c>
      <c r="K326" s="618">
        <f t="shared" si="26"/>
        <v>2441585</v>
      </c>
      <c r="L326" s="39" t="s">
        <v>169</v>
      </c>
      <c r="M326" s="731" t="s">
        <v>167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09"/>
      <c r="AB326" s="198"/>
      <c r="AC326" s="198"/>
      <c r="AD326" s="198"/>
    </row>
    <row r="327" spans="1:30" s="610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1136</v>
      </c>
      <c r="E327" s="191">
        <v>40690</v>
      </c>
      <c r="F327" s="192" t="s">
        <v>846</v>
      </c>
      <c r="G327" s="502"/>
      <c r="H327" s="632" t="s">
        <v>1116</v>
      </c>
      <c r="I327" s="260">
        <v>493</v>
      </c>
      <c r="J327" s="260">
        <v>6982.8945233265722</v>
      </c>
      <c r="K327" s="618">
        <f t="shared" si="26"/>
        <v>3442567</v>
      </c>
      <c r="L327" s="39" t="s">
        <v>169</v>
      </c>
      <c r="M327" s="731" t="s">
        <v>167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B327" s="198"/>
      <c r="AC327" s="198"/>
      <c r="AD327" s="198"/>
    </row>
    <row r="328" spans="1:30" s="610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1136</v>
      </c>
      <c r="E328" s="191">
        <v>40690</v>
      </c>
      <c r="F328" s="192" t="s">
        <v>847</v>
      </c>
      <c r="G328" s="502"/>
      <c r="H328" s="632" t="s">
        <v>1116</v>
      </c>
      <c r="I328" s="260">
        <v>398</v>
      </c>
      <c r="J328" s="260">
        <v>7190.510050251256</v>
      </c>
      <c r="K328" s="618">
        <f t="shared" si="26"/>
        <v>2861823</v>
      </c>
      <c r="L328" s="39" t="s">
        <v>169</v>
      </c>
      <c r="M328" s="731" t="s">
        <v>167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B328" s="198"/>
      <c r="AC328" s="198"/>
      <c r="AD328" s="198"/>
    </row>
    <row r="329" spans="1:30" s="610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1136</v>
      </c>
      <c r="E329" s="191">
        <v>40690</v>
      </c>
      <c r="F329" s="192" t="s">
        <v>848</v>
      </c>
      <c r="G329" s="502"/>
      <c r="H329" s="632" t="s">
        <v>1116</v>
      </c>
      <c r="I329" s="260">
        <v>98</v>
      </c>
      <c r="J329" s="260">
        <v>13728.887755102041</v>
      </c>
      <c r="K329" s="618">
        <f t="shared" si="26"/>
        <v>1345431</v>
      </c>
      <c r="L329" s="39" t="s">
        <v>169</v>
      </c>
      <c r="M329" s="731" t="s">
        <v>167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1136</v>
      </c>
      <c r="E330" s="191">
        <v>40690</v>
      </c>
      <c r="F330" s="192" t="s">
        <v>851</v>
      </c>
      <c r="G330" s="502"/>
      <c r="H330" s="632" t="s">
        <v>1116</v>
      </c>
      <c r="I330" s="260">
        <v>191</v>
      </c>
      <c r="J330" s="260">
        <v>17288.172774869108</v>
      </c>
      <c r="K330" s="618">
        <f t="shared" si="26"/>
        <v>3302041</v>
      </c>
      <c r="L330" s="39" t="s">
        <v>169</v>
      </c>
      <c r="M330" s="731" t="s">
        <v>167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1136</v>
      </c>
      <c r="E331" s="191">
        <v>40690</v>
      </c>
      <c r="F331" s="192" t="s">
        <v>852</v>
      </c>
      <c r="G331" s="502"/>
      <c r="H331" s="632" t="s">
        <v>1116</v>
      </c>
      <c r="I331" s="260">
        <v>206</v>
      </c>
      <c r="J331" s="260">
        <v>14857.509708737864</v>
      </c>
      <c r="K331" s="618">
        <f t="shared" si="26"/>
        <v>3060647</v>
      </c>
      <c r="L331" s="39" t="s">
        <v>169</v>
      </c>
      <c r="M331" s="731" t="s">
        <v>167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1137</v>
      </c>
      <c r="E332" s="191">
        <v>40690</v>
      </c>
      <c r="F332" s="192" t="s">
        <v>854</v>
      </c>
      <c r="G332" s="502"/>
      <c r="H332" s="632" t="s">
        <v>1116</v>
      </c>
      <c r="I332" s="260">
        <v>50</v>
      </c>
      <c r="J332" s="260">
        <v>12189.5</v>
      </c>
      <c r="K332" s="618">
        <f t="shared" si="26"/>
        <v>609475</v>
      </c>
      <c r="L332" s="39" t="s">
        <v>169</v>
      </c>
      <c r="M332" s="731" t="s">
        <v>167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1137</v>
      </c>
      <c r="E333" s="191">
        <v>40690</v>
      </c>
      <c r="F333" s="192" t="s">
        <v>779</v>
      </c>
      <c r="G333" s="502"/>
      <c r="H333" s="632" t="s">
        <v>1116</v>
      </c>
      <c r="I333" s="260">
        <v>300</v>
      </c>
      <c r="J333" s="260">
        <v>2471.7633333333333</v>
      </c>
      <c r="K333" s="618">
        <f t="shared" si="26"/>
        <v>741529</v>
      </c>
      <c r="L333" s="39" t="s">
        <v>169</v>
      </c>
      <c r="M333" s="731" t="s">
        <v>167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B333" s="198"/>
      <c r="AC333" s="198"/>
      <c r="AD333" s="198"/>
    </row>
    <row r="334" spans="1:30" s="610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1137</v>
      </c>
      <c r="E334" s="191">
        <v>40690</v>
      </c>
      <c r="F334" s="189" t="s">
        <v>855</v>
      </c>
      <c r="G334" s="502"/>
      <c r="H334" s="632" t="s">
        <v>1116</v>
      </c>
      <c r="I334" s="260">
        <v>7</v>
      </c>
      <c r="J334" s="260">
        <v>17484.571428571428</v>
      </c>
      <c r="K334" s="618">
        <f t="shared" si="26"/>
        <v>122392</v>
      </c>
      <c r="L334" s="39" t="s">
        <v>169</v>
      </c>
      <c r="M334" s="731" t="s">
        <v>167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B334" s="198"/>
      <c r="AC334" s="198"/>
      <c r="AD334" s="198"/>
    </row>
    <row r="335" spans="1:30" s="610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1137</v>
      </c>
      <c r="E335" s="191">
        <v>40690</v>
      </c>
      <c r="F335" s="192" t="s">
        <v>856</v>
      </c>
      <c r="G335" s="502"/>
      <c r="H335" s="632" t="s">
        <v>1116</v>
      </c>
      <c r="I335" s="260">
        <v>7</v>
      </c>
      <c r="J335" s="260">
        <v>17484.571428571428</v>
      </c>
      <c r="K335" s="618">
        <f t="shared" si="26"/>
        <v>122392</v>
      </c>
      <c r="L335" s="39" t="s">
        <v>169</v>
      </c>
      <c r="M335" s="731" t="s">
        <v>167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B335" s="198"/>
      <c r="AC335" s="198"/>
      <c r="AD335" s="198"/>
    </row>
    <row r="336" spans="1:30" s="610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1137</v>
      </c>
      <c r="E336" s="191">
        <v>40690</v>
      </c>
      <c r="F336" s="192" t="s">
        <v>854</v>
      </c>
      <c r="G336" s="502"/>
      <c r="H336" s="632" t="s">
        <v>1116</v>
      </c>
      <c r="I336" s="260">
        <v>250</v>
      </c>
      <c r="J336" s="260">
        <v>12946.512000000001</v>
      </c>
      <c r="K336" s="618">
        <f t="shared" si="26"/>
        <v>3236628</v>
      </c>
      <c r="L336" s="39" t="s">
        <v>169</v>
      </c>
      <c r="M336" s="731" t="s">
        <v>167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B336" s="198"/>
      <c r="AC336" s="198"/>
      <c r="AD336" s="198"/>
    </row>
    <row r="337" spans="1:30" s="610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1137</v>
      </c>
      <c r="E337" s="191">
        <v>40690</v>
      </c>
      <c r="F337" s="192" t="s">
        <v>857</v>
      </c>
      <c r="G337" s="502"/>
      <c r="H337" s="632" t="s">
        <v>1116</v>
      </c>
      <c r="I337" s="262">
        <v>90</v>
      </c>
      <c r="J337" s="262">
        <v>15310.011111111111</v>
      </c>
      <c r="K337" s="618">
        <f t="shared" si="26"/>
        <v>1377901</v>
      </c>
      <c r="L337" s="39" t="s">
        <v>169</v>
      </c>
      <c r="M337" s="731" t="s">
        <v>167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B337" s="198"/>
      <c r="AC337" s="198"/>
      <c r="AD337" s="198"/>
    </row>
    <row r="338" spans="1:30" s="610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1137</v>
      </c>
      <c r="E338" s="191">
        <v>40690</v>
      </c>
      <c r="F338" s="192" t="s">
        <v>779</v>
      </c>
      <c r="G338" s="502"/>
      <c r="H338" s="632" t="s">
        <v>1116</v>
      </c>
      <c r="I338" s="262">
        <v>90</v>
      </c>
      <c r="J338" s="262">
        <v>3584.0111111111109</v>
      </c>
      <c r="K338" s="618">
        <f t="shared" si="26"/>
        <v>322561</v>
      </c>
      <c r="L338" s="39" t="s">
        <v>169</v>
      </c>
      <c r="M338" s="731" t="s">
        <v>167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B338" s="198"/>
      <c r="AC338" s="198"/>
      <c r="AD338" s="198"/>
    </row>
    <row r="339" spans="1:30" s="610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1137</v>
      </c>
      <c r="E339" s="191">
        <v>40690</v>
      </c>
      <c r="F339" s="192" t="s">
        <v>860</v>
      </c>
      <c r="G339" s="502"/>
      <c r="H339" s="632" t="s">
        <v>1116</v>
      </c>
      <c r="I339" s="260">
        <v>2</v>
      </c>
      <c r="J339" s="260">
        <v>7759.5</v>
      </c>
      <c r="K339" s="618">
        <f t="shared" si="26"/>
        <v>15519</v>
      </c>
      <c r="L339" s="39" t="s">
        <v>169</v>
      </c>
      <c r="M339" s="731" t="s">
        <v>167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B339" s="198"/>
      <c r="AC339" s="198"/>
      <c r="AD339" s="198"/>
    </row>
    <row r="340" spans="1:30" s="610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1137</v>
      </c>
      <c r="E340" s="191">
        <v>40690</v>
      </c>
      <c r="F340" s="192" t="s">
        <v>861</v>
      </c>
      <c r="G340" s="502"/>
      <c r="H340" s="632" t="s">
        <v>1116</v>
      </c>
      <c r="I340" s="260">
        <v>2</v>
      </c>
      <c r="J340" s="260">
        <v>3655.5</v>
      </c>
      <c r="K340" s="618">
        <f t="shared" si="26"/>
        <v>7311</v>
      </c>
      <c r="L340" s="39" t="s">
        <v>169</v>
      </c>
      <c r="M340" s="731" t="s">
        <v>167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B340" s="198"/>
      <c r="AC340" s="198"/>
      <c r="AD340" s="198"/>
    </row>
    <row r="341" spans="1:30" s="610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1138</v>
      </c>
      <c r="E341" s="191">
        <v>40690</v>
      </c>
      <c r="F341" s="192" t="s">
        <v>862</v>
      </c>
      <c r="G341" s="502"/>
      <c r="H341" s="632" t="s">
        <v>1116</v>
      </c>
      <c r="I341" s="260">
        <v>195</v>
      </c>
      <c r="J341" s="260">
        <v>7890.7948717948721</v>
      </c>
      <c r="K341" s="618">
        <f t="shared" si="26"/>
        <v>1538705</v>
      </c>
      <c r="L341" s="39" t="s">
        <v>169</v>
      </c>
      <c r="M341" s="731" t="s">
        <v>167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B341" s="198"/>
      <c r="AC341" s="198"/>
      <c r="AD341" s="198"/>
    </row>
    <row r="342" spans="1:30" s="610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1138</v>
      </c>
      <c r="E342" s="191">
        <v>40690</v>
      </c>
      <c r="F342" s="192" t="s">
        <v>863</v>
      </c>
      <c r="G342" s="502"/>
      <c r="H342" s="632" t="s">
        <v>1116</v>
      </c>
      <c r="I342" s="260">
        <v>20</v>
      </c>
      <c r="J342" s="260">
        <v>16143.5</v>
      </c>
      <c r="K342" s="618">
        <f t="shared" si="26"/>
        <v>322870</v>
      </c>
      <c r="L342" s="39" t="s">
        <v>169</v>
      </c>
      <c r="M342" s="731" t="s">
        <v>167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B342" s="198"/>
      <c r="AC342" s="198"/>
      <c r="AD342" s="198"/>
    </row>
    <row r="343" spans="1:30" s="610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1138</v>
      </c>
      <c r="E343" s="191">
        <v>40690</v>
      </c>
      <c r="F343" s="192" t="s">
        <v>864</v>
      </c>
      <c r="G343" s="502"/>
      <c r="H343" s="632" t="s">
        <v>1116</v>
      </c>
      <c r="I343" s="260">
        <v>1</v>
      </c>
      <c r="J343" s="260">
        <v>6972</v>
      </c>
      <c r="K343" s="618">
        <f t="shared" si="26"/>
        <v>6972</v>
      </c>
      <c r="L343" s="39" t="s">
        <v>169</v>
      </c>
      <c r="M343" s="731" t="s">
        <v>167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B343" s="198"/>
      <c r="AC343" s="198"/>
      <c r="AD343" s="198"/>
    </row>
    <row r="344" spans="1:30" s="610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1138</v>
      </c>
      <c r="E344" s="191">
        <v>40690</v>
      </c>
      <c r="F344" s="192" t="s">
        <v>865</v>
      </c>
      <c r="G344" s="502"/>
      <c r="H344" s="632" t="s">
        <v>1116</v>
      </c>
      <c r="I344" s="260">
        <v>4</v>
      </c>
      <c r="J344" s="260">
        <v>5808.5</v>
      </c>
      <c r="K344" s="618">
        <f t="shared" ref="K344:K357" si="28">ROUND(I344*J344,0)</f>
        <v>23234</v>
      </c>
      <c r="L344" s="39" t="s">
        <v>169</v>
      </c>
      <c r="M344" s="731" t="s">
        <v>167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B344" s="198"/>
      <c r="AC344" s="198"/>
      <c r="AD344" s="198"/>
    </row>
    <row r="345" spans="1:30" s="610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1138</v>
      </c>
      <c r="E345" s="191">
        <v>40690</v>
      </c>
      <c r="F345" s="192" t="s">
        <v>866</v>
      </c>
      <c r="G345" s="502"/>
      <c r="H345" s="632" t="s">
        <v>1116</v>
      </c>
      <c r="I345" s="260">
        <v>2</v>
      </c>
      <c r="J345" s="260">
        <v>3584</v>
      </c>
      <c r="K345" s="618">
        <f t="shared" si="28"/>
        <v>7168</v>
      </c>
      <c r="L345" s="39" t="s">
        <v>169</v>
      </c>
      <c r="M345" s="731" t="s">
        <v>167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B345" s="198"/>
      <c r="AC345" s="198"/>
      <c r="AD345" s="198"/>
    </row>
    <row r="346" spans="1:30" s="610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1138</v>
      </c>
      <c r="E346" s="191">
        <v>40690</v>
      </c>
      <c r="F346" s="192" t="s">
        <v>867</v>
      </c>
      <c r="G346" s="502"/>
      <c r="H346" s="632" t="s">
        <v>1116</v>
      </c>
      <c r="I346" s="260">
        <v>2</v>
      </c>
      <c r="J346" s="260">
        <v>8627.5</v>
      </c>
      <c r="K346" s="618">
        <f t="shared" si="28"/>
        <v>17255</v>
      </c>
      <c r="L346" s="39" t="s">
        <v>169</v>
      </c>
      <c r="M346" s="731" t="s">
        <v>167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B346" s="198"/>
      <c r="AC346" s="198"/>
      <c r="AD346" s="198"/>
    </row>
    <row r="347" spans="1:30" s="610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1138</v>
      </c>
      <c r="E347" s="191">
        <v>40690</v>
      </c>
      <c r="F347" s="192" t="s">
        <v>873</v>
      </c>
      <c r="G347" s="502"/>
      <c r="H347" s="632" t="s">
        <v>1116</v>
      </c>
      <c r="I347" s="260">
        <v>2</v>
      </c>
      <c r="J347" s="260">
        <v>7190.5</v>
      </c>
      <c r="K347" s="618">
        <f t="shared" si="28"/>
        <v>14381</v>
      </c>
      <c r="L347" s="39" t="s">
        <v>169</v>
      </c>
      <c r="M347" s="731" t="s">
        <v>167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B347" s="198"/>
      <c r="AC347" s="198"/>
      <c r="AD347" s="198"/>
    </row>
    <row r="348" spans="1:30" s="610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1138</v>
      </c>
      <c r="E348" s="191">
        <v>40690</v>
      </c>
      <c r="F348" s="192" t="s">
        <v>874</v>
      </c>
      <c r="G348" s="502"/>
      <c r="H348" s="632" t="s">
        <v>1116</v>
      </c>
      <c r="I348" s="260">
        <v>5</v>
      </c>
      <c r="J348" s="260">
        <v>6971.6</v>
      </c>
      <c r="K348" s="618">
        <f t="shared" si="28"/>
        <v>34858</v>
      </c>
      <c r="L348" s="39" t="s">
        <v>169</v>
      </c>
      <c r="M348" s="731" t="s">
        <v>167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B348" s="198"/>
      <c r="AC348" s="198"/>
      <c r="AD348" s="198"/>
    </row>
    <row r="349" spans="1:30" s="610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1138</v>
      </c>
      <c r="E349" s="191">
        <v>40690</v>
      </c>
      <c r="F349" s="192" t="s">
        <v>875</v>
      </c>
      <c r="G349" s="502"/>
      <c r="H349" s="632" t="s">
        <v>1116</v>
      </c>
      <c r="I349" s="262">
        <v>86</v>
      </c>
      <c r="J349" s="262">
        <v>18284.511627906977</v>
      </c>
      <c r="K349" s="618">
        <f t="shared" si="28"/>
        <v>1572468</v>
      </c>
      <c r="L349" s="39" t="s">
        <v>169</v>
      </c>
      <c r="M349" s="731" t="s">
        <v>167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B349" s="198"/>
      <c r="AC349" s="198"/>
      <c r="AD349" s="198"/>
    </row>
    <row r="350" spans="1:30" s="610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1139</v>
      </c>
      <c r="E350" s="191">
        <v>40690</v>
      </c>
      <c r="F350" s="192" t="s">
        <v>876</v>
      </c>
      <c r="G350" s="502"/>
      <c r="H350" s="632" t="s">
        <v>1116</v>
      </c>
      <c r="I350" s="260">
        <v>4</v>
      </c>
      <c r="J350" s="260">
        <v>14857.5</v>
      </c>
      <c r="K350" s="618">
        <f t="shared" si="28"/>
        <v>59430</v>
      </c>
      <c r="L350" s="39" t="s">
        <v>169</v>
      </c>
      <c r="M350" s="731" t="s">
        <v>167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B350" s="198"/>
      <c r="AC350" s="198"/>
      <c r="AD350" s="198"/>
    </row>
    <row r="351" spans="1:30" s="610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1139</v>
      </c>
      <c r="E351" s="191">
        <v>40690</v>
      </c>
      <c r="F351" s="192" t="s">
        <v>877</v>
      </c>
      <c r="G351" s="502"/>
      <c r="H351" s="632" t="s">
        <v>1116</v>
      </c>
      <c r="I351" s="260">
        <v>24</v>
      </c>
      <c r="J351" s="260">
        <v>14857.5</v>
      </c>
      <c r="K351" s="618">
        <f t="shared" si="28"/>
        <v>356580</v>
      </c>
      <c r="L351" s="39" t="s">
        <v>169</v>
      </c>
      <c r="M351" s="731" t="s">
        <v>167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B351" s="198"/>
      <c r="AC351" s="198"/>
      <c r="AD351" s="198"/>
    </row>
    <row r="352" spans="1:30" s="610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1139</v>
      </c>
      <c r="E352" s="191">
        <v>40690</v>
      </c>
      <c r="F352" s="192" t="s">
        <v>878</v>
      </c>
      <c r="G352" s="502"/>
      <c r="H352" s="632" t="s">
        <v>1116</v>
      </c>
      <c r="I352" s="262">
        <v>364</v>
      </c>
      <c r="J352" s="262">
        <v>15447.975274725275</v>
      </c>
      <c r="K352" s="618">
        <f t="shared" si="28"/>
        <v>5623063</v>
      </c>
      <c r="L352" s="39" t="s">
        <v>169</v>
      </c>
      <c r="M352" s="731" t="s">
        <v>167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B352" s="198"/>
      <c r="AC352" s="198"/>
      <c r="AD352" s="198"/>
    </row>
    <row r="353" spans="1:30" s="610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1139</v>
      </c>
      <c r="E353" s="191">
        <v>40690</v>
      </c>
      <c r="F353" s="192" t="s">
        <v>879</v>
      </c>
      <c r="G353" s="502"/>
      <c r="H353" s="632" t="s">
        <v>1116</v>
      </c>
      <c r="I353" s="260">
        <v>2</v>
      </c>
      <c r="J353" s="260">
        <v>9979.5</v>
      </c>
      <c r="K353" s="618">
        <f t="shared" si="28"/>
        <v>19959</v>
      </c>
      <c r="L353" s="39" t="s">
        <v>169</v>
      </c>
      <c r="M353" s="731" t="s">
        <v>167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B353" s="198"/>
      <c r="AC353" s="198"/>
      <c r="AD353" s="198"/>
    </row>
    <row r="354" spans="1:30" s="610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1139</v>
      </c>
      <c r="E354" s="191">
        <v>40690</v>
      </c>
      <c r="F354" s="192" t="s">
        <v>880</v>
      </c>
      <c r="G354" s="502"/>
      <c r="H354" s="632" t="s">
        <v>1116</v>
      </c>
      <c r="I354" s="260">
        <v>10</v>
      </c>
      <c r="J354" s="260">
        <v>13217.5</v>
      </c>
      <c r="K354" s="618">
        <f t="shared" si="28"/>
        <v>132175</v>
      </c>
      <c r="L354" s="39" t="s">
        <v>169</v>
      </c>
      <c r="M354" s="731" t="s">
        <v>167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B354" s="198"/>
      <c r="AC354" s="198"/>
      <c r="AD354" s="198"/>
    </row>
    <row r="355" spans="1:30" s="610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1139</v>
      </c>
      <c r="E355" s="191">
        <v>40690</v>
      </c>
      <c r="F355" s="192" t="s">
        <v>881</v>
      </c>
      <c r="G355" s="502"/>
      <c r="H355" s="632" t="s">
        <v>1116</v>
      </c>
      <c r="I355" s="260">
        <v>414</v>
      </c>
      <c r="J355" s="260">
        <v>15420.381642512077</v>
      </c>
      <c r="K355" s="618">
        <f t="shared" si="28"/>
        <v>6384038</v>
      </c>
      <c r="L355" s="39" t="s">
        <v>169</v>
      </c>
      <c r="M355" s="731" t="s">
        <v>167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B355" s="198"/>
      <c r="AC355" s="198"/>
      <c r="AD355" s="198"/>
    </row>
    <row r="356" spans="1:30" s="610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1139</v>
      </c>
      <c r="E356" s="191">
        <v>40690</v>
      </c>
      <c r="F356" s="192" t="s">
        <v>882</v>
      </c>
      <c r="G356" s="502"/>
      <c r="H356" s="632" t="s">
        <v>1116</v>
      </c>
      <c r="I356" s="260">
        <v>1380</v>
      </c>
      <c r="J356" s="260">
        <v>13959.51304347826</v>
      </c>
      <c r="K356" s="618">
        <f t="shared" si="28"/>
        <v>19264128</v>
      </c>
      <c r="L356" s="39" t="s">
        <v>169</v>
      </c>
      <c r="M356" s="731" t="s">
        <v>167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B356" s="198"/>
      <c r="AC356" s="198"/>
      <c r="AD356" s="198"/>
    </row>
    <row r="357" spans="1:30" s="610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1139</v>
      </c>
      <c r="E357" s="191">
        <v>40690</v>
      </c>
      <c r="F357" s="192" t="s">
        <v>883</v>
      </c>
      <c r="G357" s="502"/>
      <c r="H357" s="632" t="s">
        <v>1116</v>
      </c>
      <c r="I357" s="260">
        <v>1127</v>
      </c>
      <c r="J357" s="260">
        <v>13970.692990239573</v>
      </c>
      <c r="K357" s="618">
        <f t="shared" si="28"/>
        <v>15744971</v>
      </c>
      <c r="L357" s="39" t="s">
        <v>169</v>
      </c>
      <c r="M357" s="731" t="s">
        <v>167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B357" s="198"/>
      <c r="AC357" s="198"/>
      <c r="AD357" s="198"/>
    </row>
    <row r="358" spans="1:30" s="610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989</v>
      </c>
      <c r="E358" s="191">
        <v>40691</v>
      </c>
      <c r="F358" s="192" t="s">
        <v>765</v>
      </c>
      <c r="G358" s="502" t="s">
        <v>870</v>
      </c>
      <c r="H358" s="7" t="s">
        <v>756</v>
      </c>
      <c r="I358" s="260">
        <v>181</v>
      </c>
      <c r="J358" s="260">
        <v>19720</v>
      </c>
      <c r="K358" s="618">
        <v>3569320</v>
      </c>
      <c r="L358" s="194" t="s">
        <v>274</v>
      </c>
      <c r="M358" s="194" t="s">
        <v>181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B358" s="845"/>
      <c r="AC358" s="198"/>
      <c r="AD358" s="198"/>
    </row>
    <row r="359" spans="1:30" s="610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989</v>
      </c>
      <c r="E359" s="191">
        <v>40691</v>
      </c>
      <c r="F359" s="192" t="s">
        <v>890</v>
      </c>
      <c r="G359" s="502" t="s">
        <v>870</v>
      </c>
      <c r="H359" s="7" t="s">
        <v>756</v>
      </c>
      <c r="I359" s="260">
        <v>254</v>
      </c>
      <c r="J359" s="260">
        <v>2200</v>
      </c>
      <c r="K359" s="618">
        <v>558800</v>
      </c>
      <c r="L359" s="194" t="s">
        <v>274</v>
      </c>
      <c r="M359" s="194" t="s">
        <v>181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B359" s="845"/>
      <c r="AC359" s="198"/>
      <c r="AD359" s="198"/>
    </row>
    <row r="360" spans="1:30" s="610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989</v>
      </c>
      <c r="E360" s="191">
        <v>40691</v>
      </c>
      <c r="F360" s="192" t="s">
        <v>891</v>
      </c>
      <c r="G360" s="502" t="s">
        <v>870</v>
      </c>
      <c r="H360" s="7" t="s">
        <v>756</v>
      </c>
      <c r="I360" s="260">
        <v>408</v>
      </c>
      <c r="J360" s="260">
        <v>15770</v>
      </c>
      <c r="K360" s="618">
        <v>6434160</v>
      </c>
      <c r="L360" s="194" t="s">
        <v>274</v>
      </c>
      <c r="M360" s="194" t="s">
        <v>181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B360" s="845"/>
      <c r="AC360" s="198"/>
      <c r="AD360" s="198"/>
    </row>
    <row r="361" spans="1:30" s="610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989</v>
      </c>
      <c r="E361" s="191">
        <v>40691</v>
      </c>
      <c r="F361" s="192" t="s">
        <v>892</v>
      </c>
      <c r="G361" s="502" t="s">
        <v>870</v>
      </c>
      <c r="H361" s="7" t="s">
        <v>756</v>
      </c>
      <c r="I361" s="260">
        <v>345</v>
      </c>
      <c r="J361" s="260">
        <v>11002</v>
      </c>
      <c r="K361" s="618">
        <v>3795690</v>
      </c>
      <c r="L361" s="194" t="s">
        <v>274</v>
      </c>
      <c r="M361" s="194" t="s">
        <v>181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B361" s="845"/>
      <c r="AC361" s="198"/>
      <c r="AD361" s="198"/>
    </row>
    <row r="362" spans="1:30" s="610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989</v>
      </c>
      <c r="E362" s="191">
        <v>40691</v>
      </c>
      <c r="F362" s="192" t="s">
        <v>893</v>
      </c>
      <c r="G362" s="502" t="s">
        <v>870</v>
      </c>
      <c r="H362" s="7" t="s">
        <v>756</v>
      </c>
      <c r="I362" s="260">
        <v>4</v>
      </c>
      <c r="J362" s="260">
        <v>12279</v>
      </c>
      <c r="K362" s="618">
        <v>49116</v>
      </c>
      <c r="L362" s="194" t="s">
        <v>274</v>
      </c>
      <c r="M362" s="194" t="s">
        <v>181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B362" s="845"/>
      <c r="AC362" s="198"/>
      <c r="AD362" s="198"/>
    </row>
    <row r="363" spans="1:30" s="610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989</v>
      </c>
      <c r="E363" s="191">
        <v>40691</v>
      </c>
      <c r="F363" s="192" t="s">
        <v>894</v>
      </c>
      <c r="G363" s="502" t="s">
        <v>870</v>
      </c>
      <c r="H363" s="7" t="s">
        <v>756</v>
      </c>
      <c r="I363" s="260">
        <v>67</v>
      </c>
      <c r="J363" s="260">
        <v>11075</v>
      </c>
      <c r="K363" s="618">
        <v>742025</v>
      </c>
      <c r="L363" s="194" t="s">
        <v>274</v>
      </c>
      <c r="M363" s="194" t="s">
        <v>181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B363" s="845"/>
      <c r="AC363" s="198"/>
      <c r="AD363" s="198"/>
    </row>
    <row r="364" spans="1:30" s="610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989</v>
      </c>
      <c r="E364" s="191">
        <v>40691</v>
      </c>
      <c r="F364" s="192" t="s">
        <v>895</v>
      </c>
      <c r="G364" s="502" t="s">
        <v>870</v>
      </c>
      <c r="H364" s="7" t="s">
        <v>756</v>
      </c>
      <c r="I364" s="260">
        <v>27</v>
      </c>
      <c r="J364" s="260">
        <v>15277</v>
      </c>
      <c r="K364" s="618">
        <v>412479</v>
      </c>
      <c r="L364" s="194" t="s">
        <v>274</v>
      </c>
      <c r="M364" s="194" t="s">
        <v>181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B364" s="845"/>
      <c r="AC364" s="198"/>
      <c r="AD364" s="198"/>
    </row>
    <row r="365" spans="1:30" s="610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989</v>
      </c>
      <c r="E365" s="191">
        <v>40691</v>
      </c>
      <c r="F365" s="192" t="s">
        <v>896</v>
      </c>
      <c r="G365" s="502" t="s">
        <v>870</v>
      </c>
      <c r="H365" s="7" t="s">
        <v>756</v>
      </c>
      <c r="I365" s="260">
        <v>16</v>
      </c>
      <c r="J365" s="260">
        <v>9352</v>
      </c>
      <c r="K365" s="618">
        <v>149632</v>
      </c>
      <c r="L365" s="194" t="s">
        <v>274</v>
      </c>
      <c r="M365" s="194" t="s">
        <v>181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B365" s="845"/>
      <c r="AC365" s="198"/>
      <c r="AD365" s="198"/>
    </row>
    <row r="366" spans="1:30" s="610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989</v>
      </c>
      <c r="E366" s="191">
        <v>40691</v>
      </c>
      <c r="F366" s="192" t="s">
        <v>872</v>
      </c>
      <c r="G366" s="502" t="s">
        <v>870</v>
      </c>
      <c r="H366" s="7" t="s">
        <v>756</v>
      </c>
      <c r="I366" s="260"/>
      <c r="J366" s="260"/>
      <c r="K366" s="618">
        <v>1571122</v>
      </c>
      <c r="L366" s="194" t="s">
        <v>274</v>
      </c>
      <c r="M366" s="194" t="s">
        <v>754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B366" s="845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990</v>
      </c>
      <c r="E367" s="191">
        <v>40691</v>
      </c>
      <c r="F367" s="192" t="s">
        <v>897</v>
      </c>
      <c r="G367" s="502" t="s">
        <v>871</v>
      </c>
      <c r="H367" s="7" t="s">
        <v>756</v>
      </c>
      <c r="I367" s="260">
        <v>127</v>
      </c>
      <c r="J367" s="260">
        <v>17979</v>
      </c>
      <c r="K367" s="618">
        <v>2283333</v>
      </c>
      <c r="L367" s="194" t="s">
        <v>274</v>
      </c>
      <c r="M367" s="194" t="s">
        <v>181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B367" s="845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990</v>
      </c>
      <c r="E368" s="191">
        <v>40691</v>
      </c>
      <c r="F368" s="192" t="s">
        <v>898</v>
      </c>
      <c r="G368" s="502" t="s">
        <v>871</v>
      </c>
      <c r="H368" s="7" t="s">
        <v>756</v>
      </c>
      <c r="I368" s="260">
        <v>5</v>
      </c>
      <c r="J368" s="260">
        <v>5282</v>
      </c>
      <c r="K368" s="618">
        <v>26410</v>
      </c>
      <c r="L368" s="194" t="s">
        <v>274</v>
      </c>
      <c r="M368" s="194" t="s">
        <v>181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B368" s="845"/>
      <c r="AC368" s="198"/>
      <c r="AD368" s="198"/>
    </row>
    <row r="369" spans="1:30" s="610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990</v>
      </c>
      <c r="E369" s="191">
        <v>40691</v>
      </c>
      <c r="F369" s="192" t="s">
        <v>899</v>
      </c>
      <c r="G369" s="502" t="s">
        <v>871</v>
      </c>
      <c r="H369" s="7" t="s">
        <v>756</v>
      </c>
      <c r="I369" s="260">
        <v>3</v>
      </c>
      <c r="J369" s="260">
        <v>11444</v>
      </c>
      <c r="K369" s="618">
        <v>34332</v>
      </c>
      <c r="L369" s="194" t="s">
        <v>274</v>
      </c>
      <c r="M369" s="194" t="s">
        <v>181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909"/>
      <c r="AB369" s="845"/>
      <c r="AC369" s="198"/>
      <c r="AD369" s="198"/>
    </row>
    <row r="370" spans="1:30" s="610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990</v>
      </c>
      <c r="E370" s="191">
        <v>40691</v>
      </c>
      <c r="F370" s="192" t="s">
        <v>900</v>
      </c>
      <c r="G370" s="502" t="s">
        <v>871</v>
      </c>
      <c r="H370" s="7" t="s">
        <v>756</v>
      </c>
      <c r="I370" s="260">
        <v>12</v>
      </c>
      <c r="J370" s="260">
        <v>19788</v>
      </c>
      <c r="K370" s="618">
        <v>237456</v>
      </c>
      <c r="L370" s="194" t="s">
        <v>274</v>
      </c>
      <c r="M370" s="194" t="s">
        <v>181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909"/>
      <c r="AB370" s="845"/>
      <c r="AC370" s="198"/>
      <c r="AD370" s="198"/>
    </row>
    <row r="371" spans="1:30" s="610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990</v>
      </c>
      <c r="E371" s="191">
        <v>40691</v>
      </c>
      <c r="F371" s="192" t="s">
        <v>901</v>
      </c>
      <c r="G371" s="502" t="s">
        <v>871</v>
      </c>
      <c r="H371" s="7" t="s">
        <v>756</v>
      </c>
      <c r="I371" s="260">
        <v>9</v>
      </c>
      <c r="J371" s="260">
        <v>8450</v>
      </c>
      <c r="K371" s="618">
        <v>76050</v>
      </c>
      <c r="L371" s="194" t="s">
        <v>274</v>
      </c>
      <c r="M371" s="194" t="s">
        <v>181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909"/>
      <c r="AB371" s="845"/>
      <c r="AC371" s="198"/>
      <c r="AD371" s="198"/>
    </row>
    <row r="372" spans="1:30" s="610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990</v>
      </c>
      <c r="E372" s="191">
        <v>40691</v>
      </c>
      <c r="F372" s="192" t="s">
        <v>902</v>
      </c>
      <c r="G372" s="502" t="s">
        <v>871</v>
      </c>
      <c r="H372" s="7" t="s">
        <v>756</v>
      </c>
      <c r="I372" s="260">
        <v>8</v>
      </c>
      <c r="J372" s="260">
        <v>10110</v>
      </c>
      <c r="K372" s="618">
        <v>80880</v>
      </c>
      <c r="L372" s="194" t="s">
        <v>274</v>
      </c>
      <c r="M372" s="194" t="s">
        <v>181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909"/>
      <c r="AB372" s="845"/>
      <c r="AC372" s="198"/>
      <c r="AD372" s="198"/>
    </row>
    <row r="373" spans="1:30" s="610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990</v>
      </c>
      <c r="E373" s="191">
        <v>40691</v>
      </c>
      <c r="F373" s="192" t="s">
        <v>903</v>
      </c>
      <c r="G373" s="502" t="s">
        <v>871</v>
      </c>
      <c r="H373" s="7" t="s">
        <v>756</v>
      </c>
      <c r="I373" s="260">
        <v>7</v>
      </c>
      <c r="J373" s="260">
        <v>10345</v>
      </c>
      <c r="K373" s="618">
        <v>72415</v>
      </c>
      <c r="L373" s="194" t="s">
        <v>274</v>
      </c>
      <c r="M373" s="194" t="s">
        <v>181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909"/>
      <c r="AB373" s="845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990</v>
      </c>
      <c r="E374" s="191">
        <v>40691</v>
      </c>
      <c r="F374" s="192" t="s">
        <v>904</v>
      </c>
      <c r="G374" s="502" t="s">
        <v>871</v>
      </c>
      <c r="H374" s="7" t="s">
        <v>756</v>
      </c>
      <c r="I374" s="260">
        <v>13</v>
      </c>
      <c r="J374" s="260">
        <v>12672</v>
      </c>
      <c r="K374" s="618">
        <v>164736</v>
      </c>
      <c r="L374" s="194" t="s">
        <v>274</v>
      </c>
      <c r="M374" s="194" t="s">
        <v>181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909"/>
      <c r="AB374" s="845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990</v>
      </c>
      <c r="E375" s="191">
        <v>40691</v>
      </c>
      <c r="F375" s="192" t="s">
        <v>872</v>
      </c>
      <c r="G375" s="502" t="s">
        <v>871</v>
      </c>
      <c r="H375" s="7" t="s">
        <v>756</v>
      </c>
      <c r="I375" s="260"/>
      <c r="J375" s="260"/>
      <c r="K375" s="618">
        <v>297561</v>
      </c>
      <c r="L375" s="194" t="s">
        <v>274</v>
      </c>
      <c r="M375" s="194" t="s">
        <v>754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909"/>
      <c r="AB375" s="845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991</v>
      </c>
      <c r="E376" s="191">
        <v>40691</v>
      </c>
      <c r="F376" s="192" t="s">
        <v>906</v>
      </c>
      <c r="G376" s="502" t="s">
        <v>884</v>
      </c>
      <c r="H376" s="7" t="s">
        <v>756</v>
      </c>
      <c r="I376" s="260">
        <v>5</v>
      </c>
      <c r="J376" s="260">
        <v>12304</v>
      </c>
      <c r="K376" s="618">
        <v>61520</v>
      </c>
      <c r="L376" s="194" t="s">
        <v>274</v>
      </c>
      <c r="M376" s="194" t="s">
        <v>181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909"/>
      <c r="AB376" s="845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991</v>
      </c>
      <c r="E377" s="191">
        <v>40691</v>
      </c>
      <c r="F377" s="192" t="s">
        <v>907</v>
      </c>
      <c r="G377" s="502" t="s">
        <v>884</v>
      </c>
      <c r="H377" s="7" t="s">
        <v>756</v>
      </c>
      <c r="I377" s="260">
        <v>22</v>
      </c>
      <c r="J377" s="260">
        <v>18862</v>
      </c>
      <c r="K377" s="618">
        <v>414964</v>
      </c>
      <c r="L377" s="194" t="s">
        <v>274</v>
      </c>
      <c r="M377" s="194" t="s">
        <v>181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909"/>
      <c r="AB377" s="845"/>
      <c r="AC377" s="198"/>
      <c r="AD377" s="198"/>
    </row>
    <row r="378" spans="1:30" s="610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991</v>
      </c>
      <c r="E378" s="191">
        <v>40691</v>
      </c>
      <c r="F378" s="192" t="s">
        <v>908</v>
      </c>
      <c r="G378" s="502" t="s">
        <v>884</v>
      </c>
      <c r="H378" s="7" t="s">
        <v>756</v>
      </c>
      <c r="I378" s="260">
        <v>245</v>
      </c>
      <c r="J378" s="260">
        <v>9989</v>
      </c>
      <c r="K378" s="618">
        <v>2447305</v>
      </c>
      <c r="L378" s="194" t="s">
        <v>274</v>
      </c>
      <c r="M378" s="194" t="s">
        <v>181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909"/>
      <c r="AB378" s="845"/>
      <c r="AC378" s="198"/>
      <c r="AD378" s="198"/>
    </row>
    <row r="379" spans="1:30" s="610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991</v>
      </c>
      <c r="E379" s="191">
        <v>40691</v>
      </c>
      <c r="F379" s="192" t="s">
        <v>909</v>
      </c>
      <c r="G379" s="502" t="s">
        <v>884</v>
      </c>
      <c r="H379" s="7" t="s">
        <v>756</v>
      </c>
      <c r="I379" s="260">
        <v>429</v>
      </c>
      <c r="J379" s="260">
        <v>25535</v>
      </c>
      <c r="K379" s="618">
        <v>10954515</v>
      </c>
      <c r="L379" s="194" t="s">
        <v>274</v>
      </c>
      <c r="M379" s="194" t="s">
        <v>181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909"/>
      <c r="AB379" s="845"/>
      <c r="AC379" s="198"/>
      <c r="AD379" s="198"/>
    </row>
    <row r="380" spans="1:30" s="610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991</v>
      </c>
      <c r="E380" s="191">
        <v>40691</v>
      </c>
      <c r="F380" s="192" t="s">
        <v>897</v>
      </c>
      <c r="G380" s="502" t="s">
        <v>884</v>
      </c>
      <c r="H380" s="7" t="s">
        <v>756</v>
      </c>
      <c r="I380" s="260">
        <v>22</v>
      </c>
      <c r="J380" s="260">
        <v>17979</v>
      </c>
      <c r="K380" s="618">
        <v>395538</v>
      </c>
      <c r="L380" s="194" t="s">
        <v>274</v>
      </c>
      <c r="M380" s="194" t="s">
        <v>181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909"/>
      <c r="AB380" s="845"/>
      <c r="AC380" s="198"/>
      <c r="AD380" s="198"/>
    </row>
    <row r="381" spans="1:30" s="610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991</v>
      </c>
      <c r="E381" s="191">
        <v>40691</v>
      </c>
      <c r="F381" s="192" t="s">
        <v>910</v>
      </c>
      <c r="G381" s="502" t="s">
        <v>884</v>
      </c>
      <c r="H381" s="7" t="s">
        <v>756</v>
      </c>
      <c r="I381" s="260">
        <v>4</v>
      </c>
      <c r="J381" s="260">
        <v>16852</v>
      </c>
      <c r="K381" s="618">
        <v>67408</v>
      </c>
      <c r="L381" s="194" t="s">
        <v>274</v>
      </c>
      <c r="M381" s="194" t="s">
        <v>181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909"/>
      <c r="AB381" s="845"/>
      <c r="AC381" s="198"/>
      <c r="AD381" s="198"/>
    </row>
    <row r="382" spans="1:30" s="610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991</v>
      </c>
      <c r="E382" s="191">
        <v>40691</v>
      </c>
      <c r="F382" s="192" t="s">
        <v>911</v>
      </c>
      <c r="G382" s="502" t="s">
        <v>884</v>
      </c>
      <c r="H382" s="7" t="s">
        <v>756</v>
      </c>
      <c r="I382" s="260">
        <v>2</v>
      </c>
      <c r="J382" s="260">
        <v>16052</v>
      </c>
      <c r="K382" s="618">
        <v>32104</v>
      </c>
      <c r="L382" s="194" t="s">
        <v>274</v>
      </c>
      <c r="M382" s="194" t="s">
        <v>181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909"/>
      <c r="AB382" s="845"/>
      <c r="AC382" s="198"/>
      <c r="AD382" s="198"/>
    </row>
    <row r="383" spans="1:30" s="610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991</v>
      </c>
      <c r="E383" s="191">
        <v>40691</v>
      </c>
      <c r="F383" s="192" t="s">
        <v>891</v>
      </c>
      <c r="G383" s="502" t="s">
        <v>884</v>
      </c>
      <c r="H383" s="7" t="s">
        <v>756</v>
      </c>
      <c r="I383" s="260">
        <v>3</v>
      </c>
      <c r="J383" s="260">
        <v>15770</v>
      </c>
      <c r="K383" s="618">
        <v>47310</v>
      </c>
      <c r="L383" s="194" t="s">
        <v>274</v>
      </c>
      <c r="M383" s="194" t="s">
        <v>181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909"/>
      <c r="AB383" s="845"/>
      <c r="AC383" s="198"/>
      <c r="AD383" s="198"/>
    </row>
    <row r="384" spans="1:30" s="610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991</v>
      </c>
      <c r="E384" s="191">
        <v>40691</v>
      </c>
      <c r="F384" s="192" t="s">
        <v>872</v>
      </c>
      <c r="G384" s="502" t="s">
        <v>884</v>
      </c>
      <c r="H384" s="7" t="s">
        <v>756</v>
      </c>
      <c r="I384" s="260"/>
      <c r="J384" s="260"/>
      <c r="K384" s="618">
        <f>1442066+1</f>
        <v>1442067</v>
      </c>
      <c r="L384" s="194" t="s">
        <v>274</v>
      </c>
      <c r="M384" s="194" t="s">
        <v>754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909"/>
      <c r="AB384" s="845"/>
      <c r="AC384" s="198"/>
      <c r="AD384" s="198"/>
    </row>
    <row r="385" spans="1:30" s="610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992</v>
      </c>
      <c r="E385" s="191">
        <v>40691</v>
      </c>
      <c r="F385" s="192" t="s">
        <v>895</v>
      </c>
      <c r="G385" s="502" t="s">
        <v>885</v>
      </c>
      <c r="H385" s="7" t="s">
        <v>756</v>
      </c>
      <c r="I385" s="260">
        <v>1</v>
      </c>
      <c r="J385" s="260">
        <v>15277</v>
      </c>
      <c r="K385" s="618">
        <v>15277</v>
      </c>
      <c r="L385" s="194" t="s">
        <v>274</v>
      </c>
      <c r="M385" s="194" t="s">
        <v>181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909"/>
      <c r="AB385" s="845"/>
      <c r="AC385" s="198"/>
      <c r="AD385" s="198"/>
    </row>
    <row r="386" spans="1:30" s="610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992</v>
      </c>
      <c r="E386" s="191">
        <v>40691</v>
      </c>
      <c r="F386" s="192" t="s">
        <v>892</v>
      </c>
      <c r="G386" s="502" t="s">
        <v>885</v>
      </c>
      <c r="H386" s="7" t="s">
        <v>756</v>
      </c>
      <c r="I386" s="260">
        <v>5</v>
      </c>
      <c r="J386" s="260">
        <v>11002</v>
      </c>
      <c r="K386" s="618">
        <v>55010</v>
      </c>
      <c r="L386" s="194" t="s">
        <v>274</v>
      </c>
      <c r="M386" s="194" t="s">
        <v>181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909"/>
      <c r="AB386" s="845"/>
      <c r="AC386" s="198"/>
      <c r="AD386" s="198"/>
    </row>
    <row r="387" spans="1:30" s="610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992</v>
      </c>
      <c r="E387" s="191">
        <v>40691</v>
      </c>
      <c r="F387" s="192" t="s">
        <v>915</v>
      </c>
      <c r="G387" s="502" t="s">
        <v>885</v>
      </c>
      <c r="H387" s="7" t="s">
        <v>756</v>
      </c>
      <c r="I387" s="260">
        <v>344</v>
      </c>
      <c r="J387" s="260">
        <v>19248</v>
      </c>
      <c r="K387" s="618">
        <v>6621312</v>
      </c>
      <c r="L387" s="194" t="s">
        <v>274</v>
      </c>
      <c r="M387" s="194" t="s">
        <v>181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909"/>
      <c r="AB387" s="845"/>
      <c r="AC387" s="198"/>
      <c r="AD387" s="198"/>
    </row>
    <row r="388" spans="1:30" s="610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992</v>
      </c>
      <c r="E388" s="191">
        <v>40691</v>
      </c>
      <c r="F388" s="192" t="s">
        <v>913</v>
      </c>
      <c r="G388" s="502" t="s">
        <v>885</v>
      </c>
      <c r="H388" s="7" t="s">
        <v>756</v>
      </c>
      <c r="I388" s="260">
        <v>239</v>
      </c>
      <c r="J388" s="260">
        <v>6577</v>
      </c>
      <c r="K388" s="618">
        <v>1571903</v>
      </c>
      <c r="L388" s="194" t="s">
        <v>274</v>
      </c>
      <c r="M388" s="194" t="s">
        <v>181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909"/>
      <c r="AB388" s="845"/>
      <c r="AC388" s="198"/>
      <c r="AD388" s="198"/>
    </row>
    <row r="389" spans="1:30" s="610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992</v>
      </c>
      <c r="E389" s="191">
        <v>40691</v>
      </c>
      <c r="F389" s="192" t="s">
        <v>914</v>
      </c>
      <c r="G389" s="502" t="s">
        <v>885</v>
      </c>
      <c r="H389" s="7" t="s">
        <v>756</v>
      </c>
      <c r="I389" s="260">
        <v>102</v>
      </c>
      <c r="J389" s="260">
        <v>4704</v>
      </c>
      <c r="K389" s="618">
        <v>479808</v>
      </c>
      <c r="L389" s="194" t="s">
        <v>274</v>
      </c>
      <c r="M389" s="194" t="s">
        <v>181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909"/>
      <c r="AB389" s="845"/>
      <c r="AC389" s="198"/>
      <c r="AD389" s="198"/>
    </row>
    <row r="390" spans="1:30" s="610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992</v>
      </c>
      <c r="E390" s="191">
        <v>40691</v>
      </c>
      <c r="F390" s="192" t="s">
        <v>916</v>
      </c>
      <c r="G390" s="502" t="s">
        <v>885</v>
      </c>
      <c r="H390" s="7" t="s">
        <v>756</v>
      </c>
      <c r="I390" s="260">
        <v>24</v>
      </c>
      <c r="J390" s="260">
        <v>14056</v>
      </c>
      <c r="K390" s="618">
        <v>337344</v>
      </c>
      <c r="L390" s="194" t="s">
        <v>274</v>
      </c>
      <c r="M390" s="194" t="s">
        <v>181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909"/>
      <c r="AB390" s="845"/>
      <c r="AC390" s="198"/>
      <c r="AD390" s="198"/>
    </row>
    <row r="391" spans="1:30" s="610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992</v>
      </c>
      <c r="E391" s="191">
        <v>40691</v>
      </c>
      <c r="F391" s="192" t="s">
        <v>909</v>
      </c>
      <c r="G391" s="502" t="s">
        <v>885</v>
      </c>
      <c r="H391" s="7" t="s">
        <v>756</v>
      </c>
      <c r="I391" s="260">
        <v>208</v>
      </c>
      <c r="J391" s="260">
        <v>25535</v>
      </c>
      <c r="K391" s="618">
        <v>5311280</v>
      </c>
      <c r="L391" s="194" t="s">
        <v>274</v>
      </c>
      <c r="M391" s="194" t="s">
        <v>181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909"/>
      <c r="AB391" s="845"/>
      <c r="AC391" s="198"/>
      <c r="AD391" s="198"/>
    </row>
    <row r="392" spans="1:30" s="610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992</v>
      </c>
      <c r="E392" s="191">
        <v>40691</v>
      </c>
      <c r="F392" s="192" t="s">
        <v>917</v>
      </c>
      <c r="G392" s="502" t="s">
        <v>885</v>
      </c>
      <c r="H392" s="7" t="s">
        <v>756</v>
      </c>
      <c r="I392" s="260">
        <v>51</v>
      </c>
      <c r="J392" s="260">
        <v>27650</v>
      </c>
      <c r="K392" s="618">
        <v>1410150</v>
      </c>
      <c r="L392" s="194" t="s">
        <v>274</v>
      </c>
      <c r="M392" s="194" t="s">
        <v>181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909"/>
      <c r="AB392" s="845"/>
      <c r="AC392" s="198"/>
      <c r="AD392" s="198"/>
    </row>
    <row r="393" spans="1:30" s="610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992</v>
      </c>
      <c r="E393" s="191">
        <v>40691</v>
      </c>
      <c r="F393" s="192" t="s">
        <v>872</v>
      </c>
      <c r="G393" s="502" t="s">
        <v>885</v>
      </c>
      <c r="H393" s="7" t="s">
        <v>756</v>
      </c>
      <c r="I393" s="260"/>
      <c r="J393" s="260"/>
      <c r="K393" s="618">
        <f>1580208+1</f>
        <v>1580209</v>
      </c>
      <c r="L393" s="194" t="s">
        <v>274</v>
      </c>
      <c r="M393" s="194" t="s">
        <v>754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909"/>
      <c r="AB393" s="845"/>
      <c r="AC393" s="198"/>
      <c r="AD393" s="198"/>
    </row>
    <row r="394" spans="1:30" s="610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993</v>
      </c>
      <c r="E394" s="191">
        <v>40691</v>
      </c>
      <c r="F394" s="192" t="s">
        <v>919</v>
      </c>
      <c r="G394" s="502" t="s">
        <v>886</v>
      </c>
      <c r="H394" s="7" t="s">
        <v>756</v>
      </c>
      <c r="I394" s="260">
        <v>406</v>
      </c>
      <c r="J394" s="260">
        <v>26855</v>
      </c>
      <c r="K394" s="618">
        <v>10903130</v>
      </c>
      <c r="L394" s="194" t="s">
        <v>274</v>
      </c>
      <c r="M394" s="194" t="s">
        <v>181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909"/>
      <c r="AB394" s="845"/>
      <c r="AC394" s="198"/>
      <c r="AD394" s="198"/>
    </row>
    <row r="395" spans="1:30" s="610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993</v>
      </c>
      <c r="E395" s="191">
        <v>40691</v>
      </c>
      <c r="F395" s="192" t="s">
        <v>920</v>
      </c>
      <c r="G395" s="502" t="s">
        <v>886</v>
      </c>
      <c r="H395" s="7" t="s">
        <v>756</v>
      </c>
      <c r="I395" s="260">
        <v>50</v>
      </c>
      <c r="J395" s="260">
        <v>5286</v>
      </c>
      <c r="K395" s="618">
        <v>264300</v>
      </c>
      <c r="L395" s="194" t="s">
        <v>274</v>
      </c>
      <c r="M395" s="194" t="s">
        <v>181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909"/>
      <c r="AB395" s="845"/>
      <c r="AC395" s="198"/>
      <c r="AD395" s="198"/>
    </row>
    <row r="396" spans="1:30" s="610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993</v>
      </c>
      <c r="E396" s="191">
        <v>40691</v>
      </c>
      <c r="F396" s="192" t="s">
        <v>921</v>
      </c>
      <c r="G396" s="502" t="s">
        <v>886</v>
      </c>
      <c r="H396" s="7" t="s">
        <v>756</v>
      </c>
      <c r="I396" s="260">
        <v>68</v>
      </c>
      <c r="J396" s="260">
        <v>2734</v>
      </c>
      <c r="K396" s="618">
        <v>185912</v>
      </c>
      <c r="L396" s="194" t="s">
        <v>274</v>
      </c>
      <c r="M396" s="194" t="s">
        <v>181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909"/>
      <c r="AB396" s="198"/>
      <c r="AC396" s="198"/>
      <c r="AD396" s="198"/>
    </row>
    <row r="397" spans="1:30" s="610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993</v>
      </c>
      <c r="E397" s="191">
        <v>40691</v>
      </c>
      <c r="F397" s="192" t="s">
        <v>922</v>
      </c>
      <c r="G397" s="502" t="s">
        <v>886</v>
      </c>
      <c r="H397" s="7" t="s">
        <v>756</v>
      </c>
      <c r="I397" s="260">
        <v>300</v>
      </c>
      <c r="J397" s="260">
        <v>3065</v>
      </c>
      <c r="K397" s="618">
        <v>919500</v>
      </c>
      <c r="L397" s="194" t="s">
        <v>274</v>
      </c>
      <c r="M397" s="194" t="s">
        <v>181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909"/>
      <c r="AB397" s="198"/>
      <c r="AC397" s="198"/>
      <c r="AD397" s="198"/>
    </row>
    <row r="398" spans="1:30" s="610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993</v>
      </c>
      <c r="E398" s="191">
        <v>40691</v>
      </c>
      <c r="F398" s="192" t="s">
        <v>923</v>
      </c>
      <c r="G398" s="502" t="s">
        <v>886</v>
      </c>
      <c r="H398" s="7" t="s">
        <v>756</v>
      </c>
      <c r="I398" s="260">
        <v>40</v>
      </c>
      <c r="J398" s="260">
        <v>3778</v>
      </c>
      <c r="K398" s="618">
        <v>151120</v>
      </c>
      <c r="L398" s="194" t="s">
        <v>274</v>
      </c>
      <c r="M398" s="194" t="s">
        <v>181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909"/>
      <c r="AB398" s="198"/>
      <c r="AC398" s="198"/>
      <c r="AD398" s="198"/>
    </row>
    <row r="399" spans="1:30" s="610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993</v>
      </c>
      <c r="E399" s="191">
        <v>40691</v>
      </c>
      <c r="F399" s="192" t="s">
        <v>924</v>
      </c>
      <c r="G399" s="502" t="s">
        <v>886</v>
      </c>
      <c r="H399" s="7" t="s">
        <v>756</v>
      </c>
      <c r="I399" s="262">
        <v>34</v>
      </c>
      <c r="J399" s="262">
        <v>4913</v>
      </c>
      <c r="K399" s="618">
        <v>167042</v>
      </c>
      <c r="L399" s="194" t="s">
        <v>274</v>
      </c>
      <c r="M399" s="194" t="s">
        <v>181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909"/>
      <c r="AB399" s="198"/>
      <c r="AC399" s="198"/>
      <c r="AD399" s="198"/>
    </row>
    <row r="400" spans="1:30" s="610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993</v>
      </c>
      <c r="E400" s="191">
        <v>40691</v>
      </c>
      <c r="F400" s="192" t="s">
        <v>925</v>
      </c>
      <c r="G400" s="502" t="s">
        <v>886</v>
      </c>
      <c r="H400" s="7" t="s">
        <v>756</v>
      </c>
      <c r="I400" s="260">
        <v>140</v>
      </c>
      <c r="J400" s="260">
        <v>4320</v>
      </c>
      <c r="K400" s="618">
        <v>604800</v>
      </c>
      <c r="L400" s="194" t="s">
        <v>274</v>
      </c>
      <c r="M400" s="194" t="s">
        <v>181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909"/>
      <c r="AB400" s="198"/>
      <c r="AC400" s="198"/>
      <c r="AD400" s="198"/>
    </row>
    <row r="401" spans="1:30" s="610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993</v>
      </c>
      <c r="E401" s="191">
        <v>40691</v>
      </c>
      <c r="F401" s="192" t="s">
        <v>926</v>
      </c>
      <c r="G401" s="502" t="s">
        <v>886</v>
      </c>
      <c r="H401" s="7" t="s">
        <v>756</v>
      </c>
      <c r="I401" s="260">
        <v>140</v>
      </c>
      <c r="J401" s="260">
        <v>11516</v>
      </c>
      <c r="K401" s="618">
        <v>1612240</v>
      </c>
      <c r="L401" s="194" t="s">
        <v>274</v>
      </c>
      <c r="M401" s="194" t="s">
        <v>181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909"/>
      <c r="AB401" s="198"/>
      <c r="AC401" s="198"/>
      <c r="AD401" s="198"/>
    </row>
    <row r="402" spans="1:30" s="610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993</v>
      </c>
      <c r="E402" s="191">
        <v>40691</v>
      </c>
      <c r="F402" s="192" t="s">
        <v>872</v>
      </c>
      <c r="G402" s="502" t="s">
        <v>886</v>
      </c>
      <c r="H402" s="7" t="s">
        <v>756</v>
      </c>
      <c r="I402" s="262"/>
      <c r="J402" s="262"/>
      <c r="K402" s="618">
        <f>1480804+1</f>
        <v>1480805</v>
      </c>
      <c r="L402" s="194" t="s">
        <v>274</v>
      </c>
      <c r="M402" s="194" t="s">
        <v>754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909"/>
      <c r="AB402" s="845"/>
      <c r="AC402" s="198"/>
      <c r="AD402" s="198"/>
    </row>
    <row r="403" spans="1:30" s="610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994</v>
      </c>
      <c r="E403" s="191">
        <v>40691</v>
      </c>
      <c r="F403" s="192" t="s">
        <v>916</v>
      </c>
      <c r="G403" s="502" t="s">
        <v>887</v>
      </c>
      <c r="H403" s="7" t="s">
        <v>756</v>
      </c>
      <c r="I403" s="260">
        <v>10</v>
      </c>
      <c r="J403" s="260">
        <v>14056</v>
      </c>
      <c r="K403" s="618">
        <v>140560</v>
      </c>
      <c r="L403" s="194" t="s">
        <v>274</v>
      </c>
      <c r="M403" s="194" t="s">
        <v>181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909"/>
      <c r="AB403" s="845"/>
      <c r="AC403" s="198"/>
      <c r="AD403" s="198"/>
    </row>
    <row r="404" spans="1:30" s="610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994</v>
      </c>
      <c r="E404" s="191">
        <v>40691</v>
      </c>
      <c r="F404" s="192" t="s">
        <v>927</v>
      </c>
      <c r="G404" s="502" t="s">
        <v>887</v>
      </c>
      <c r="H404" s="7" t="s">
        <v>756</v>
      </c>
      <c r="I404" s="260">
        <v>68</v>
      </c>
      <c r="J404" s="260">
        <v>10433</v>
      </c>
      <c r="K404" s="618">
        <v>709444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909"/>
      <c r="AB404" s="845"/>
      <c r="AC404" s="198"/>
      <c r="AD404" s="198"/>
    </row>
    <row r="405" spans="1:30" s="610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994</v>
      </c>
      <c r="E405" s="191">
        <v>40691</v>
      </c>
      <c r="F405" s="192" t="s">
        <v>928</v>
      </c>
      <c r="G405" s="502" t="s">
        <v>887</v>
      </c>
      <c r="H405" s="7" t="s">
        <v>756</v>
      </c>
      <c r="I405" s="260">
        <v>300</v>
      </c>
      <c r="J405" s="260">
        <v>13172</v>
      </c>
      <c r="K405" s="618">
        <v>3951600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909"/>
      <c r="AB405" s="845"/>
      <c r="AC405" s="198"/>
      <c r="AD405" s="198"/>
    </row>
    <row r="406" spans="1:30" s="610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994</v>
      </c>
      <c r="E406" s="191">
        <v>40691</v>
      </c>
      <c r="F406" s="192" t="s">
        <v>929</v>
      </c>
      <c r="G406" s="502" t="s">
        <v>887</v>
      </c>
      <c r="H406" s="7" t="s">
        <v>756</v>
      </c>
      <c r="I406" s="260">
        <v>40</v>
      </c>
      <c r="J406" s="260">
        <v>15040</v>
      </c>
      <c r="K406" s="618">
        <v>601600</v>
      </c>
      <c r="L406" s="194" t="s">
        <v>274</v>
      </c>
      <c r="M406" s="194" t="s">
        <v>181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909"/>
      <c r="AB406" s="845"/>
      <c r="AC406" s="198"/>
      <c r="AD406" s="198"/>
    </row>
    <row r="407" spans="1:30" s="610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994</v>
      </c>
      <c r="E407" s="191">
        <v>40691</v>
      </c>
      <c r="F407" s="192" t="s">
        <v>872</v>
      </c>
      <c r="G407" s="502" t="s">
        <v>887</v>
      </c>
      <c r="H407" s="7" t="s">
        <v>756</v>
      </c>
      <c r="I407" s="262"/>
      <c r="J407" s="262"/>
      <c r="K407" s="618">
        <f>540320+1</f>
        <v>540321</v>
      </c>
      <c r="L407" s="194" t="s">
        <v>274</v>
      </c>
      <c r="M407" s="194" t="s">
        <v>754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909"/>
      <c r="AB407" s="845"/>
      <c r="AC407" s="198"/>
      <c r="AD407" s="198"/>
    </row>
    <row r="408" spans="1:30" s="610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989</v>
      </c>
      <c r="E408" s="191">
        <v>40691</v>
      </c>
      <c r="F408" s="192" t="s">
        <v>765</v>
      </c>
      <c r="G408" s="502" t="s">
        <v>870</v>
      </c>
      <c r="H408" s="7" t="s">
        <v>756</v>
      </c>
      <c r="I408" s="260">
        <v>181</v>
      </c>
      <c r="J408" s="260">
        <v>18284.513812154695</v>
      </c>
      <c r="K408" s="618">
        <f t="shared" ref="K408:K439" si="30">ROUND(I408*J408,0)</f>
        <v>3309497</v>
      </c>
      <c r="L408" s="869" t="s">
        <v>179</v>
      </c>
      <c r="M408" s="869" t="s">
        <v>169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909"/>
      <c r="AB408" s="845"/>
      <c r="AC408" s="198"/>
      <c r="AD408" s="198"/>
    </row>
    <row r="409" spans="1:30" s="610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989</v>
      </c>
      <c r="E409" s="191">
        <v>40691</v>
      </c>
      <c r="F409" s="192" t="s">
        <v>890</v>
      </c>
      <c r="G409" s="502" t="s">
        <v>870</v>
      </c>
      <c r="H409" s="7" t="s">
        <v>756</v>
      </c>
      <c r="I409" s="260">
        <v>254</v>
      </c>
      <c r="J409" s="260">
        <v>2480.51968503937</v>
      </c>
      <c r="K409" s="618">
        <f t="shared" si="30"/>
        <v>630052</v>
      </c>
      <c r="L409" s="869" t="s">
        <v>179</v>
      </c>
      <c r="M409" s="869" t="s">
        <v>169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909"/>
      <c r="AB409" s="845"/>
      <c r="AC409" s="198"/>
      <c r="AD409" s="198"/>
    </row>
    <row r="410" spans="1:30" s="610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989</v>
      </c>
      <c r="E410" s="191">
        <v>40691</v>
      </c>
      <c r="F410" s="192" t="s">
        <v>891</v>
      </c>
      <c r="G410" s="502" t="s">
        <v>870</v>
      </c>
      <c r="H410" s="7" t="s">
        <v>756</v>
      </c>
      <c r="I410" s="260">
        <v>408</v>
      </c>
      <c r="J410" s="260">
        <v>14206.571078431372</v>
      </c>
      <c r="K410" s="618">
        <f t="shared" si="30"/>
        <v>5796281</v>
      </c>
      <c r="L410" s="869" t="s">
        <v>179</v>
      </c>
      <c r="M410" s="869" t="s">
        <v>169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909"/>
      <c r="AB410" s="845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989</v>
      </c>
      <c r="E411" s="191">
        <v>40691</v>
      </c>
      <c r="F411" s="192" t="s">
        <v>892</v>
      </c>
      <c r="G411" s="502" t="s">
        <v>870</v>
      </c>
      <c r="H411" s="7" t="s">
        <v>756</v>
      </c>
      <c r="I411" s="260">
        <v>345</v>
      </c>
      <c r="J411" s="260">
        <v>9372.5130434782604</v>
      </c>
      <c r="K411" s="618">
        <f t="shared" si="30"/>
        <v>3233517</v>
      </c>
      <c r="L411" s="869" t="s">
        <v>179</v>
      </c>
      <c r="M411" s="869" t="s">
        <v>169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909"/>
      <c r="AB411" s="845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989</v>
      </c>
      <c r="E412" s="191">
        <v>40691</v>
      </c>
      <c r="F412" s="192" t="s">
        <v>893</v>
      </c>
      <c r="G412" s="502" t="s">
        <v>870</v>
      </c>
      <c r="H412" s="7" t="s">
        <v>756</v>
      </c>
      <c r="I412" s="260">
        <v>4</v>
      </c>
      <c r="J412" s="260">
        <v>9979.5</v>
      </c>
      <c r="K412" s="618">
        <f t="shared" si="30"/>
        <v>39918</v>
      </c>
      <c r="L412" s="869" t="s">
        <v>179</v>
      </c>
      <c r="M412" s="869" t="s">
        <v>169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909"/>
      <c r="AB412" s="845"/>
      <c r="AC412" s="198"/>
      <c r="AD412" s="198"/>
    </row>
    <row r="413" spans="1:30" s="610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989</v>
      </c>
      <c r="E413" s="191">
        <v>40691</v>
      </c>
      <c r="F413" s="192" t="s">
        <v>894</v>
      </c>
      <c r="G413" s="502" t="s">
        <v>870</v>
      </c>
      <c r="H413" s="7" t="s">
        <v>756</v>
      </c>
      <c r="I413" s="260">
        <v>67</v>
      </c>
      <c r="J413" s="260">
        <v>9979.507462686568</v>
      </c>
      <c r="K413" s="618">
        <f t="shared" si="30"/>
        <v>668627</v>
      </c>
      <c r="L413" s="869" t="s">
        <v>179</v>
      </c>
      <c r="M413" s="869" t="s">
        <v>169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909"/>
      <c r="AB413" s="845"/>
      <c r="AC413" s="198"/>
      <c r="AD413" s="198"/>
    </row>
    <row r="414" spans="1:30" s="610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989</v>
      </c>
      <c r="E414" s="191">
        <v>40691</v>
      </c>
      <c r="F414" s="192" t="s">
        <v>895</v>
      </c>
      <c r="G414" s="502" t="s">
        <v>870</v>
      </c>
      <c r="H414" s="7" t="s">
        <v>756</v>
      </c>
      <c r="I414" s="260">
        <v>27</v>
      </c>
      <c r="J414" s="260">
        <v>16143.518518518518</v>
      </c>
      <c r="K414" s="618">
        <f t="shared" si="30"/>
        <v>435875</v>
      </c>
      <c r="L414" s="869" t="s">
        <v>179</v>
      </c>
      <c r="M414" s="869" t="s">
        <v>169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909"/>
      <c r="AB414" s="845"/>
      <c r="AC414" s="198"/>
      <c r="AD414" s="198"/>
    </row>
    <row r="415" spans="1:30" s="610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989</v>
      </c>
      <c r="E415" s="191">
        <v>40691</v>
      </c>
      <c r="F415" s="192" t="s">
        <v>896</v>
      </c>
      <c r="G415" s="502" t="s">
        <v>870</v>
      </c>
      <c r="H415" s="7" t="s">
        <v>756</v>
      </c>
      <c r="I415" s="260">
        <v>16</v>
      </c>
      <c r="J415" s="260">
        <v>7483.5</v>
      </c>
      <c r="K415" s="618">
        <f t="shared" si="30"/>
        <v>119736</v>
      </c>
      <c r="L415" s="869" t="s">
        <v>179</v>
      </c>
      <c r="M415" s="869" t="s">
        <v>169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909"/>
      <c r="AB415" s="845"/>
      <c r="AC415" s="198"/>
      <c r="AD415" s="198"/>
    </row>
    <row r="416" spans="1:30" s="610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990</v>
      </c>
      <c r="E416" s="191">
        <v>40691</v>
      </c>
      <c r="F416" s="192" t="s">
        <v>897</v>
      </c>
      <c r="G416" s="502" t="s">
        <v>871</v>
      </c>
      <c r="H416" s="7" t="s">
        <v>756</v>
      </c>
      <c r="I416" s="260">
        <v>127</v>
      </c>
      <c r="J416" s="260">
        <v>16143.511811023622</v>
      </c>
      <c r="K416" s="618">
        <f t="shared" si="30"/>
        <v>2050226</v>
      </c>
      <c r="L416" s="869" t="s">
        <v>179</v>
      </c>
      <c r="M416" s="869" t="s">
        <v>169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909"/>
      <c r="AB416" s="845"/>
      <c r="AC416" s="198"/>
      <c r="AD416" s="198"/>
    </row>
    <row r="417" spans="1:30" s="610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990</v>
      </c>
      <c r="E417" s="191">
        <v>40691</v>
      </c>
      <c r="F417" s="192" t="s">
        <v>898</v>
      </c>
      <c r="G417" s="502" t="s">
        <v>871</v>
      </c>
      <c r="H417" s="7" t="s">
        <v>756</v>
      </c>
      <c r="I417" s="260">
        <v>5</v>
      </c>
      <c r="J417" s="260">
        <v>5808.6</v>
      </c>
      <c r="K417" s="618">
        <f t="shared" si="30"/>
        <v>29043</v>
      </c>
      <c r="L417" s="869" t="s">
        <v>179</v>
      </c>
      <c r="M417" s="869" t="s">
        <v>169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909"/>
      <c r="AB417" s="845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990</v>
      </c>
      <c r="E418" s="191">
        <v>40691</v>
      </c>
      <c r="F418" s="192" t="s">
        <v>899</v>
      </c>
      <c r="G418" s="502" t="s">
        <v>871</v>
      </c>
      <c r="H418" s="7" t="s">
        <v>756</v>
      </c>
      <c r="I418" s="260">
        <v>3</v>
      </c>
      <c r="J418" s="260">
        <v>9979.6666666666661</v>
      </c>
      <c r="K418" s="618">
        <f t="shared" si="30"/>
        <v>29939</v>
      </c>
      <c r="L418" s="869" t="s">
        <v>179</v>
      </c>
      <c r="M418" s="869" t="s">
        <v>169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909"/>
      <c r="AB418" s="845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990</v>
      </c>
      <c r="E419" s="191">
        <v>40691</v>
      </c>
      <c r="F419" s="192" t="s">
        <v>900</v>
      </c>
      <c r="G419" s="502" t="s">
        <v>871</v>
      </c>
      <c r="H419" s="7" t="s">
        <v>756</v>
      </c>
      <c r="I419" s="260">
        <v>12</v>
      </c>
      <c r="J419" s="260">
        <v>17484.5</v>
      </c>
      <c r="K419" s="618">
        <f t="shared" si="30"/>
        <v>209814</v>
      </c>
      <c r="L419" s="869" t="s">
        <v>179</v>
      </c>
      <c r="M419" s="869" t="s">
        <v>169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909"/>
      <c r="AB419" s="845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990</v>
      </c>
      <c r="E420" s="191">
        <v>40691</v>
      </c>
      <c r="F420" s="192" t="s">
        <v>901</v>
      </c>
      <c r="G420" s="502" t="s">
        <v>871</v>
      </c>
      <c r="H420" s="7" t="s">
        <v>756</v>
      </c>
      <c r="I420" s="260">
        <v>9</v>
      </c>
      <c r="J420" s="260">
        <v>7759.5555555555557</v>
      </c>
      <c r="K420" s="618">
        <f t="shared" si="30"/>
        <v>69836</v>
      </c>
      <c r="L420" s="869" t="s">
        <v>179</v>
      </c>
      <c r="M420" s="869" t="s">
        <v>169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909"/>
      <c r="AB420" s="845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990</v>
      </c>
      <c r="E421" s="191">
        <v>40691</v>
      </c>
      <c r="F421" s="192" t="s">
        <v>902</v>
      </c>
      <c r="G421" s="502" t="s">
        <v>871</v>
      </c>
      <c r="H421" s="7" t="s">
        <v>756</v>
      </c>
      <c r="I421" s="260">
        <v>8</v>
      </c>
      <c r="J421" s="260">
        <v>9979.5</v>
      </c>
      <c r="K421" s="618">
        <f t="shared" si="30"/>
        <v>79836</v>
      </c>
      <c r="L421" s="869" t="s">
        <v>179</v>
      </c>
      <c r="M421" s="869" t="s">
        <v>169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909"/>
      <c r="AB421" s="845"/>
      <c r="AC421" s="198"/>
      <c r="AD421" s="198"/>
    </row>
    <row r="422" spans="1:30" s="610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990</v>
      </c>
      <c r="E422" s="191">
        <v>40691</v>
      </c>
      <c r="F422" s="192" t="s">
        <v>903</v>
      </c>
      <c r="G422" s="502" t="s">
        <v>871</v>
      </c>
      <c r="H422" s="7" t="s">
        <v>756</v>
      </c>
      <c r="I422" s="260">
        <v>7</v>
      </c>
      <c r="J422" s="260">
        <v>9979.5714285714294</v>
      </c>
      <c r="K422" s="618">
        <f t="shared" si="30"/>
        <v>69857</v>
      </c>
      <c r="L422" s="869" t="s">
        <v>179</v>
      </c>
      <c r="M422" s="869" t="s">
        <v>169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909"/>
      <c r="AB422" s="845"/>
      <c r="AC422" s="198"/>
      <c r="AD422" s="198"/>
    </row>
    <row r="423" spans="1:30" s="610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990</v>
      </c>
      <c r="E423" s="191">
        <v>40691</v>
      </c>
      <c r="F423" s="192" t="s">
        <v>904</v>
      </c>
      <c r="G423" s="502" t="s">
        <v>871</v>
      </c>
      <c r="H423" s="7" t="s">
        <v>756</v>
      </c>
      <c r="I423" s="260">
        <v>13</v>
      </c>
      <c r="J423" s="260">
        <v>12946.538461538461</v>
      </c>
      <c r="K423" s="618">
        <f t="shared" si="30"/>
        <v>168305</v>
      </c>
      <c r="L423" s="869" t="s">
        <v>179</v>
      </c>
      <c r="M423" s="869" t="s">
        <v>169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909"/>
      <c r="AB423" s="845"/>
      <c r="AC423" s="198"/>
      <c r="AD423" s="198"/>
    </row>
    <row r="424" spans="1:30" s="610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991</v>
      </c>
      <c r="E424" s="191">
        <v>40691</v>
      </c>
      <c r="F424" s="192" t="s">
        <v>906</v>
      </c>
      <c r="G424" s="502" t="s">
        <v>884</v>
      </c>
      <c r="H424" s="7" t="s">
        <v>756</v>
      </c>
      <c r="I424" s="260">
        <v>5</v>
      </c>
      <c r="J424" s="260">
        <v>12946.6</v>
      </c>
      <c r="K424" s="618">
        <f t="shared" si="30"/>
        <v>64733</v>
      </c>
      <c r="L424" s="869" t="s">
        <v>179</v>
      </c>
      <c r="M424" s="869" t="s">
        <v>169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909"/>
      <c r="AB424" s="845"/>
      <c r="AC424" s="198"/>
      <c r="AD424" s="198"/>
    </row>
    <row r="425" spans="1:30" s="610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991</v>
      </c>
      <c r="E425" s="191">
        <v>40691</v>
      </c>
      <c r="F425" s="192" t="s">
        <v>907</v>
      </c>
      <c r="G425" s="502" t="s">
        <v>884</v>
      </c>
      <c r="H425" s="7" t="s">
        <v>756</v>
      </c>
      <c r="I425" s="260">
        <v>22</v>
      </c>
      <c r="J425" s="260">
        <v>17821.5</v>
      </c>
      <c r="K425" s="618">
        <f t="shared" si="30"/>
        <v>392073</v>
      </c>
      <c r="L425" s="869" t="s">
        <v>179</v>
      </c>
      <c r="M425" s="869" t="s">
        <v>169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909"/>
      <c r="AB425" s="845"/>
      <c r="AC425" s="198"/>
      <c r="AD425" s="198"/>
    </row>
    <row r="426" spans="1:30" s="610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991</v>
      </c>
      <c r="E426" s="191">
        <v>40691</v>
      </c>
      <c r="F426" s="192" t="s">
        <v>908</v>
      </c>
      <c r="G426" s="502" t="s">
        <v>884</v>
      </c>
      <c r="H426" s="7" t="s">
        <v>756</v>
      </c>
      <c r="I426" s="260">
        <v>245</v>
      </c>
      <c r="J426" s="260">
        <v>7483.5142857142855</v>
      </c>
      <c r="K426" s="618">
        <f t="shared" si="30"/>
        <v>1833461</v>
      </c>
      <c r="L426" s="869" t="s">
        <v>179</v>
      </c>
      <c r="M426" s="869" t="s">
        <v>169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909"/>
      <c r="AB426" s="845"/>
      <c r="AC426" s="198"/>
      <c r="AD426" s="198"/>
    </row>
    <row r="427" spans="1:30" s="610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991</v>
      </c>
      <c r="E427" s="191">
        <v>40691</v>
      </c>
      <c r="F427" s="192" t="s">
        <v>909</v>
      </c>
      <c r="G427" s="502" t="s">
        <v>884</v>
      </c>
      <c r="H427" s="7" t="s">
        <v>756</v>
      </c>
      <c r="I427" s="260">
        <v>429</v>
      </c>
      <c r="J427" s="260">
        <v>24018.659673659673</v>
      </c>
      <c r="K427" s="618">
        <f t="shared" si="30"/>
        <v>10304005</v>
      </c>
      <c r="L427" s="869" t="s">
        <v>179</v>
      </c>
      <c r="M427" s="869" t="s">
        <v>169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909"/>
      <c r="AB427" s="845"/>
      <c r="AC427" s="198"/>
      <c r="AD427" s="198"/>
    </row>
    <row r="428" spans="1:30" s="610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991</v>
      </c>
      <c r="E428" s="191">
        <v>40691</v>
      </c>
      <c r="F428" s="192" t="s">
        <v>897</v>
      </c>
      <c r="G428" s="502" t="s">
        <v>884</v>
      </c>
      <c r="H428" s="7" t="s">
        <v>756</v>
      </c>
      <c r="I428" s="260">
        <v>22</v>
      </c>
      <c r="J428" s="260">
        <v>16143.5</v>
      </c>
      <c r="K428" s="618">
        <f t="shared" si="30"/>
        <v>355157</v>
      </c>
      <c r="L428" s="869" t="s">
        <v>179</v>
      </c>
      <c r="M428" s="869" t="s">
        <v>169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909"/>
      <c r="AB428" s="845"/>
      <c r="AC428" s="198"/>
      <c r="AD428" s="198"/>
    </row>
    <row r="429" spans="1:30" s="610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991</v>
      </c>
      <c r="E429" s="191">
        <v>40691</v>
      </c>
      <c r="F429" s="192" t="s">
        <v>910</v>
      </c>
      <c r="G429" s="502" t="s">
        <v>884</v>
      </c>
      <c r="H429" s="7" t="s">
        <v>756</v>
      </c>
      <c r="I429" s="260">
        <v>4</v>
      </c>
      <c r="J429" s="260">
        <v>16143.5</v>
      </c>
      <c r="K429" s="618">
        <f t="shared" si="30"/>
        <v>64574</v>
      </c>
      <c r="L429" s="869" t="s">
        <v>179</v>
      </c>
      <c r="M429" s="869" t="s">
        <v>169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909"/>
      <c r="AB429" s="845"/>
      <c r="AC429" s="198"/>
      <c r="AD429" s="198"/>
    </row>
    <row r="430" spans="1:30" s="610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991</v>
      </c>
      <c r="E430" s="191">
        <v>40691</v>
      </c>
      <c r="F430" s="192" t="s">
        <v>911</v>
      </c>
      <c r="G430" s="502" t="s">
        <v>884</v>
      </c>
      <c r="H430" s="7" t="s">
        <v>756</v>
      </c>
      <c r="I430" s="260">
        <v>2</v>
      </c>
      <c r="J430" s="260">
        <v>14857.5</v>
      </c>
      <c r="K430" s="618">
        <f t="shared" si="30"/>
        <v>29715</v>
      </c>
      <c r="L430" s="869" t="s">
        <v>179</v>
      </c>
      <c r="M430" s="869" t="s">
        <v>169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909"/>
      <c r="AB430" s="845"/>
      <c r="AC430" s="198"/>
      <c r="AD430" s="198"/>
    </row>
    <row r="431" spans="1:30" s="610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991</v>
      </c>
      <c r="E431" s="191">
        <v>40691</v>
      </c>
      <c r="F431" s="192" t="s">
        <v>891</v>
      </c>
      <c r="G431" s="502" t="s">
        <v>884</v>
      </c>
      <c r="H431" s="7" t="s">
        <v>756</v>
      </c>
      <c r="I431" s="260">
        <v>3</v>
      </c>
      <c r="J431" s="260">
        <v>14857.666666666666</v>
      </c>
      <c r="K431" s="618">
        <f t="shared" si="30"/>
        <v>44573</v>
      </c>
      <c r="L431" s="869" t="s">
        <v>179</v>
      </c>
      <c r="M431" s="869" t="s">
        <v>169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909"/>
      <c r="AB431" s="845"/>
      <c r="AC431" s="198"/>
      <c r="AD431" s="198"/>
    </row>
    <row r="432" spans="1:30" s="610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992</v>
      </c>
      <c r="E432" s="191">
        <v>40691</v>
      </c>
      <c r="F432" s="192" t="s">
        <v>895</v>
      </c>
      <c r="G432" s="502" t="s">
        <v>885</v>
      </c>
      <c r="H432" s="7" t="s">
        <v>756</v>
      </c>
      <c r="I432" s="260">
        <v>1</v>
      </c>
      <c r="J432" s="260">
        <v>14858</v>
      </c>
      <c r="K432" s="618">
        <f t="shared" si="30"/>
        <v>14858</v>
      </c>
      <c r="L432" s="869" t="s">
        <v>179</v>
      </c>
      <c r="M432" s="869" t="s">
        <v>169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909"/>
      <c r="AB432" s="845"/>
      <c r="AC432" s="198"/>
      <c r="AD432" s="198"/>
    </row>
    <row r="433" spans="1:30" s="610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992</v>
      </c>
      <c r="E433" s="191">
        <v>40691</v>
      </c>
      <c r="F433" s="192" t="s">
        <v>892</v>
      </c>
      <c r="G433" s="502" t="s">
        <v>885</v>
      </c>
      <c r="H433" s="7" t="s">
        <v>756</v>
      </c>
      <c r="I433" s="260">
        <v>5</v>
      </c>
      <c r="J433" s="260">
        <v>9372.6</v>
      </c>
      <c r="K433" s="618">
        <f t="shared" si="30"/>
        <v>46863</v>
      </c>
      <c r="L433" s="869" t="s">
        <v>179</v>
      </c>
      <c r="M433" s="869" t="s">
        <v>169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909"/>
      <c r="AB433" s="845"/>
      <c r="AC433" s="198"/>
      <c r="AD433" s="198"/>
    </row>
    <row r="434" spans="1:30" s="610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992</v>
      </c>
      <c r="E434" s="191">
        <v>40691</v>
      </c>
      <c r="F434" s="192" t="s">
        <v>915</v>
      </c>
      <c r="G434" s="502" t="s">
        <v>885</v>
      </c>
      <c r="H434" s="7" t="s">
        <v>756</v>
      </c>
      <c r="I434" s="260">
        <v>344</v>
      </c>
      <c r="J434" s="260">
        <v>16694.151162790698</v>
      </c>
      <c r="K434" s="618">
        <f t="shared" si="30"/>
        <v>5742788</v>
      </c>
      <c r="L434" s="869" t="s">
        <v>179</v>
      </c>
      <c r="M434" s="869" t="s">
        <v>169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909"/>
      <c r="AB434" s="845"/>
      <c r="AC434" s="198"/>
      <c r="AD434" s="198"/>
    </row>
    <row r="435" spans="1:30" s="610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992</v>
      </c>
      <c r="E435" s="191">
        <v>40691</v>
      </c>
      <c r="F435" s="192" t="s">
        <v>913</v>
      </c>
      <c r="G435" s="502" t="s">
        <v>885</v>
      </c>
      <c r="H435" s="7" t="s">
        <v>756</v>
      </c>
      <c r="I435" s="260">
        <v>239</v>
      </c>
      <c r="J435" s="260">
        <v>5808.5146443514641</v>
      </c>
      <c r="K435" s="618">
        <f t="shared" si="30"/>
        <v>1388235</v>
      </c>
      <c r="L435" s="869" t="s">
        <v>179</v>
      </c>
      <c r="M435" s="869" t="s">
        <v>169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909"/>
      <c r="AB435" s="845"/>
      <c r="AC435" s="198"/>
      <c r="AD435" s="198"/>
    </row>
    <row r="436" spans="1:30" s="610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992</v>
      </c>
      <c r="E436" s="191">
        <v>40691</v>
      </c>
      <c r="F436" s="192" t="s">
        <v>914</v>
      </c>
      <c r="G436" s="502" t="s">
        <v>885</v>
      </c>
      <c r="H436" s="7" t="s">
        <v>756</v>
      </c>
      <c r="I436" s="260">
        <v>102</v>
      </c>
      <c r="J436" s="260">
        <v>3584.0098039215686</v>
      </c>
      <c r="K436" s="618">
        <f t="shared" si="30"/>
        <v>365569</v>
      </c>
      <c r="L436" s="869" t="s">
        <v>179</v>
      </c>
      <c r="M436" s="869" t="s">
        <v>169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909"/>
      <c r="AB436" s="845"/>
      <c r="AC436" s="198"/>
      <c r="AD436" s="198"/>
    </row>
    <row r="437" spans="1:30" s="610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992</v>
      </c>
      <c r="E437" s="191">
        <v>40691</v>
      </c>
      <c r="F437" s="192" t="s">
        <v>916</v>
      </c>
      <c r="G437" s="502" t="s">
        <v>885</v>
      </c>
      <c r="H437" s="7" t="s">
        <v>756</v>
      </c>
      <c r="I437" s="260">
        <v>24</v>
      </c>
      <c r="J437" s="260">
        <v>13959.5</v>
      </c>
      <c r="K437" s="618">
        <f t="shared" si="30"/>
        <v>335028</v>
      </c>
      <c r="L437" s="869" t="s">
        <v>179</v>
      </c>
      <c r="M437" s="869" t="s">
        <v>169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909"/>
      <c r="AB437" s="845"/>
      <c r="AC437" s="198"/>
      <c r="AD437" s="198"/>
    </row>
    <row r="438" spans="1:30" s="610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992</v>
      </c>
      <c r="E438" s="191">
        <v>40691</v>
      </c>
      <c r="F438" s="192" t="s">
        <v>909</v>
      </c>
      <c r="G438" s="502" t="s">
        <v>885</v>
      </c>
      <c r="H438" s="7" t="s">
        <v>756</v>
      </c>
      <c r="I438" s="260">
        <v>208</v>
      </c>
      <c r="J438" s="260">
        <v>24021.947115384617</v>
      </c>
      <c r="K438" s="618">
        <f t="shared" si="30"/>
        <v>4996565</v>
      </c>
      <c r="L438" s="869" t="s">
        <v>179</v>
      </c>
      <c r="M438" s="869" t="s">
        <v>169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909"/>
      <c r="AB438" s="845"/>
      <c r="AC438" s="198"/>
      <c r="AD438" s="198"/>
    </row>
    <row r="439" spans="1:30" s="610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992</v>
      </c>
      <c r="E439" s="191">
        <v>40691</v>
      </c>
      <c r="F439" s="192" t="s">
        <v>917</v>
      </c>
      <c r="G439" s="502" t="s">
        <v>885</v>
      </c>
      <c r="H439" s="7" t="s">
        <v>756</v>
      </c>
      <c r="I439" s="260">
        <v>51</v>
      </c>
      <c r="J439" s="260">
        <v>26161.470588235294</v>
      </c>
      <c r="K439" s="618">
        <f t="shared" si="30"/>
        <v>1334235</v>
      </c>
      <c r="L439" s="869" t="s">
        <v>179</v>
      </c>
      <c r="M439" s="869" t="s">
        <v>169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909"/>
      <c r="AB439" s="845"/>
      <c r="AC439" s="198"/>
      <c r="AD439" s="198"/>
    </row>
    <row r="440" spans="1:30" s="610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993</v>
      </c>
      <c r="E440" s="191">
        <v>40691</v>
      </c>
      <c r="F440" s="192" t="s">
        <v>919</v>
      </c>
      <c r="G440" s="502" t="s">
        <v>886</v>
      </c>
      <c r="H440" s="7" t="s">
        <v>756</v>
      </c>
      <c r="I440" s="260">
        <v>406</v>
      </c>
      <c r="J440" s="260">
        <v>25075.512315270935</v>
      </c>
      <c r="K440" s="618">
        <f t="shared" ref="K440:K471" si="32">ROUND(I440*J440,0)</f>
        <v>10180658</v>
      </c>
      <c r="L440" s="869" t="s">
        <v>179</v>
      </c>
      <c r="M440" s="869" t="s">
        <v>169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909"/>
      <c r="AB440" s="845"/>
      <c r="AC440" s="198"/>
      <c r="AD440" s="198"/>
    </row>
    <row r="441" spans="1:30" s="610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993</v>
      </c>
      <c r="E441" s="191">
        <v>40691</v>
      </c>
      <c r="F441" s="192" t="s">
        <v>920</v>
      </c>
      <c r="G441" s="502" t="s">
        <v>886</v>
      </c>
      <c r="H441" s="7" t="s">
        <v>756</v>
      </c>
      <c r="I441" s="260">
        <v>50</v>
      </c>
      <c r="J441" s="260">
        <v>5808.52</v>
      </c>
      <c r="K441" s="618">
        <f t="shared" si="32"/>
        <v>290426</v>
      </c>
      <c r="L441" s="869" t="s">
        <v>179</v>
      </c>
      <c r="M441" s="869" t="s">
        <v>169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909"/>
      <c r="AB441" s="845"/>
      <c r="AC441" s="198"/>
      <c r="AD441" s="198"/>
    </row>
    <row r="442" spans="1:30" s="610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993</v>
      </c>
      <c r="E442" s="191">
        <v>40691</v>
      </c>
      <c r="F442" s="192" t="s">
        <v>921</v>
      </c>
      <c r="G442" s="502" t="s">
        <v>886</v>
      </c>
      <c r="H442" s="7" t="s">
        <v>756</v>
      </c>
      <c r="I442" s="260">
        <v>68</v>
      </c>
      <c r="J442" s="260">
        <v>2471.7647058823532</v>
      </c>
      <c r="K442" s="618">
        <f t="shared" si="32"/>
        <v>168080</v>
      </c>
      <c r="L442" s="869" t="s">
        <v>179</v>
      </c>
      <c r="M442" s="869" t="s">
        <v>169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909"/>
      <c r="AB442" s="845"/>
      <c r="AC442" s="198"/>
      <c r="AD442" s="198"/>
    </row>
    <row r="443" spans="1:30" s="610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993</v>
      </c>
      <c r="E443" s="191">
        <v>40691</v>
      </c>
      <c r="F443" s="192" t="s">
        <v>922</v>
      </c>
      <c r="G443" s="502" t="s">
        <v>886</v>
      </c>
      <c r="H443" s="7" t="s">
        <v>756</v>
      </c>
      <c r="I443" s="260">
        <v>300</v>
      </c>
      <c r="J443" s="260">
        <v>2471.7633333333333</v>
      </c>
      <c r="K443" s="618">
        <f t="shared" si="32"/>
        <v>741529</v>
      </c>
      <c r="L443" s="869" t="s">
        <v>179</v>
      </c>
      <c r="M443" s="869" t="s">
        <v>169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909"/>
      <c r="AB443" s="845"/>
      <c r="AC443" s="198"/>
      <c r="AD443" s="198"/>
    </row>
    <row r="444" spans="1:30" s="610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993</v>
      </c>
      <c r="E444" s="191">
        <v>40691</v>
      </c>
      <c r="F444" s="192" t="s">
        <v>923</v>
      </c>
      <c r="G444" s="502" t="s">
        <v>886</v>
      </c>
      <c r="H444" s="7" t="s">
        <v>756</v>
      </c>
      <c r="I444" s="260">
        <v>40</v>
      </c>
      <c r="J444" s="260">
        <v>2471.7750000000001</v>
      </c>
      <c r="K444" s="618">
        <f t="shared" si="32"/>
        <v>98871</v>
      </c>
      <c r="L444" s="869" t="s">
        <v>179</v>
      </c>
      <c r="M444" s="869" t="s">
        <v>169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909"/>
      <c r="AB444" s="845"/>
      <c r="AC444" s="198"/>
      <c r="AD444" s="198"/>
    </row>
    <row r="445" spans="1:30" s="610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993</v>
      </c>
      <c r="E445" s="191">
        <v>40691</v>
      </c>
      <c r="F445" s="192" t="s">
        <v>924</v>
      </c>
      <c r="G445" s="502" t="s">
        <v>886</v>
      </c>
      <c r="H445" s="7" t="s">
        <v>756</v>
      </c>
      <c r="I445" s="262">
        <v>34</v>
      </c>
      <c r="J445" s="262">
        <v>3584</v>
      </c>
      <c r="K445" s="618">
        <f t="shared" si="32"/>
        <v>121856</v>
      </c>
      <c r="L445" s="869" t="s">
        <v>179</v>
      </c>
      <c r="M445" s="869" t="s">
        <v>169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909"/>
      <c r="AB445" s="845"/>
      <c r="AC445" s="198"/>
      <c r="AD445" s="198"/>
    </row>
    <row r="446" spans="1:30" s="610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993</v>
      </c>
      <c r="E446" s="191">
        <v>40691</v>
      </c>
      <c r="F446" s="192" t="s">
        <v>925</v>
      </c>
      <c r="G446" s="502" t="s">
        <v>886</v>
      </c>
      <c r="H446" s="7" t="s">
        <v>756</v>
      </c>
      <c r="I446" s="260">
        <v>140</v>
      </c>
      <c r="J446" s="260">
        <v>3584.0142857142855</v>
      </c>
      <c r="K446" s="618">
        <f t="shared" si="32"/>
        <v>501762</v>
      </c>
      <c r="L446" s="869" t="s">
        <v>179</v>
      </c>
      <c r="M446" s="869" t="s">
        <v>169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909"/>
      <c r="AB446" s="845"/>
      <c r="AC446" s="198"/>
      <c r="AD446" s="198"/>
    </row>
    <row r="447" spans="1:30" s="610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993</v>
      </c>
      <c r="E447" s="191">
        <v>40691</v>
      </c>
      <c r="F447" s="192" t="s">
        <v>926</v>
      </c>
      <c r="G447" s="502" t="s">
        <v>886</v>
      </c>
      <c r="H447" s="7" t="s">
        <v>756</v>
      </c>
      <c r="I447" s="260">
        <v>140</v>
      </c>
      <c r="J447" s="260">
        <v>9372.5142857142855</v>
      </c>
      <c r="K447" s="618">
        <f t="shared" si="32"/>
        <v>1312152</v>
      </c>
      <c r="L447" s="869" t="s">
        <v>179</v>
      </c>
      <c r="M447" s="869" t="s">
        <v>169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909"/>
      <c r="AB447" s="845"/>
      <c r="AC447" s="198"/>
      <c r="AD447" s="198"/>
    </row>
    <row r="448" spans="1:30" s="610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994</v>
      </c>
      <c r="E448" s="191">
        <v>40691</v>
      </c>
      <c r="F448" s="192" t="s">
        <v>916</v>
      </c>
      <c r="G448" s="502" t="s">
        <v>887</v>
      </c>
      <c r="H448" s="7" t="s">
        <v>756</v>
      </c>
      <c r="I448" s="260">
        <v>10</v>
      </c>
      <c r="J448" s="260">
        <v>13959.5</v>
      </c>
      <c r="K448" s="618">
        <f t="shared" si="32"/>
        <v>139595</v>
      </c>
      <c r="L448" s="869" t="s">
        <v>179</v>
      </c>
      <c r="M448" s="869" t="s">
        <v>169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909"/>
      <c r="AB448" s="845"/>
      <c r="AC448" s="198"/>
      <c r="AD448" s="198"/>
    </row>
    <row r="449" spans="1:30" s="610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994</v>
      </c>
      <c r="E449" s="191">
        <v>40691</v>
      </c>
      <c r="F449" s="192" t="s">
        <v>927</v>
      </c>
      <c r="G449" s="502" t="s">
        <v>887</v>
      </c>
      <c r="H449" s="7" t="s">
        <v>756</v>
      </c>
      <c r="I449" s="260">
        <v>68</v>
      </c>
      <c r="J449" s="260">
        <v>9979.5147058823532</v>
      </c>
      <c r="K449" s="618">
        <f t="shared" si="32"/>
        <v>678607</v>
      </c>
      <c r="L449" s="869" t="s">
        <v>179</v>
      </c>
      <c r="M449" s="869" t="s">
        <v>169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909"/>
      <c r="AB449" s="845"/>
      <c r="AC449" s="198"/>
      <c r="AD449" s="198"/>
    </row>
    <row r="450" spans="1:30" s="610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994</v>
      </c>
      <c r="E450" s="191">
        <v>40691</v>
      </c>
      <c r="F450" s="192" t="s">
        <v>928</v>
      </c>
      <c r="G450" s="502" t="s">
        <v>887</v>
      </c>
      <c r="H450" s="7" t="s">
        <v>756</v>
      </c>
      <c r="I450" s="260">
        <v>300</v>
      </c>
      <c r="J450" s="260">
        <v>12946.513333333334</v>
      </c>
      <c r="K450" s="618">
        <f t="shared" si="32"/>
        <v>3883954</v>
      </c>
      <c r="L450" s="869" t="s">
        <v>179</v>
      </c>
      <c r="M450" s="869" t="s">
        <v>169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909"/>
      <c r="AB450" s="845"/>
      <c r="AC450" s="198"/>
      <c r="AD450" s="198"/>
    </row>
    <row r="451" spans="1:30" s="610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994</v>
      </c>
      <c r="E451" s="191">
        <v>40691</v>
      </c>
      <c r="F451" s="192" t="s">
        <v>929</v>
      </c>
      <c r="G451" s="502" t="s">
        <v>887</v>
      </c>
      <c r="H451" s="7" t="s">
        <v>756</v>
      </c>
      <c r="I451" s="260">
        <v>40</v>
      </c>
      <c r="J451" s="260">
        <v>14589.525</v>
      </c>
      <c r="K451" s="618">
        <f t="shared" si="32"/>
        <v>583581</v>
      </c>
      <c r="L451" s="869" t="s">
        <v>179</v>
      </c>
      <c r="M451" s="869" t="s">
        <v>169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909"/>
      <c r="AB451" s="845"/>
      <c r="AC451" s="198"/>
      <c r="AD451" s="198"/>
    </row>
    <row r="452" spans="1:30" s="610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1140</v>
      </c>
      <c r="E452" s="191">
        <v>40691</v>
      </c>
      <c r="F452" s="192" t="s">
        <v>765</v>
      </c>
      <c r="G452" s="502"/>
      <c r="H452" s="632" t="s">
        <v>1116</v>
      </c>
      <c r="I452" s="260">
        <v>181</v>
      </c>
      <c r="J452" s="260">
        <v>18284.513812154695</v>
      </c>
      <c r="K452" s="618">
        <f t="shared" si="32"/>
        <v>3309497</v>
      </c>
      <c r="L452" s="39" t="s">
        <v>169</v>
      </c>
      <c r="M452" s="731" t="s">
        <v>167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909"/>
      <c r="AB452" s="198"/>
      <c r="AC452" s="198"/>
      <c r="AD452" s="198"/>
    </row>
    <row r="453" spans="1:30" s="610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1140</v>
      </c>
      <c r="E453" s="191">
        <v>40691</v>
      </c>
      <c r="F453" s="192" t="s">
        <v>890</v>
      </c>
      <c r="G453" s="502"/>
      <c r="H453" s="632" t="s">
        <v>1116</v>
      </c>
      <c r="I453" s="260">
        <v>254</v>
      </c>
      <c r="J453" s="260">
        <v>2480.51968503937</v>
      </c>
      <c r="K453" s="618">
        <f t="shared" si="32"/>
        <v>630052</v>
      </c>
      <c r="L453" s="39" t="s">
        <v>169</v>
      </c>
      <c r="M453" s="731" t="s">
        <v>167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909"/>
      <c r="AB453" s="198"/>
      <c r="AC453" s="198"/>
      <c r="AD453" s="198"/>
    </row>
    <row r="454" spans="1:30" s="610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1140</v>
      </c>
      <c r="E454" s="191">
        <v>40691</v>
      </c>
      <c r="F454" s="192" t="s">
        <v>891</v>
      </c>
      <c r="G454" s="502"/>
      <c r="H454" s="632" t="s">
        <v>1116</v>
      </c>
      <c r="I454" s="262">
        <v>408</v>
      </c>
      <c r="J454" s="262">
        <v>14206.571078431372</v>
      </c>
      <c r="K454" s="618">
        <f t="shared" si="32"/>
        <v>5796281</v>
      </c>
      <c r="L454" s="39" t="s">
        <v>169</v>
      </c>
      <c r="M454" s="731" t="s">
        <v>167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909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1140</v>
      </c>
      <c r="E455" s="191">
        <v>40691</v>
      </c>
      <c r="F455" s="192" t="s">
        <v>892</v>
      </c>
      <c r="G455" s="502"/>
      <c r="H455" s="632" t="s">
        <v>1116</v>
      </c>
      <c r="I455" s="262">
        <v>345</v>
      </c>
      <c r="J455" s="262">
        <v>9372.5130434782604</v>
      </c>
      <c r="K455" s="618">
        <f t="shared" si="32"/>
        <v>3233517</v>
      </c>
      <c r="L455" s="39" t="s">
        <v>169</v>
      </c>
      <c r="M455" s="731" t="s">
        <v>167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909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1140</v>
      </c>
      <c r="E456" s="191">
        <v>40691</v>
      </c>
      <c r="F456" s="192" t="s">
        <v>893</v>
      </c>
      <c r="G456" s="502"/>
      <c r="H456" s="632" t="s">
        <v>1116</v>
      </c>
      <c r="I456" s="260">
        <v>4</v>
      </c>
      <c r="J456" s="260">
        <v>9979.5</v>
      </c>
      <c r="K456" s="618">
        <f t="shared" si="32"/>
        <v>39918</v>
      </c>
      <c r="L456" s="39" t="s">
        <v>169</v>
      </c>
      <c r="M456" s="731" t="s">
        <v>167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909"/>
      <c r="AB456" s="198"/>
      <c r="AC456" s="198"/>
      <c r="AD456" s="198"/>
    </row>
    <row r="457" spans="1:30" s="610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1140</v>
      </c>
      <c r="E457" s="191">
        <v>40691</v>
      </c>
      <c r="F457" s="192" t="s">
        <v>894</v>
      </c>
      <c r="G457" s="502"/>
      <c r="H457" s="632" t="s">
        <v>1116</v>
      </c>
      <c r="I457" s="260">
        <v>67</v>
      </c>
      <c r="J457" s="260">
        <v>9979.507462686568</v>
      </c>
      <c r="K457" s="618">
        <f t="shared" si="32"/>
        <v>668627</v>
      </c>
      <c r="L457" s="39" t="s">
        <v>169</v>
      </c>
      <c r="M457" s="731" t="s">
        <v>167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909"/>
      <c r="AB457" s="198"/>
      <c r="AC457" s="198"/>
      <c r="AD457" s="198"/>
    </row>
    <row r="458" spans="1:30" s="610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1140</v>
      </c>
      <c r="E458" s="191">
        <v>40691</v>
      </c>
      <c r="F458" s="192" t="s">
        <v>895</v>
      </c>
      <c r="G458" s="502"/>
      <c r="H458" s="632" t="s">
        <v>1116</v>
      </c>
      <c r="I458" s="260">
        <v>27</v>
      </c>
      <c r="J458" s="260">
        <v>16143.518518518518</v>
      </c>
      <c r="K458" s="618">
        <f t="shared" si="32"/>
        <v>435875</v>
      </c>
      <c r="L458" s="39" t="s">
        <v>169</v>
      </c>
      <c r="M458" s="731" t="s">
        <v>167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909"/>
      <c r="AB458" s="198"/>
      <c r="AC458" s="198"/>
      <c r="AD458" s="198"/>
    </row>
    <row r="459" spans="1:30" s="610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1140</v>
      </c>
      <c r="E459" s="191">
        <v>40691</v>
      </c>
      <c r="F459" s="192" t="s">
        <v>896</v>
      </c>
      <c r="G459" s="502"/>
      <c r="H459" s="632" t="s">
        <v>1116</v>
      </c>
      <c r="I459" s="260">
        <v>16</v>
      </c>
      <c r="J459" s="260">
        <v>7483.5</v>
      </c>
      <c r="K459" s="618">
        <f t="shared" si="32"/>
        <v>119736</v>
      </c>
      <c r="L459" s="39" t="s">
        <v>169</v>
      </c>
      <c r="M459" s="731" t="s">
        <v>167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909"/>
      <c r="AB459" s="198"/>
      <c r="AC459" s="198"/>
      <c r="AD459" s="198"/>
    </row>
    <row r="460" spans="1:30" s="610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1140</v>
      </c>
      <c r="E460" s="191">
        <v>40691</v>
      </c>
      <c r="F460" s="192" t="s">
        <v>897</v>
      </c>
      <c r="G460" s="502"/>
      <c r="H460" s="632" t="s">
        <v>1116</v>
      </c>
      <c r="I460" s="260">
        <v>127</v>
      </c>
      <c r="J460" s="260">
        <v>16143.511811023622</v>
      </c>
      <c r="K460" s="618">
        <f t="shared" si="32"/>
        <v>2050226</v>
      </c>
      <c r="L460" s="39" t="s">
        <v>169</v>
      </c>
      <c r="M460" s="731" t="s">
        <v>167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909"/>
      <c r="AB460" s="198"/>
      <c r="AC460" s="198"/>
      <c r="AD460" s="198"/>
    </row>
    <row r="461" spans="1:30" s="610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1141</v>
      </c>
      <c r="E461" s="191">
        <v>40691</v>
      </c>
      <c r="F461" s="192" t="s">
        <v>898</v>
      </c>
      <c r="G461" s="502"/>
      <c r="H461" s="632" t="s">
        <v>1116</v>
      </c>
      <c r="I461" s="260">
        <v>5</v>
      </c>
      <c r="J461" s="260">
        <v>5808.6</v>
      </c>
      <c r="K461" s="618">
        <f t="shared" si="32"/>
        <v>29043</v>
      </c>
      <c r="L461" s="39" t="s">
        <v>169</v>
      </c>
      <c r="M461" s="731" t="s">
        <v>167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909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1141</v>
      </c>
      <c r="E462" s="191">
        <v>40691</v>
      </c>
      <c r="F462" s="192" t="s">
        <v>899</v>
      </c>
      <c r="G462" s="502"/>
      <c r="H462" s="632" t="s">
        <v>1116</v>
      </c>
      <c r="I462" s="260">
        <v>3</v>
      </c>
      <c r="J462" s="260">
        <v>9979.6666666666661</v>
      </c>
      <c r="K462" s="618">
        <f t="shared" si="32"/>
        <v>29939</v>
      </c>
      <c r="L462" s="39" t="s">
        <v>169</v>
      </c>
      <c r="M462" s="731" t="s">
        <v>167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909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1141</v>
      </c>
      <c r="E463" s="191">
        <v>40691</v>
      </c>
      <c r="F463" s="192" t="s">
        <v>900</v>
      </c>
      <c r="G463" s="502"/>
      <c r="H463" s="632" t="s">
        <v>1116</v>
      </c>
      <c r="I463" s="260">
        <v>12</v>
      </c>
      <c r="J463" s="260">
        <v>17484.5</v>
      </c>
      <c r="K463" s="618">
        <f t="shared" si="32"/>
        <v>209814</v>
      </c>
      <c r="L463" s="39" t="s">
        <v>169</v>
      </c>
      <c r="M463" s="731" t="s">
        <v>167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909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1141</v>
      </c>
      <c r="E464" s="191">
        <v>40691</v>
      </c>
      <c r="F464" s="192" t="s">
        <v>901</v>
      </c>
      <c r="G464" s="502"/>
      <c r="H464" s="632" t="s">
        <v>1116</v>
      </c>
      <c r="I464" s="260">
        <v>9</v>
      </c>
      <c r="J464" s="260">
        <v>7759.5555555555557</v>
      </c>
      <c r="K464" s="618">
        <f t="shared" si="32"/>
        <v>69836</v>
      </c>
      <c r="L464" s="39" t="s">
        <v>169</v>
      </c>
      <c r="M464" s="731" t="s">
        <v>167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909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1141</v>
      </c>
      <c r="E465" s="191">
        <v>40691</v>
      </c>
      <c r="F465" s="192" t="s">
        <v>902</v>
      </c>
      <c r="G465" s="502"/>
      <c r="H465" s="632" t="s">
        <v>1116</v>
      </c>
      <c r="I465" s="260">
        <v>8</v>
      </c>
      <c r="J465" s="260">
        <v>9979.5</v>
      </c>
      <c r="K465" s="618">
        <f t="shared" si="32"/>
        <v>79836</v>
      </c>
      <c r="L465" s="39" t="s">
        <v>169</v>
      </c>
      <c r="M465" s="731" t="s">
        <v>167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909"/>
      <c r="AB465" s="198"/>
      <c r="AC465" s="198"/>
      <c r="AD465" s="198"/>
    </row>
    <row r="466" spans="1:30" s="610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1141</v>
      </c>
      <c r="E466" s="191">
        <v>40691</v>
      </c>
      <c r="F466" s="192" t="s">
        <v>903</v>
      </c>
      <c r="G466" s="502"/>
      <c r="H466" s="632" t="s">
        <v>1116</v>
      </c>
      <c r="I466" s="260">
        <v>7</v>
      </c>
      <c r="J466" s="260">
        <v>9979.5714285714294</v>
      </c>
      <c r="K466" s="618">
        <f t="shared" si="32"/>
        <v>69857</v>
      </c>
      <c r="L466" s="39" t="s">
        <v>169</v>
      </c>
      <c r="M466" s="731" t="s">
        <v>167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909"/>
      <c r="AB466" s="198"/>
      <c r="AC466" s="198"/>
      <c r="AD466" s="198"/>
    </row>
    <row r="467" spans="1:30" s="610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1141</v>
      </c>
      <c r="E467" s="191">
        <v>40691</v>
      </c>
      <c r="F467" s="192" t="s">
        <v>904</v>
      </c>
      <c r="G467" s="502"/>
      <c r="H467" s="632" t="s">
        <v>1116</v>
      </c>
      <c r="I467" s="260">
        <v>13</v>
      </c>
      <c r="J467" s="260">
        <v>12946.538461538461</v>
      </c>
      <c r="K467" s="618">
        <f t="shared" si="32"/>
        <v>168305</v>
      </c>
      <c r="L467" s="39" t="s">
        <v>169</v>
      </c>
      <c r="M467" s="731" t="s">
        <v>167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909"/>
      <c r="AB467" s="198"/>
      <c r="AC467" s="198"/>
      <c r="AD467" s="198"/>
    </row>
    <row r="468" spans="1:30" s="610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1141</v>
      </c>
      <c r="E468" s="191">
        <v>40691</v>
      </c>
      <c r="F468" s="192" t="s">
        <v>906</v>
      </c>
      <c r="G468" s="502"/>
      <c r="H468" s="632" t="s">
        <v>1116</v>
      </c>
      <c r="I468" s="260">
        <v>5</v>
      </c>
      <c r="J468" s="260">
        <v>12946.6</v>
      </c>
      <c r="K468" s="618">
        <f t="shared" si="32"/>
        <v>64733</v>
      </c>
      <c r="L468" s="39" t="s">
        <v>169</v>
      </c>
      <c r="M468" s="731" t="s">
        <v>167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909"/>
      <c r="AB468" s="198"/>
      <c r="AC468" s="198"/>
      <c r="AD468" s="198"/>
    </row>
    <row r="469" spans="1:30" s="610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1141</v>
      </c>
      <c r="E469" s="191">
        <v>40691</v>
      </c>
      <c r="F469" s="192" t="s">
        <v>907</v>
      </c>
      <c r="G469" s="502"/>
      <c r="H469" s="632" t="s">
        <v>1116</v>
      </c>
      <c r="I469" s="260">
        <v>22</v>
      </c>
      <c r="J469" s="260">
        <v>17821.5</v>
      </c>
      <c r="K469" s="618">
        <f t="shared" si="32"/>
        <v>392073</v>
      </c>
      <c r="L469" s="39" t="s">
        <v>169</v>
      </c>
      <c r="M469" s="731" t="s">
        <v>167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909"/>
      <c r="AB469" s="198"/>
      <c r="AC469" s="198"/>
      <c r="AD469" s="198"/>
    </row>
    <row r="470" spans="1:30" s="610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1142</v>
      </c>
      <c r="E470" s="191">
        <v>40691</v>
      </c>
      <c r="F470" s="192" t="s">
        <v>908</v>
      </c>
      <c r="G470" s="502"/>
      <c r="H470" s="632" t="s">
        <v>1116</v>
      </c>
      <c r="I470" s="260">
        <v>245</v>
      </c>
      <c r="J470" s="260">
        <v>7483.5142857142855</v>
      </c>
      <c r="K470" s="618">
        <f t="shared" si="32"/>
        <v>1833461</v>
      </c>
      <c r="L470" s="39" t="s">
        <v>169</v>
      </c>
      <c r="M470" s="731" t="s">
        <v>167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909"/>
      <c r="AB470" s="198"/>
      <c r="AC470" s="198"/>
      <c r="AD470" s="198"/>
    </row>
    <row r="471" spans="1:30" s="610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1142</v>
      </c>
      <c r="E471" s="191">
        <v>40691</v>
      </c>
      <c r="F471" s="192" t="s">
        <v>909</v>
      </c>
      <c r="G471" s="502"/>
      <c r="H471" s="632" t="s">
        <v>1116</v>
      </c>
      <c r="I471" s="260">
        <v>429</v>
      </c>
      <c r="J471" s="260">
        <v>24018.659673659673</v>
      </c>
      <c r="K471" s="618">
        <f t="shared" si="32"/>
        <v>10304005</v>
      </c>
      <c r="L471" s="39" t="s">
        <v>169</v>
      </c>
      <c r="M471" s="731" t="s">
        <v>167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909"/>
      <c r="AB471" s="198"/>
      <c r="AC471" s="198"/>
      <c r="AD471" s="198"/>
    </row>
    <row r="472" spans="1:30" s="610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1142</v>
      </c>
      <c r="E472" s="191">
        <v>40691</v>
      </c>
      <c r="F472" s="192" t="s">
        <v>897</v>
      </c>
      <c r="G472" s="502"/>
      <c r="H472" s="632" t="s">
        <v>1116</v>
      </c>
      <c r="I472" s="260">
        <v>22</v>
      </c>
      <c r="J472" s="260">
        <v>16143.5</v>
      </c>
      <c r="K472" s="618">
        <f t="shared" ref="K472:K503" si="34">ROUND(I472*J472,0)</f>
        <v>355157</v>
      </c>
      <c r="L472" s="39" t="s">
        <v>169</v>
      </c>
      <c r="M472" s="731" t="s">
        <v>167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909"/>
      <c r="AB472" s="198"/>
      <c r="AC472" s="198"/>
      <c r="AD472" s="198"/>
    </row>
    <row r="473" spans="1:30" s="610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1142</v>
      </c>
      <c r="E473" s="191">
        <v>40691</v>
      </c>
      <c r="F473" s="192" t="s">
        <v>910</v>
      </c>
      <c r="G473" s="502"/>
      <c r="H473" s="632" t="s">
        <v>1116</v>
      </c>
      <c r="I473" s="260">
        <v>4</v>
      </c>
      <c r="J473" s="260">
        <v>16143.5</v>
      </c>
      <c r="K473" s="618">
        <f t="shared" si="34"/>
        <v>64574</v>
      </c>
      <c r="L473" s="39" t="s">
        <v>169</v>
      </c>
      <c r="M473" s="731" t="s">
        <v>167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909"/>
      <c r="AB473" s="198"/>
      <c r="AC473" s="198"/>
      <c r="AD473" s="198"/>
    </row>
    <row r="474" spans="1:30" s="610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1142</v>
      </c>
      <c r="E474" s="191">
        <v>40691</v>
      </c>
      <c r="F474" s="192" t="s">
        <v>911</v>
      </c>
      <c r="G474" s="502"/>
      <c r="H474" s="632" t="s">
        <v>1116</v>
      </c>
      <c r="I474" s="260">
        <v>2</v>
      </c>
      <c r="J474" s="260">
        <v>14857.5</v>
      </c>
      <c r="K474" s="618">
        <f t="shared" si="34"/>
        <v>29715</v>
      </c>
      <c r="L474" s="39" t="s">
        <v>169</v>
      </c>
      <c r="M474" s="731" t="s">
        <v>167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909"/>
      <c r="AB474" s="198"/>
      <c r="AC474" s="198"/>
      <c r="AD474" s="198"/>
    </row>
    <row r="475" spans="1:30" s="610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1142</v>
      </c>
      <c r="E475" s="191">
        <v>40691</v>
      </c>
      <c r="F475" s="192" t="s">
        <v>891</v>
      </c>
      <c r="G475" s="502"/>
      <c r="H475" s="632" t="s">
        <v>1116</v>
      </c>
      <c r="I475" s="260">
        <v>3</v>
      </c>
      <c r="J475" s="260">
        <v>14857.666666666666</v>
      </c>
      <c r="K475" s="618">
        <f t="shared" si="34"/>
        <v>44573</v>
      </c>
      <c r="L475" s="39" t="s">
        <v>169</v>
      </c>
      <c r="M475" s="731" t="s">
        <v>167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909"/>
      <c r="AB475" s="198"/>
      <c r="AC475" s="198"/>
      <c r="AD475" s="198"/>
    </row>
    <row r="476" spans="1:30" s="610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1142</v>
      </c>
      <c r="E476" s="191">
        <v>40691</v>
      </c>
      <c r="F476" s="192" t="s">
        <v>895</v>
      </c>
      <c r="G476" s="502"/>
      <c r="H476" s="632" t="s">
        <v>1116</v>
      </c>
      <c r="I476" s="260">
        <v>1</v>
      </c>
      <c r="J476" s="260">
        <v>14858</v>
      </c>
      <c r="K476" s="618">
        <f t="shared" si="34"/>
        <v>14858</v>
      </c>
      <c r="L476" s="39" t="s">
        <v>169</v>
      </c>
      <c r="M476" s="731" t="s">
        <v>167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909"/>
      <c r="AB476" s="198"/>
      <c r="AC476" s="198"/>
      <c r="AD476" s="198"/>
    </row>
    <row r="477" spans="1:30" s="610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1142</v>
      </c>
      <c r="E477" s="191">
        <v>40691</v>
      </c>
      <c r="F477" s="192" t="s">
        <v>892</v>
      </c>
      <c r="G477" s="502"/>
      <c r="H477" s="632" t="s">
        <v>1116</v>
      </c>
      <c r="I477" s="260">
        <v>5</v>
      </c>
      <c r="J477" s="260">
        <v>9372.6</v>
      </c>
      <c r="K477" s="618">
        <f t="shared" si="34"/>
        <v>46863</v>
      </c>
      <c r="L477" s="39" t="s">
        <v>169</v>
      </c>
      <c r="M477" s="731" t="s">
        <v>167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909"/>
      <c r="AB477" s="198"/>
      <c r="AC477" s="198"/>
      <c r="AD477" s="198"/>
    </row>
    <row r="478" spans="1:30" s="610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1142</v>
      </c>
      <c r="E478" s="191">
        <v>40691</v>
      </c>
      <c r="F478" s="192" t="s">
        <v>915</v>
      </c>
      <c r="G478" s="502"/>
      <c r="H478" s="632" t="s">
        <v>1116</v>
      </c>
      <c r="I478" s="260">
        <v>344</v>
      </c>
      <c r="J478" s="260">
        <v>16694.151162790698</v>
      </c>
      <c r="K478" s="618">
        <f t="shared" si="34"/>
        <v>5742788</v>
      </c>
      <c r="L478" s="39" t="s">
        <v>169</v>
      </c>
      <c r="M478" s="731" t="s">
        <v>167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909"/>
      <c r="AB478" s="198"/>
      <c r="AC478" s="198"/>
      <c r="AD478" s="198"/>
    </row>
    <row r="479" spans="1:30" s="610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1143</v>
      </c>
      <c r="E479" s="191">
        <v>40691</v>
      </c>
      <c r="F479" s="192" t="s">
        <v>913</v>
      </c>
      <c r="G479" s="502"/>
      <c r="H479" s="632" t="s">
        <v>1116</v>
      </c>
      <c r="I479" s="260">
        <v>239</v>
      </c>
      <c r="J479" s="260">
        <v>5808.5146443514641</v>
      </c>
      <c r="K479" s="618">
        <f t="shared" si="34"/>
        <v>1388235</v>
      </c>
      <c r="L479" s="39" t="s">
        <v>169</v>
      </c>
      <c r="M479" s="731" t="s">
        <v>167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909"/>
      <c r="AB479" s="198"/>
      <c r="AC479" s="198"/>
      <c r="AD479" s="198"/>
    </row>
    <row r="480" spans="1:30" s="610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1143</v>
      </c>
      <c r="E480" s="191">
        <v>40691</v>
      </c>
      <c r="F480" s="192" t="s">
        <v>914</v>
      </c>
      <c r="G480" s="502"/>
      <c r="H480" s="632" t="s">
        <v>1116</v>
      </c>
      <c r="I480" s="260">
        <v>102</v>
      </c>
      <c r="J480" s="260">
        <v>3584.0098039215686</v>
      </c>
      <c r="K480" s="618">
        <f t="shared" si="34"/>
        <v>365569</v>
      </c>
      <c r="L480" s="39" t="s">
        <v>169</v>
      </c>
      <c r="M480" s="731" t="s">
        <v>167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909"/>
      <c r="AB480" s="198"/>
      <c r="AC480" s="198"/>
      <c r="AD480" s="198"/>
    </row>
    <row r="481" spans="1:30" s="610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1143</v>
      </c>
      <c r="E481" s="191">
        <v>40691</v>
      </c>
      <c r="F481" s="192" t="s">
        <v>916</v>
      </c>
      <c r="G481" s="502"/>
      <c r="H481" s="632" t="s">
        <v>1116</v>
      </c>
      <c r="I481" s="260">
        <v>24</v>
      </c>
      <c r="J481" s="260">
        <v>13959.5</v>
      </c>
      <c r="K481" s="618">
        <f t="shared" si="34"/>
        <v>335028</v>
      </c>
      <c r="L481" s="39" t="s">
        <v>169</v>
      </c>
      <c r="M481" s="731" t="s">
        <v>167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909"/>
      <c r="AB481" s="198"/>
      <c r="AC481" s="198"/>
      <c r="AD481" s="198"/>
    </row>
    <row r="482" spans="1:30" s="610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1143</v>
      </c>
      <c r="E482" s="191">
        <v>40691</v>
      </c>
      <c r="F482" s="192" t="s">
        <v>909</v>
      </c>
      <c r="G482" s="502"/>
      <c r="H482" s="632" t="s">
        <v>1116</v>
      </c>
      <c r="I482" s="260">
        <v>208</v>
      </c>
      <c r="J482" s="260">
        <v>24021.947115384617</v>
      </c>
      <c r="K482" s="618">
        <f t="shared" si="34"/>
        <v>4996565</v>
      </c>
      <c r="L482" s="39" t="s">
        <v>169</v>
      </c>
      <c r="M482" s="731" t="s">
        <v>167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909"/>
      <c r="AB482" s="198"/>
      <c r="AC482" s="198"/>
      <c r="AD482" s="198"/>
    </row>
    <row r="483" spans="1:30" s="610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1143</v>
      </c>
      <c r="E483" s="191">
        <v>40691</v>
      </c>
      <c r="F483" s="192" t="s">
        <v>917</v>
      </c>
      <c r="G483" s="502"/>
      <c r="H483" s="632" t="s">
        <v>1116</v>
      </c>
      <c r="I483" s="260">
        <v>51</v>
      </c>
      <c r="J483" s="260">
        <v>26161.470588235294</v>
      </c>
      <c r="K483" s="618">
        <f t="shared" si="34"/>
        <v>1334235</v>
      </c>
      <c r="L483" s="39" t="s">
        <v>169</v>
      </c>
      <c r="M483" s="731" t="s">
        <v>167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909"/>
      <c r="AB483" s="198"/>
      <c r="AC483" s="198"/>
      <c r="AD483" s="198"/>
    </row>
    <row r="484" spans="1:30" s="610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1143</v>
      </c>
      <c r="E484" s="191">
        <v>40691</v>
      </c>
      <c r="F484" s="192" t="s">
        <v>919</v>
      </c>
      <c r="G484" s="502"/>
      <c r="H484" s="632" t="s">
        <v>1116</v>
      </c>
      <c r="I484" s="260">
        <v>406</v>
      </c>
      <c r="J484" s="260">
        <v>25075.512315270935</v>
      </c>
      <c r="K484" s="618">
        <f t="shared" si="34"/>
        <v>10180658</v>
      </c>
      <c r="L484" s="39" t="s">
        <v>169</v>
      </c>
      <c r="M484" s="731" t="s">
        <v>167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909"/>
      <c r="AB484" s="198"/>
      <c r="AC484" s="198"/>
      <c r="AD484" s="198"/>
    </row>
    <row r="485" spans="1:30" s="610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1143</v>
      </c>
      <c r="E485" s="191">
        <v>40691</v>
      </c>
      <c r="F485" s="192" t="s">
        <v>920</v>
      </c>
      <c r="G485" s="502"/>
      <c r="H485" s="632" t="s">
        <v>1116</v>
      </c>
      <c r="I485" s="260">
        <v>50</v>
      </c>
      <c r="J485" s="260">
        <v>5808.52</v>
      </c>
      <c r="K485" s="618">
        <f t="shared" si="34"/>
        <v>290426</v>
      </c>
      <c r="L485" s="39" t="s">
        <v>169</v>
      </c>
      <c r="M485" s="731" t="s">
        <v>167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909"/>
      <c r="AB485" s="198"/>
      <c r="AC485" s="198"/>
      <c r="AD485" s="198"/>
    </row>
    <row r="486" spans="1:30" s="610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1143</v>
      </c>
      <c r="E486" s="191">
        <v>40691</v>
      </c>
      <c r="F486" s="192" t="s">
        <v>921</v>
      </c>
      <c r="G486" s="502"/>
      <c r="H486" s="632" t="s">
        <v>1116</v>
      </c>
      <c r="I486" s="260">
        <v>68</v>
      </c>
      <c r="J486" s="260">
        <v>2471.7647058823532</v>
      </c>
      <c r="K486" s="618">
        <f t="shared" si="34"/>
        <v>168080</v>
      </c>
      <c r="L486" s="39" t="s">
        <v>169</v>
      </c>
      <c r="M486" s="731" t="s">
        <v>167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909"/>
      <c r="AB486" s="198"/>
      <c r="AC486" s="198"/>
      <c r="AD486" s="198"/>
    </row>
    <row r="487" spans="1:30" s="610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1143</v>
      </c>
      <c r="E487" s="191">
        <v>40691</v>
      </c>
      <c r="F487" s="192" t="s">
        <v>922</v>
      </c>
      <c r="G487" s="502"/>
      <c r="H487" s="632" t="s">
        <v>1116</v>
      </c>
      <c r="I487" s="260">
        <v>300</v>
      </c>
      <c r="J487" s="260">
        <v>2471.7633333333333</v>
      </c>
      <c r="K487" s="618">
        <f t="shared" si="34"/>
        <v>741529</v>
      </c>
      <c r="L487" s="39" t="s">
        <v>169</v>
      </c>
      <c r="M487" s="731" t="s">
        <v>167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909"/>
      <c r="AB487" s="198"/>
      <c r="AC487" s="198"/>
      <c r="AD487" s="198"/>
    </row>
    <row r="488" spans="1:30" s="610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1144</v>
      </c>
      <c r="E488" s="191">
        <v>40691</v>
      </c>
      <c r="F488" s="192" t="s">
        <v>923</v>
      </c>
      <c r="G488" s="502"/>
      <c r="H488" s="632" t="s">
        <v>1116</v>
      </c>
      <c r="I488" s="260">
        <v>40</v>
      </c>
      <c r="J488" s="260">
        <v>2471.7750000000001</v>
      </c>
      <c r="K488" s="618">
        <f t="shared" si="34"/>
        <v>98871</v>
      </c>
      <c r="L488" s="39" t="s">
        <v>169</v>
      </c>
      <c r="M488" s="731" t="s">
        <v>167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909"/>
      <c r="AB488" s="198"/>
      <c r="AC488" s="198"/>
      <c r="AD488" s="198"/>
    </row>
    <row r="489" spans="1:30" s="610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1144</v>
      </c>
      <c r="E489" s="191">
        <v>40691</v>
      </c>
      <c r="F489" s="192" t="s">
        <v>924</v>
      </c>
      <c r="G489" s="502"/>
      <c r="H489" s="632" t="s">
        <v>1116</v>
      </c>
      <c r="I489" s="260">
        <v>34</v>
      </c>
      <c r="J489" s="260">
        <v>3584</v>
      </c>
      <c r="K489" s="618">
        <f t="shared" si="34"/>
        <v>121856</v>
      </c>
      <c r="L489" s="39" t="s">
        <v>169</v>
      </c>
      <c r="M489" s="731" t="s">
        <v>167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909"/>
      <c r="AB489" s="198"/>
      <c r="AC489" s="198"/>
      <c r="AD489" s="198"/>
    </row>
    <row r="490" spans="1:30" s="610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1144</v>
      </c>
      <c r="E490" s="191">
        <v>40691</v>
      </c>
      <c r="F490" s="192" t="s">
        <v>925</v>
      </c>
      <c r="G490" s="502"/>
      <c r="H490" s="632" t="s">
        <v>1116</v>
      </c>
      <c r="I490" s="260">
        <v>140</v>
      </c>
      <c r="J490" s="260">
        <v>3584.0142857142855</v>
      </c>
      <c r="K490" s="618">
        <f t="shared" si="34"/>
        <v>501762</v>
      </c>
      <c r="L490" s="39" t="s">
        <v>169</v>
      </c>
      <c r="M490" s="731" t="s">
        <v>167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909"/>
      <c r="AB490" s="198"/>
      <c r="AC490" s="198"/>
      <c r="AD490" s="198"/>
    </row>
    <row r="491" spans="1:30" s="610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1144</v>
      </c>
      <c r="E491" s="191">
        <v>40691</v>
      </c>
      <c r="F491" s="192" t="s">
        <v>926</v>
      </c>
      <c r="G491" s="502"/>
      <c r="H491" s="632" t="s">
        <v>1116</v>
      </c>
      <c r="I491" s="260">
        <v>140</v>
      </c>
      <c r="J491" s="260">
        <v>9372.5142857142855</v>
      </c>
      <c r="K491" s="618">
        <f t="shared" si="34"/>
        <v>1312152</v>
      </c>
      <c r="L491" s="39" t="s">
        <v>169</v>
      </c>
      <c r="M491" s="731" t="s">
        <v>167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909"/>
      <c r="AB491" s="198"/>
      <c r="AC491" s="198"/>
      <c r="AD491" s="198"/>
    </row>
    <row r="492" spans="1:30" s="610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1144</v>
      </c>
      <c r="E492" s="191">
        <v>40691</v>
      </c>
      <c r="F492" s="192" t="s">
        <v>916</v>
      </c>
      <c r="G492" s="502"/>
      <c r="H492" s="632" t="s">
        <v>1116</v>
      </c>
      <c r="I492" s="260">
        <v>10</v>
      </c>
      <c r="J492" s="260">
        <v>13959.5</v>
      </c>
      <c r="K492" s="618">
        <f t="shared" si="34"/>
        <v>139595</v>
      </c>
      <c r="L492" s="39" t="s">
        <v>169</v>
      </c>
      <c r="M492" s="731" t="s">
        <v>167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909"/>
      <c r="AB492" s="198"/>
      <c r="AC492" s="198"/>
      <c r="AD492" s="198"/>
    </row>
    <row r="493" spans="1:30" s="610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1144</v>
      </c>
      <c r="E493" s="191">
        <v>40691</v>
      </c>
      <c r="F493" s="192" t="s">
        <v>927</v>
      </c>
      <c r="G493" s="502"/>
      <c r="H493" s="632" t="s">
        <v>1116</v>
      </c>
      <c r="I493" s="260">
        <v>68</v>
      </c>
      <c r="J493" s="260">
        <v>9979.5147058823532</v>
      </c>
      <c r="K493" s="618">
        <f t="shared" si="34"/>
        <v>678607</v>
      </c>
      <c r="L493" s="39" t="s">
        <v>169</v>
      </c>
      <c r="M493" s="731" t="s">
        <v>167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909"/>
      <c r="AB493" s="198"/>
      <c r="AC493" s="198"/>
      <c r="AD493" s="198"/>
    </row>
    <row r="494" spans="1:30" s="610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1144</v>
      </c>
      <c r="E494" s="191">
        <v>40691</v>
      </c>
      <c r="F494" s="192" t="s">
        <v>928</v>
      </c>
      <c r="G494" s="502"/>
      <c r="H494" s="632" t="s">
        <v>1116</v>
      </c>
      <c r="I494" s="260">
        <v>300</v>
      </c>
      <c r="J494" s="260">
        <v>12946.513333333334</v>
      </c>
      <c r="K494" s="618">
        <f t="shared" si="34"/>
        <v>3883954</v>
      </c>
      <c r="L494" s="39" t="s">
        <v>169</v>
      </c>
      <c r="M494" s="731" t="s">
        <v>167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909"/>
      <c r="AB494" s="198"/>
      <c r="AC494" s="198"/>
      <c r="AD494" s="198"/>
    </row>
    <row r="495" spans="1:30" s="610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1144</v>
      </c>
      <c r="E495" s="191">
        <v>40691</v>
      </c>
      <c r="F495" s="192" t="s">
        <v>929</v>
      </c>
      <c r="G495" s="502"/>
      <c r="H495" s="632" t="s">
        <v>1116</v>
      </c>
      <c r="I495" s="260">
        <v>40</v>
      </c>
      <c r="J495" s="260">
        <v>14589.525</v>
      </c>
      <c r="K495" s="618">
        <f t="shared" si="34"/>
        <v>583581</v>
      </c>
      <c r="L495" s="39" t="s">
        <v>169</v>
      </c>
      <c r="M495" s="731" t="s">
        <v>167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909"/>
      <c r="AB495" s="198"/>
      <c r="AC495" s="198"/>
      <c r="AD495" s="198"/>
    </row>
    <row r="496" spans="1:30" s="610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7" t="s">
        <v>1125</v>
      </c>
      <c r="E496" s="191">
        <v>40692</v>
      </c>
      <c r="F496" s="302" t="s">
        <v>501</v>
      </c>
      <c r="G496" s="502"/>
      <c r="H496" s="632" t="s">
        <v>1116</v>
      </c>
      <c r="I496" s="260">
        <v>943</v>
      </c>
      <c r="J496" s="260">
        <v>4592</v>
      </c>
      <c r="K496" s="618">
        <f t="shared" si="34"/>
        <v>4330256</v>
      </c>
      <c r="L496" s="39" t="s">
        <v>167</v>
      </c>
      <c r="M496" s="731" t="s">
        <v>159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909"/>
      <c r="AB496" s="198"/>
      <c r="AC496" s="198"/>
      <c r="AD496" s="198"/>
    </row>
    <row r="497" spans="1:30" s="610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7" t="s">
        <v>1125</v>
      </c>
      <c r="E497" s="191">
        <v>40692</v>
      </c>
      <c r="F497" s="302" t="s">
        <v>410</v>
      </c>
      <c r="G497" s="502"/>
      <c r="H497" s="632" t="s">
        <v>1116</v>
      </c>
      <c r="I497" s="851">
        <v>303</v>
      </c>
      <c r="J497" s="260">
        <v>4449</v>
      </c>
      <c r="K497" s="618">
        <f t="shared" si="34"/>
        <v>1348047</v>
      </c>
      <c r="L497" s="39" t="s">
        <v>167</v>
      </c>
      <c r="M497" s="731" t="s">
        <v>159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909"/>
      <c r="AB497" s="198"/>
      <c r="AC497" s="198"/>
      <c r="AD497" s="198"/>
    </row>
    <row r="498" spans="1:30" s="610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7" t="s">
        <v>1125</v>
      </c>
      <c r="E498" s="191">
        <v>40692</v>
      </c>
      <c r="F498" s="189" t="s">
        <v>520</v>
      </c>
      <c r="G498" s="502"/>
      <c r="H498" s="632" t="s">
        <v>1116</v>
      </c>
      <c r="I498" s="264">
        <v>30</v>
      </c>
      <c r="J498" s="264">
        <v>11587</v>
      </c>
      <c r="K498" s="618">
        <f t="shared" si="34"/>
        <v>347610</v>
      </c>
      <c r="L498" s="39" t="s">
        <v>167</v>
      </c>
      <c r="M498" s="731" t="s">
        <v>159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909"/>
      <c r="AB498" s="198"/>
      <c r="AC498" s="198"/>
      <c r="AD498" s="198"/>
    </row>
    <row r="499" spans="1:30" s="843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7" t="s">
        <v>1125</v>
      </c>
      <c r="E499" s="191">
        <v>40692</v>
      </c>
      <c r="F499" s="189" t="s">
        <v>606</v>
      </c>
      <c r="G499" s="502"/>
      <c r="H499" s="632" t="s">
        <v>1116</v>
      </c>
      <c r="I499" s="264">
        <v>101</v>
      </c>
      <c r="J499" s="264">
        <v>35566</v>
      </c>
      <c r="K499" s="618">
        <f t="shared" si="34"/>
        <v>3592166</v>
      </c>
      <c r="L499" s="39" t="s">
        <v>167</v>
      </c>
      <c r="M499" s="731" t="s">
        <v>159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909"/>
      <c r="AB499" s="198"/>
      <c r="AC499" s="198"/>
      <c r="AD499" s="198"/>
    </row>
    <row r="500" spans="1:30" s="843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7" t="s">
        <v>1125</v>
      </c>
      <c r="E500" s="191">
        <v>40692</v>
      </c>
      <c r="F500" s="189" t="s">
        <v>659</v>
      </c>
      <c r="G500" s="502"/>
      <c r="H500" s="632" t="s">
        <v>1116</v>
      </c>
      <c r="I500" s="260">
        <v>101</v>
      </c>
      <c r="J500" s="260">
        <v>35812</v>
      </c>
      <c r="K500" s="618">
        <f t="shared" si="34"/>
        <v>3617012</v>
      </c>
      <c r="L500" s="39" t="s">
        <v>167</v>
      </c>
      <c r="M500" s="731" t="s">
        <v>159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909"/>
      <c r="AB500" s="198"/>
      <c r="AC500" s="198"/>
      <c r="AD500" s="198"/>
    </row>
    <row r="501" spans="1:30" s="843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7" t="s">
        <v>1125</v>
      </c>
      <c r="E501" s="191">
        <v>40692</v>
      </c>
      <c r="F501" s="40" t="s">
        <v>614</v>
      </c>
      <c r="G501" s="502"/>
      <c r="H501" s="632" t="s">
        <v>1116</v>
      </c>
      <c r="I501" s="262">
        <v>10</v>
      </c>
      <c r="J501" s="262">
        <v>35301</v>
      </c>
      <c r="K501" s="618">
        <f t="shared" si="34"/>
        <v>353010</v>
      </c>
      <c r="L501" s="39" t="s">
        <v>167</v>
      </c>
      <c r="M501" s="731" t="s">
        <v>159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909"/>
      <c r="AB501" s="198"/>
      <c r="AC501" s="198"/>
      <c r="AD501" s="198"/>
    </row>
    <row r="502" spans="1:30" s="843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7" t="s">
        <v>1125</v>
      </c>
      <c r="E502" s="191">
        <v>40692</v>
      </c>
      <c r="F502" s="40" t="s">
        <v>645</v>
      </c>
      <c r="G502" s="502"/>
      <c r="H502" s="632" t="s">
        <v>1116</v>
      </c>
      <c r="I502" s="260">
        <v>8</v>
      </c>
      <c r="J502" s="260">
        <v>23906</v>
      </c>
      <c r="K502" s="618">
        <f t="shared" si="34"/>
        <v>191248</v>
      </c>
      <c r="L502" s="39" t="s">
        <v>167</v>
      </c>
      <c r="M502" s="731" t="s">
        <v>159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909"/>
      <c r="AB502" s="198"/>
      <c r="AC502" s="198"/>
      <c r="AD502" s="198"/>
    </row>
    <row r="503" spans="1:30" s="843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7" t="s">
        <v>1125</v>
      </c>
      <c r="E503" s="191">
        <v>40692</v>
      </c>
      <c r="F503" s="40" t="s">
        <v>645</v>
      </c>
      <c r="G503" s="502"/>
      <c r="H503" s="632" t="s">
        <v>1116</v>
      </c>
      <c r="I503" s="260">
        <v>38</v>
      </c>
      <c r="J503" s="260">
        <v>23906</v>
      </c>
      <c r="K503" s="618">
        <f t="shared" si="34"/>
        <v>908428</v>
      </c>
      <c r="L503" s="39" t="s">
        <v>167</v>
      </c>
      <c r="M503" s="731" t="s">
        <v>159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909"/>
      <c r="AB503" s="198"/>
      <c r="AC503" s="198"/>
      <c r="AD503" s="198"/>
    </row>
    <row r="504" spans="1:30" s="843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7" t="s">
        <v>1125</v>
      </c>
      <c r="E504" s="191">
        <v>40692</v>
      </c>
      <c r="F504" s="189" t="s">
        <v>606</v>
      </c>
      <c r="G504" s="502"/>
      <c r="H504" s="632" t="s">
        <v>1116</v>
      </c>
      <c r="I504" s="260">
        <v>23.5</v>
      </c>
      <c r="J504" s="260">
        <v>35566</v>
      </c>
      <c r="K504" s="618">
        <f t="shared" ref="K504" si="37">ROUND(I504*J504,0)</f>
        <v>835801</v>
      </c>
      <c r="L504" s="39" t="s">
        <v>167</v>
      </c>
      <c r="M504" s="731" t="s">
        <v>159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909"/>
      <c r="AB504" s="198"/>
      <c r="AC504" s="198"/>
      <c r="AD504" s="198"/>
    </row>
    <row r="505" spans="1:30" s="843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7">
        <f t="shared" si="36"/>
        <v>40694</v>
      </c>
      <c r="D505" s="184" t="s">
        <v>710</v>
      </c>
      <c r="E505" s="732">
        <v>40694</v>
      </c>
      <c r="F505" s="728" t="str">
        <f>"Thanh toán tiền lương tháng "&amp;MONTH(E505)&amp;"/"&amp;YEAR(E505)</f>
        <v>Thanh toán tiền lương tháng 5/2011</v>
      </c>
      <c r="G505" s="729"/>
      <c r="H505" s="632" t="s">
        <v>386</v>
      </c>
      <c r="I505" s="498"/>
      <c r="J505" s="498"/>
      <c r="K505" s="730">
        <v>13250000</v>
      </c>
      <c r="L505" s="731" t="s">
        <v>278</v>
      </c>
      <c r="M505" s="731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909"/>
      <c r="AB505" s="610"/>
      <c r="AC505" s="610"/>
      <c r="AD505" s="610"/>
    </row>
    <row r="506" spans="1:30" s="843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7">
        <f t="shared" si="36"/>
        <v>40694</v>
      </c>
      <c r="D506" s="727" t="s">
        <v>360</v>
      </c>
      <c r="E506" s="732">
        <v>40694</v>
      </c>
      <c r="F506" s="728" t="s">
        <v>971</v>
      </c>
      <c r="G506" s="729"/>
      <c r="H506" s="632"/>
      <c r="I506" s="498"/>
      <c r="J506" s="498"/>
      <c r="K506" s="730">
        <v>7025000</v>
      </c>
      <c r="L506" s="731" t="s">
        <v>83</v>
      </c>
      <c r="M506" s="731" t="s">
        <v>278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909"/>
      <c r="AB506" s="610"/>
      <c r="AC506" s="610"/>
      <c r="AD506" s="610"/>
    </row>
    <row r="507" spans="1:30" s="843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7">
        <f t="shared" si="36"/>
        <v>40694</v>
      </c>
      <c r="D507" s="727" t="s">
        <v>360</v>
      </c>
      <c r="E507" s="732">
        <v>40694</v>
      </c>
      <c r="F507" s="728" t="s">
        <v>809</v>
      </c>
      <c r="G507" s="729"/>
      <c r="H507" s="632"/>
      <c r="I507" s="498"/>
      <c r="J507" s="498"/>
      <c r="K507" s="730">
        <v>6225000</v>
      </c>
      <c r="L507" s="731" t="s">
        <v>167</v>
      </c>
      <c r="M507" s="731" t="s">
        <v>278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909"/>
      <c r="AB507" s="610"/>
      <c r="AC507" s="610"/>
      <c r="AD507" s="610"/>
    </row>
    <row r="508" spans="1:30" s="843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978</v>
      </c>
      <c r="E508" s="191">
        <v>40694</v>
      </c>
      <c r="F508" s="192" t="s">
        <v>1231</v>
      </c>
      <c r="G508" s="502" t="s">
        <v>888</v>
      </c>
      <c r="H508" s="210" t="s">
        <v>930</v>
      </c>
      <c r="I508" s="260"/>
      <c r="J508" s="260"/>
      <c r="K508" s="618">
        <v>9705088</v>
      </c>
      <c r="L508" s="194" t="s">
        <v>47</v>
      </c>
      <c r="M508" s="194" t="s">
        <v>274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909"/>
      <c r="AB508" s="845"/>
      <c r="AC508" s="198"/>
      <c r="AD508" s="198"/>
    </row>
    <row r="509" spans="1:30" s="843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974</v>
      </c>
      <c r="E509" s="191">
        <v>40694</v>
      </c>
      <c r="F509" s="192" t="s">
        <v>933</v>
      </c>
      <c r="G509" s="502" t="s">
        <v>889</v>
      </c>
      <c r="H509" s="7" t="s">
        <v>934</v>
      </c>
      <c r="I509" s="260"/>
      <c r="J509" s="260"/>
      <c r="K509" s="618">
        <v>481008</v>
      </c>
      <c r="L509" s="194" t="s">
        <v>47</v>
      </c>
      <c r="M509" s="194" t="s">
        <v>274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909"/>
      <c r="AB509" s="845"/>
      <c r="AC509" s="198"/>
      <c r="AD509" s="198"/>
    </row>
    <row r="510" spans="1:30" s="843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995</v>
      </c>
      <c r="E510" s="191">
        <v>40694</v>
      </c>
      <c r="F510" s="192" t="s">
        <v>931</v>
      </c>
      <c r="G510" s="502" t="s">
        <v>888</v>
      </c>
      <c r="H510" s="210" t="s">
        <v>930</v>
      </c>
      <c r="I510" s="260">
        <v>943</v>
      </c>
      <c r="J510" s="260">
        <v>7229</v>
      </c>
      <c r="K510" s="618">
        <v>6816947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909"/>
      <c r="AB510" s="845"/>
      <c r="AC510" s="198"/>
      <c r="AD510" s="198"/>
    </row>
    <row r="511" spans="1:30" s="843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995</v>
      </c>
      <c r="E511" s="191">
        <v>40694</v>
      </c>
      <c r="F511" s="192" t="s">
        <v>932</v>
      </c>
      <c r="G511" s="502" t="s">
        <v>888</v>
      </c>
      <c r="H511" s="210" t="s">
        <v>930</v>
      </c>
      <c r="I511" s="260">
        <v>303</v>
      </c>
      <c r="J511" s="260">
        <v>6620</v>
      </c>
      <c r="K511" s="618">
        <v>2005860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909"/>
      <c r="AB511" s="845"/>
      <c r="AC511" s="198"/>
      <c r="AD511" s="198"/>
    </row>
    <row r="512" spans="1:30" s="843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995</v>
      </c>
      <c r="E512" s="191">
        <v>40694</v>
      </c>
      <c r="F512" s="192" t="s">
        <v>859</v>
      </c>
      <c r="G512" s="502" t="s">
        <v>888</v>
      </c>
      <c r="H512" s="210" t="s">
        <v>930</v>
      </c>
      <c r="I512" s="260"/>
      <c r="J512" s="260"/>
      <c r="K512" s="618">
        <v>882281</v>
      </c>
      <c r="L512" s="194" t="s">
        <v>274</v>
      </c>
      <c r="M512" s="194" t="s">
        <v>754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909"/>
      <c r="AB512" s="845"/>
      <c r="AC512" s="198"/>
      <c r="AD512" s="198"/>
    </row>
    <row r="513" spans="1:30" s="843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996</v>
      </c>
      <c r="E513" s="191">
        <v>40694</v>
      </c>
      <c r="F513" s="192" t="s">
        <v>933</v>
      </c>
      <c r="G513" s="502" t="s">
        <v>889</v>
      </c>
      <c r="H513" s="7" t="s">
        <v>934</v>
      </c>
      <c r="I513" s="260">
        <v>30</v>
      </c>
      <c r="J513" s="260">
        <v>14576</v>
      </c>
      <c r="K513" s="618">
        <v>437280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909"/>
      <c r="AB513" s="845"/>
      <c r="AC513" s="198"/>
      <c r="AD513" s="198"/>
    </row>
    <row r="514" spans="1:30" s="843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996</v>
      </c>
      <c r="E514" s="191">
        <v>40694</v>
      </c>
      <c r="F514" s="192" t="s">
        <v>872</v>
      </c>
      <c r="G514" s="502" t="s">
        <v>889</v>
      </c>
      <c r="H514" s="7" t="s">
        <v>934</v>
      </c>
      <c r="I514" s="262"/>
      <c r="J514" s="262"/>
      <c r="K514" s="618">
        <v>43728</v>
      </c>
      <c r="L514" s="194" t="s">
        <v>274</v>
      </c>
      <c r="M514" s="194" t="s">
        <v>754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909"/>
      <c r="AB514" s="845"/>
      <c r="AC514" s="198"/>
      <c r="AD514" s="198"/>
    </row>
    <row r="515" spans="1:30" s="843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995</v>
      </c>
      <c r="E515" s="191">
        <v>40694</v>
      </c>
      <c r="F515" s="192" t="s">
        <v>931</v>
      </c>
      <c r="G515" s="502" t="s">
        <v>888</v>
      </c>
      <c r="H515" s="210" t="s">
        <v>930</v>
      </c>
      <c r="I515" s="260">
        <v>943</v>
      </c>
      <c r="J515" s="260">
        <v>5951.5132555673381</v>
      </c>
      <c r="K515" s="618">
        <f t="shared" ref="K515:K520" si="38">ROUND(I515*J515,0)</f>
        <v>5612277</v>
      </c>
      <c r="L515" s="869" t="s">
        <v>179</v>
      </c>
      <c r="M515" s="869" t="s">
        <v>169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909"/>
      <c r="AB515" s="845"/>
      <c r="AC515" s="198"/>
      <c r="AD515" s="198"/>
    </row>
    <row r="516" spans="1:30" s="843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995</v>
      </c>
      <c r="E516" s="191">
        <v>40694</v>
      </c>
      <c r="F516" s="192" t="s">
        <v>932</v>
      </c>
      <c r="G516" s="502" t="s">
        <v>888</v>
      </c>
      <c r="H516" s="210" t="s">
        <v>930</v>
      </c>
      <c r="I516" s="260">
        <v>303</v>
      </c>
      <c r="J516" s="260">
        <v>5808.5115511551157</v>
      </c>
      <c r="K516" s="618">
        <f t="shared" si="38"/>
        <v>1759979</v>
      </c>
      <c r="L516" s="869" t="s">
        <v>179</v>
      </c>
      <c r="M516" s="869" t="s">
        <v>169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909"/>
      <c r="AB516" s="845"/>
      <c r="AC516" s="198"/>
      <c r="AD516" s="198"/>
    </row>
    <row r="517" spans="1:30" s="843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996</v>
      </c>
      <c r="E517" s="191">
        <v>40694</v>
      </c>
      <c r="F517" s="192" t="s">
        <v>933</v>
      </c>
      <c r="G517" s="502" t="s">
        <v>889</v>
      </c>
      <c r="H517" s="7" t="s">
        <v>934</v>
      </c>
      <c r="I517" s="260">
        <v>30</v>
      </c>
      <c r="J517" s="260">
        <v>12946.5</v>
      </c>
      <c r="K517" s="618">
        <f t="shared" si="38"/>
        <v>388395</v>
      </c>
      <c r="L517" s="869" t="s">
        <v>179</v>
      </c>
      <c r="M517" s="869" t="s">
        <v>169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909"/>
      <c r="AB517" s="845"/>
      <c r="AC517" s="198"/>
      <c r="AD517" s="198"/>
    </row>
    <row r="518" spans="1:30" s="843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1145</v>
      </c>
      <c r="E518" s="191">
        <v>40694</v>
      </c>
      <c r="F518" s="192" t="s">
        <v>931</v>
      </c>
      <c r="G518" s="502"/>
      <c r="H518" s="632" t="s">
        <v>1116</v>
      </c>
      <c r="I518" s="260">
        <v>943</v>
      </c>
      <c r="J518" s="260">
        <v>5951.5132555673381</v>
      </c>
      <c r="K518" s="618">
        <f t="shared" si="38"/>
        <v>5612277</v>
      </c>
      <c r="L518" s="39" t="s">
        <v>169</v>
      </c>
      <c r="M518" s="731" t="s">
        <v>167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909"/>
      <c r="AB518" s="198"/>
      <c r="AC518" s="198"/>
      <c r="AD518" s="198"/>
    </row>
    <row r="519" spans="1:30" s="843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1145</v>
      </c>
      <c r="E519" s="191">
        <v>40694</v>
      </c>
      <c r="F519" s="192" t="s">
        <v>932</v>
      </c>
      <c r="G519" s="502"/>
      <c r="H519" s="632" t="s">
        <v>1116</v>
      </c>
      <c r="I519" s="260">
        <v>303</v>
      </c>
      <c r="J519" s="260">
        <v>5808.5115511551157</v>
      </c>
      <c r="K519" s="618">
        <f t="shared" si="38"/>
        <v>1759979</v>
      </c>
      <c r="L519" s="39" t="s">
        <v>169</v>
      </c>
      <c r="M519" s="731" t="s">
        <v>167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909"/>
      <c r="AB519" s="198"/>
      <c r="AC519" s="198"/>
      <c r="AD519" s="198"/>
    </row>
    <row r="520" spans="1:30" s="843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1145</v>
      </c>
      <c r="E520" s="191">
        <v>40694</v>
      </c>
      <c r="F520" s="192" t="s">
        <v>933</v>
      </c>
      <c r="G520" s="502"/>
      <c r="H520" s="632" t="s">
        <v>1116</v>
      </c>
      <c r="I520" s="260">
        <v>30</v>
      </c>
      <c r="J520" s="260">
        <v>12946.5</v>
      </c>
      <c r="K520" s="618">
        <f t="shared" si="38"/>
        <v>388395</v>
      </c>
      <c r="L520" s="39" t="s">
        <v>169</v>
      </c>
      <c r="M520" s="731" t="s">
        <v>167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909"/>
      <c r="AB520" s="198"/>
      <c r="AC520" s="198"/>
      <c r="AD520" s="198"/>
    </row>
    <row r="521" spans="1:30" s="843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975</v>
      </c>
      <c r="E521" s="191">
        <v>40695</v>
      </c>
      <c r="F521" s="192" t="s">
        <v>1232</v>
      </c>
      <c r="G521" s="502" t="s">
        <v>760</v>
      </c>
      <c r="H521" s="193" t="s">
        <v>761</v>
      </c>
      <c r="I521" s="260"/>
      <c r="J521" s="260"/>
      <c r="K521" s="618">
        <v>10474619</v>
      </c>
      <c r="L521" s="194" t="s">
        <v>47</v>
      </c>
      <c r="M521" s="194" t="s">
        <v>274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909"/>
      <c r="AB521" s="845"/>
      <c r="AC521" s="198"/>
      <c r="AD521" s="198"/>
    </row>
    <row r="522" spans="1:30" s="843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997</v>
      </c>
      <c r="E522" s="191">
        <v>40695</v>
      </c>
      <c r="F522" s="192" t="s">
        <v>759</v>
      </c>
      <c r="G522" s="502" t="s">
        <v>760</v>
      </c>
      <c r="H522" s="193" t="s">
        <v>761</v>
      </c>
      <c r="I522" s="260">
        <v>101</v>
      </c>
      <c r="J522" s="260">
        <v>43865</v>
      </c>
      <c r="K522" s="618">
        <v>4430365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909"/>
      <c r="AB522" s="845"/>
      <c r="AC522" s="198"/>
      <c r="AD522" s="198"/>
    </row>
    <row r="523" spans="1:30" s="843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997</v>
      </c>
      <c r="E523" s="191">
        <v>40695</v>
      </c>
      <c r="F523" s="192" t="s">
        <v>762</v>
      </c>
      <c r="G523" s="502" t="s">
        <v>760</v>
      </c>
      <c r="H523" s="193" t="s">
        <v>761</v>
      </c>
      <c r="I523" s="260">
        <v>101</v>
      </c>
      <c r="J523" s="260">
        <v>50416</v>
      </c>
      <c r="K523" s="618">
        <v>5092016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909"/>
      <c r="AB523" s="845"/>
      <c r="AC523" s="198"/>
      <c r="AD523" s="198"/>
    </row>
    <row r="524" spans="1:30" s="843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997</v>
      </c>
      <c r="E524" s="191">
        <v>40695</v>
      </c>
      <c r="F524" s="192" t="s">
        <v>763</v>
      </c>
      <c r="G524" s="502" t="s">
        <v>760</v>
      </c>
      <c r="H524" s="193" t="s">
        <v>761</v>
      </c>
      <c r="I524" s="260"/>
      <c r="J524" s="260"/>
      <c r="K524" s="618">
        <v>952238</v>
      </c>
      <c r="L524" s="194" t="s">
        <v>274</v>
      </c>
      <c r="M524" s="194" t="s">
        <v>754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909"/>
      <c r="AB524" s="845"/>
      <c r="AC524" s="198"/>
      <c r="AD524" s="198"/>
    </row>
    <row r="525" spans="1:30" s="843" customFormat="1" ht="15.75" customHeight="1">
      <c r="A525" s="204" t="str">
        <f>IF(B525&lt;&gt;"",IF(AND(B525&gt;=_TM1,B525&lt;=_TM2,OR(TH!L525="1111",TH!M525="1111")),TH!D525,""),"")</f>
        <v/>
      </c>
      <c r="B525" s="844">
        <f t="shared" si="35"/>
        <v>6</v>
      </c>
      <c r="C525" s="191">
        <v>40695</v>
      </c>
      <c r="D525" s="191" t="s">
        <v>997</v>
      </c>
      <c r="E525" s="191">
        <v>40695</v>
      </c>
      <c r="F525" s="192" t="s">
        <v>759</v>
      </c>
      <c r="G525" s="502" t="s">
        <v>760</v>
      </c>
      <c r="H525" s="193" t="s">
        <v>761</v>
      </c>
      <c r="I525" s="260">
        <v>101</v>
      </c>
      <c r="J525" s="260">
        <v>36925.514851485146</v>
      </c>
      <c r="K525" s="618">
        <f>ROUND(I525*J525,0)</f>
        <v>3729477</v>
      </c>
      <c r="L525" s="869" t="s">
        <v>179</v>
      </c>
      <c r="M525" s="869" t="s">
        <v>169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909"/>
      <c r="AB525" s="845"/>
      <c r="AC525" s="845"/>
      <c r="AD525" s="845"/>
    </row>
    <row r="526" spans="1:30" s="843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997</v>
      </c>
      <c r="E526" s="191">
        <v>40695</v>
      </c>
      <c r="F526" s="192" t="s">
        <v>762</v>
      </c>
      <c r="G526" s="502" t="s">
        <v>760</v>
      </c>
      <c r="H526" s="193" t="s">
        <v>761</v>
      </c>
      <c r="I526" s="260">
        <v>101</v>
      </c>
      <c r="J526" s="260">
        <v>37171.514851485146</v>
      </c>
      <c r="K526" s="618">
        <f>ROUND(I526*J526,0)</f>
        <v>3754323</v>
      </c>
      <c r="L526" s="869" t="s">
        <v>179</v>
      </c>
      <c r="M526" s="869" t="s">
        <v>169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909"/>
      <c r="AB526" s="845"/>
      <c r="AC526" s="198"/>
      <c r="AD526" s="198"/>
    </row>
    <row r="527" spans="1:30" s="843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1146</v>
      </c>
      <c r="E527" s="191">
        <v>40695</v>
      </c>
      <c r="F527" s="192" t="s">
        <v>759</v>
      </c>
      <c r="G527" s="502"/>
      <c r="H527" s="632" t="s">
        <v>1116</v>
      </c>
      <c r="I527" s="260">
        <v>101</v>
      </c>
      <c r="J527" s="260">
        <v>36925.514851485146</v>
      </c>
      <c r="K527" s="618">
        <f>ROUND(I527*J527,0)</f>
        <v>3729477</v>
      </c>
      <c r="L527" s="39" t="s">
        <v>169</v>
      </c>
      <c r="M527" s="731" t="s">
        <v>167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909"/>
      <c r="AB527" s="198"/>
      <c r="AC527" s="198"/>
      <c r="AD527" s="198"/>
    </row>
    <row r="528" spans="1:30" s="843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1146</v>
      </c>
      <c r="E528" s="191">
        <v>40695</v>
      </c>
      <c r="F528" s="192" t="s">
        <v>762</v>
      </c>
      <c r="G528" s="502"/>
      <c r="H528" s="632" t="s">
        <v>1116</v>
      </c>
      <c r="I528" s="260">
        <v>101</v>
      </c>
      <c r="J528" s="260">
        <v>37171.514851485146</v>
      </c>
      <c r="K528" s="618">
        <f>ROUND(I528*J528,0)</f>
        <v>3754323</v>
      </c>
      <c r="L528" s="39" t="s">
        <v>169</v>
      </c>
      <c r="M528" s="731" t="s">
        <v>167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909"/>
      <c r="AB528" s="198"/>
      <c r="AC528" s="198"/>
      <c r="AD528" s="198"/>
    </row>
    <row r="529" spans="1:30" s="843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711</v>
      </c>
      <c r="E529" s="191">
        <v>40696</v>
      </c>
      <c r="F529" s="192" t="s">
        <v>366</v>
      </c>
      <c r="G529" s="502" t="s">
        <v>555</v>
      </c>
      <c r="H529" s="193" t="s">
        <v>556</v>
      </c>
      <c r="I529" s="260"/>
      <c r="J529" s="260"/>
      <c r="K529" s="38">
        <v>256500</v>
      </c>
      <c r="L529" s="194" t="s">
        <v>83</v>
      </c>
      <c r="M529" s="194" t="s">
        <v>47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909"/>
      <c r="AB529" s="610"/>
      <c r="AC529" s="610"/>
      <c r="AD529" s="610"/>
    </row>
    <row r="530" spans="1:30" s="843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356</v>
      </c>
      <c r="E530" s="184">
        <v>40697</v>
      </c>
      <c r="F530" s="189" t="s">
        <v>358</v>
      </c>
      <c r="G530" s="620" t="s">
        <v>353</v>
      </c>
      <c r="H530" s="193" t="s">
        <v>756</v>
      </c>
      <c r="I530" s="260"/>
      <c r="J530" s="260"/>
      <c r="K530" s="618">
        <v>67418088</v>
      </c>
      <c r="L530" s="619" t="s">
        <v>24</v>
      </c>
      <c r="M530" s="619" t="s">
        <v>274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909"/>
      <c r="AB530" s="610"/>
      <c r="AC530" s="610"/>
      <c r="AD530" s="610"/>
    </row>
    <row r="531" spans="1:30" s="843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7" t="s">
        <v>1126</v>
      </c>
      <c r="E531" s="191">
        <v>40699</v>
      </c>
      <c r="F531" s="40" t="s">
        <v>580</v>
      </c>
      <c r="G531" s="502"/>
      <c r="H531" s="632" t="s">
        <v>1116</v>
      </c>
      <c r="I531" s="260">
        <v>415</v>
      </c>
      <c r="J531" s="260">
        <v>24005</v>
      </c>
      <c r="K531" s="618">
        <f t="shared" ref="K531:K539" si="40">ROUND(I531*J531,0)</f>
        <v>9962075</v>
      </c>
      <c r="L531" s="39" t="s">
        <v>167</v>
      </c>
      <c r="M531" s="731" t="s">
        <v>159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909"/>
      <c r="AB531" s="198"/>
      <c r="AC531" s="198"/>
      <c r="AD531" s="198"/>
    </row>
    <row r="532" spans="1:30" s="843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7" t="s">
        <v>1126</v>
      </c>
      <c r="E532" s="191">
        <v>40699</v>
      </c>
      <c r="F532" s="40" t="s">
        <v>580</v>
      </c>
      <c r="G532" s="502"/>
      <c r="H532" s="632" t="s">
        <v>1116</v>
      </c>
      <c r="I532" s="260">
        <v>369</v>
      </c>
      <c r="J532" s="260">
        <v>24005</v>
      </c>
      <c r="K532" s="618">
        <f t="shared" si="40"/>
        <v>8857845</v>
      </c>
      <c r="L532" s="39" t="s">
        <v>167</v>
      </c>
      <c r="M532" s="731" t="s">
        <v>159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909"/>
      <c r="AB532" s="198"/>
      <c r="AC532" s="198"/>
      <c r="AD532" s="198"/>
    </row>
    <row r="533" spans="1:30" s="843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7" t="s">
        <v>1126</v>
      </c>
      <c r="E533" s="191">
        <v>40699</v>
      </c>
      <c r="F533" s="189" t="s">
        <v>519</v>
      </c>
      <c r="G533" s="502"/>
      <c r="H533" s="632" t="s">
        <v>1116</v>
      </c>
      <c r="I533" s="260">
        <v>1</v>
      </c>
      <c r="J533" s="260">
        <v>16462</v>
      </c>
      <c r="K533" s="618">
        <f t="shared" si="40"/>
        <v>16462</v>
      </c>
      <c r="L533" s="39" t="s">
        <v>167</v>
      </c>
      <c r="M533" s="731" t="s">
        <v>159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909"/>
      <c r="AB533" s="198"/>
      <c r="AC533" s="198"/>
      <c r="AD533" s="198"/>
    </row>
    <row r="534" spans="1:30" s="843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7" t="s">
        <v>1126</v>
      </c>
      <c r="E534" s="191">
        <v>40699</v>
      </c>
      <c r="F534" s="189" t="s">
        <v>585</v>
      </c>
      <c r="G534" s="502"/>
      <c r="H534" s="632" t="s">
        <v>1116</v>
      </c>
      <c r="I534" s="262">
        <v>1</v>
      </c>
      <c r="J534" s="262">
        <v>18390</v>
      </c>
      <c r="K534" s="618">
        <f t="shared" si="40"/>
        <v>18390</v>
      </c>
      <c r="L534" s="39" t="s">
        <v>167</v>
      </c>
      <c r="M534" s="731" t="s">
        <v>159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909"/>
      <c r="AB534" s="198"/>
      <c r="AC534" s="198"/>
      <c r="AD534" s="198"/>
    </row>
    <row r="535" spans="1:30" s="843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7" t="s">
        <v>1126</v>
      </c>
      <c r="E535" s="191">
        <v>40699</v>
      </c>
      <c r="F535" s="40" t="s">
        <v>619</v>
      </c>
      <c r="G535" s="502"/>
      <c r="H535" s="632" t="s">
        <v>1116</v>
      </c>
      <c r="I535" s="260">
        <v>21</v>
      </c>
      <c r="J535" s="260">
        <v>15946</v>
      </c>
      <c r="K535" s="618">
        <f t="shared" si="40"/>
        <v>334866</v>
      </c>
      <c r="L535" s="39" t="s">
        <v>167</v>
      </c>
      <c r="M535" s="731" t="s">
        <v>159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909"/>
      <c r="AB535" s="198"/>
      <c r="AC535" s="198"/>
      <c r="AD535" s="198"/>
    </row>
    <row r="536" spans="1:30" s="843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7" t="s">
        <v>1126</v>
      </c>
      <c r="E536" s="191">
        <v>40699</v>
      </c>
      <c r="F536" s="901" t="s">
        <v>619</v>
      </c>
      <c r="G536" s="502"/>
      <c r="H536" s="632" t="s">
        <v>1116</v>
      </c>
      <c r="I536" s="260">
        <v>33</v>
      </c>
      <c r="J536" s="260">
        <v>15946</v>
      </c>
      <c r="K536" s="618">
        <f t="shared" si="40"/>
        <v>526218</v>
      </c>
      <c r="L536" s="39" t="s">
        <v>167</v>
      </c>
      <c r="M536" s="731" t="s">
        <v>159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909"/>
      <c r="AB536" s="198"/>
      <c r="AC536" s="198"/>
      <c r="AD536" s="198"/>
    </row>
    <row r="537" spans="1:30" s="843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7" t="s">
        <v>1126</v>
      </c>
      <c r="E537" s="191">
        <v>40699</v>
      </c>
      <c r="F537" s="40" t="s">
        <v>618</v>
      </c>
      <c r="G537" s="502"/>
      <c r="H537" s="632" t="s">
        <v>1116</v>
      </c>
      <c r="I537" s="260">
        <v>395</v>
      </c>
      <c r="J537" s="260">
        <v>16660</v>
      </c>
      <c r="K537" s="618">
        <f t="shared" si="40"/>
        <v>6580700</v>
      </c>
      <c r="L537" s="39" t="s">
        <v>167</v>
      </c>
      <c r="M537" s="731" t="s">
        <v>159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909"/>
      <c r="AB537" s="198"/>
      <c r="AC537" s="198"/>
      <c r="AD537" s="198"/>
    </row>
    <row r="538" spans="1:30" s="843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7" t="s">
        <v>1126</v>
      </c>
      <c r="E538" s="191">
        <v>40699</v>
      </c>
      <c r="F538" s="189" t="s">
        <v>658</v>
      </c>
      <c r="G538" s="502"/>
      <c r="H538" s="632" t="s">
        <v>1116</v>
      </c>
      <c r="I538" s="260">
        <v>482</v>
      </c>
      <c r="J538" s="260">
        <v>7207</v>
      </c>
      <c r="K538" s="618">
        <f t="shared" si="40"/>
        <v>3473774</v>
      </c>
      <c r="L538" s="39" t="s">
        <v>167</v>
      </c>
      <c r="M538" s="731" t="s">
        <v>159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909"/>
      <c r="AB538" s="198"/>
      <c r="AC538" s="198"/>
      <c r="AD538" s="198"/>
    </row>
    <row r="539" spans="1:30" s="843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7" t="s">
        <v>1126</v>
      </c>
      <c r="E539" s="191">
        <v>40699</v>
      </c>
      <c r="F539" s="302" t="s">
        <v>404</v>
      </c>
      <c r="G539" s="502"/>
      <c r="H539" s="632" t="s">
        <v>1116</v>
      </c>
      <c r="I539" s="260">
        <v>56</v>
      </c>
      <c r="J539" s="260">
        <v>14079</v>
      </c>
      <c r="K539" s="618">
        <f t="shared" si="40"/>
        <v>788424</v>
      </c>
      <c r="L539" s="39" t="s">
        <v>167</v>
      </c>
      <c r="M539" s="731" t="s">
        <v>159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909"/>
      <c r="AB539" s="198"/>
      <c r="AC539" s="198"/>
      <c r="AD539" s="198"/>
    </row>
    <row r="540" spans="1:30" s="843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712</v>
      </c>
      <c r="E540" s="184">
        <v>40700</v>
      </c>
      <c r="F540" s="189" t="s">
        <v>385</v>
      </c>
      <c r="G540" s="620" t="s">
        <v>353</v>
      </c>
      <c r="H540" s="193" t="s">
        <v>386</v>
      </c>
      <c r="I540" s="260"/>
      <c r="J540" s="260"/>
      <c r="K540" s="618">
        <v>30000000</v>
      </c>
      <c r="L540" s="619" t="s">
        <v>24</v>
      </c>
      <c r="M540" s="619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909"/>
      <c r="AB540" s="610"/>
      <c r="AC540" s="610"/>
      <c r="AD540" s="610"/>
    </row>
    <row r="541" spans="1:30" s="843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713</v>
      </c>
      <c r="E541" s="191">
        <v>40700</v>
      </c>
      <c r="F541" s="192" t="s">
        <v>705</v>
      </c>
      <c r="G541" s="502" t="s">
        <v>569</v>
      </c>
      <c r="H541" s="7" t="s">
        <v>394</v>
      </c>
      <c r="I541" s="262"/>
      <c r="J541" s="262"/>
      <c r="K541" s="618">
        <v>2980000</v>
      </c>
      <c r="L541" s="194" t="s">
        <v>167</v>
      </c>
      <c r="M541" s="194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909"/>
      <c r="AB541" s="610"/>
      <c r="AC541" s="610"/>
      <c r="AD541" s="610"/>
    </row>
    <row r="542" spans="1:30" s="843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713</v>
      </c>
      <c r="E542" s="191">
        <v>40700</v>
      </c>
      <c r="F542" s="850" t="s">
        <v>365</v>
      </c>
      <c r="G542" s="502" t="s">
        <v>569</v>
      </c>
      <c r="H542" s="7" t="s">
        <v>394</v>
      </c>
      <c r="I542" s="260"/>
      <c r="J542" s="260"/>
      <c r="K542" s="38">
        <v>298000</v>
      </c>
      <c r="L542" s="194" t="s">
        <v>9</v>
      </c>
      <c r="M542" s="194" t="s">
        <v>47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909"/>
      <c r="AB542" s="211">
        <v>6</v>
      </c>
      <c r="AC542" s="211"/>
      <c r="AD542" s="610"/>
    </row>
    <row r="543" spans="1:30" s="843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357</v>
      </c>
      <c r="E543" s="184">
        <v>40700</v>
      </c>
      <c r="F543" s="189" t="s">
        <v>390</v>
      </c>
      <c r="G543" s="620" t="s">
        <v>353</v>
      </c>
      <c r="H543" s="7" t="s">
        <v>554</v>
      </c>
      <c r="I543" s="260"/>
      <c r="J543" s="260"/>
      <c r="K543" s="618">
        <v>100000000</v>
      </c>
      <c r="L543" s="619" t="s">
        <v>8</v>
      </c>
      <c r="M543" s="619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909"/>
      <c r="AB543" s="610"/>
      <c r="AC543" s="610"/>
      <c r="AD543" s="610"/>
    </row>
    <row r="544" spans="1:30" s="843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357</v>
      </c>
      <c r="E544" s="184">
        <v>40700</v>
      </c>
      <c r="F544" s="189" t="s">
        <v>359</v>
      </c>
      <c r="G544" s="620" t="s">
        <v>353</v>
      </c>
      <c r="H544" s="7"/>
      <c r="I544" s="260"/>
      <c r="J544" s="260"/>
      <c r="K544" s="618">
        <v>10000</v>
      </c>
      <c r="L544" s="619" t="s">
        <v>83</v>
      </c>
      <c r="M544" s="619" t="s">
        <v>24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909"/>
      <c r="AB544" s="610"/>
      <c r="AC544" s="610"/>
      <c r="AD544" s="610"/>
    </row>
    <row r="545" spans="1:30" s="843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732</v>
      </c>
      <c r="E545" s="191">
        <v>40700</v>
      </c>
      <c r="F545" s="189" t="s">
        <v>512</v>
      </c>
      <c r="G545" s="502" t="s">
        <v>564</v>
      </c>
      <c r="H545" s="7" t="s">
        <v>522</v>
      </c>
      <c r="I545" s="262">
        <v>637</v>
      </c>
      <c r="J545" s="262">
        <v>16925</v>
      </c>
      <c r="K545" s="618">
        <f>ROUND(I545*J545,0)</f>
        <v>10781225</v>
      </c>
      <c r="L545" s="194" t="s">
        <v>159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909"/>
      <c r="AB545" s="610"/>
      <c r="AC545" s="610"/>
      <c r="AD545" s="610"/>
    </row>
    <row r="546" spans="1:30" s="843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732</v>
      </c>
      <c r="E546" s="191">
        <v>40700</v>
      </c>
      <c r="F546" s="189" t="s">
        <v>565</v>
      </c>
      <c r="G546" s="502" t="s">
        <v>564</v>
      </c>
      <c r="H546" s="7" t="s">
        <v>522</v>
      </c>
      <c r="I546" s="262">
        <v>100</v>
      </c>
      <c r="J546" s="262">
        <v>19638</v>
      </c>
      <c r="K546" s="618">
        <f>ROUND(I546*J546,0)</f>
        <v>1963800</v>
      </c>
      <c r="L546" s="194" t="s">
        <v>159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909"/>
      <c r="AB546" s="610"/>
      <c r="AC546" s="610"/>
      <c r="AD546" s="610"/>
    </row>
    <row r="547" spans="1:30" s="843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732</v>
      </c>
      <c r="E547" s="191">
        <v>40700</v>
      </c>
      <c r="F547" s="189" t="s">
        <v>566</v>
      </c>
      <c r="G547" s="502" t="s">
        <v>564</v>
      </c>
      <c r="H547" s="7" t="s">
        <v>522</v>
      </c>
      <c r="I547" s="262">
        <v>81</v>
      </c>
      <c r="J547" s="262">
        <v>28059</v>
      </c>
      <c r="K547" s="618">
        <f>ROUND(I547*J547,0)</f>
        <v>2272779</v>
      </c>
      <c r="L547" s="194" t="s">
        <v>159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909"/>
      <c r="AB547" s="610"/>
      <c r="AC547" s="610"/>
      <c r="AD547" s="610"/>
    </row>
    <row r="548" spans="1:30" s="843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732</v>
      </c>
      <c r="E548" s="191">
        <v>40700</v>
      </c>
      <c r="F548" s="189" t="s">
        <v>567</v>
      </c>
      <c r="G548" s="502" t="s">
        <v>564</v>
      </c>
      <c r="H548" s="7" t="s">
        <v>522</v>
      </c>
      <c r="I548" s="262">
        <v>200</v>
      </c>
      <c r="J548" s="262">
        <v>26854</v>
      </c>
      <c r="K548" s="618">
        <f>ROUND(I548*J548,0)</f>
        <v>5370800</v>
      </c>
      <c r="L548" s="194" t="s">
        <v>159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909"/>
      <c r="AB548" s="610"/>
      <c r="AC548" s="610"/>
      <c r="AD548" s="610"/>
    </row>
    <row r="549" spans="1:30" s="843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732</v>
      </c>
      <c r="E549" s="191">
        <v>40700</v>
      </c>
      <c r="F549" s="189" t="s">
        <v>568</v>
      </c>
      <c r="G549" s="502" t="s">
        <v>564</v>
      </c>
      <c r="H549" s="7" t="s">
        <v>522</v>
      </c>
      <c r="I549" s="262">
        <v>52</v>
      </c>
      <c r="J549" s="262">
        <v>32850</v>
      </c>
      <c r="K549" s="618">
        <f>ROUND(I549*J549,0)</f>
        <v>1708200</v>
      </c>
      <c r="L549" s="194" t="s">
        <v>159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909"/>
      <c r="AB549" s="610"/>
      <c r="AC549" s="610"/>
      <c r="AD549" s="610"/>
    </row>
    <row r="550" spans="1:30" s="843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732</v>
      </c>
      <c r="E550" s="191">
        <v>40700</v>
      </c>
      <c r="F550" s="189" t="s">
        <v>403</v>
      </c>
      <c r="G550" s="502" t="s">
        <v>564</v>
      </c>
      <c r="H550" s="7" t="s">
        <v>522</v>
      </c>
      <c r="I550" s="262"/>
      <c r="J550" s="262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909"/>
      <c r="AB550" s="211">
        <v>6</v>
      </c>
      <c r="AC550" s="610"/>
      <c r="AD550" s="610"/>
    </row>
    <row r="551" spans="1:30" s="843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714</v>
      </c>
      <c r="E551" s="191">
        <v>40701</v>
      </c>
      <c r="F551" s="189" t="s">
        <v>1104</v>
      </c>
      <c r="G551" s="502" t="s">
        <v>570</v>
      </c>
      <c r="H551" s="7" t="s">
        <v>571</v>
      </c>
      <c r="I551" s="260"/>
      <c r="J551" s="260"/>
      <c r="K551" s="38">
        <v>15353374</v>
      </c>
      <c r="L551" s="194" t="s">
        <v>8</v>
      </c>
      <c r="M551" s="194" t="s">
        <v>47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909"/>
      <c r="AB551" s="610"/>
      <c r="AC551" s="610"/>
      <c r="AD551" s="610"/>
    </row>
    <row r="552" spans="1:30" s="843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733</v>
      </c>
      <c r="E552" s="191">
        <v>40701</v>
      </c>
      <c r="F552" s="189" t="s">
        <v>572</v>
      </c>
      <c r="G552" s="502" t="s">
        <v>570</v>
      </c>
      <c r="H552" s="7" t="s">
        <v>571</v>
      </c>
      <c r="I552" s="260">
        <v>105</v>
      </c>
      <c r="J552" s="260">
        <v>13954</v>
      </c>
      <c r="K552" s="618">
        <f t="shared" ref="K552:K558" si="42">ROUND(I552*J552,0)</f>
        <v>1465170</v>
      </c>
      <c r="L552" s="194" t="s">
        <v>159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909"/>
      <c r="AB552" s="610"/>
      <c r="AC552" s="610"/>
      <c r="AD552" s="610"/>
    </row>
    <row r="553" spans="1:30" s="843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733</v>
      </c>
      <c r="E553" s="191">
        <v>40701</v>
      </c>
      <c r="F553" s="189" t="s">
        <v>573</v>
      </c>
      <c r="G553" s="502" t="s">
        <v>570</v>
      </c>
      <c r="H553" s="7" t="s">
        <v>571</v>
      </c>
      <c r="I553" s="260">
        <v>130</v>
      </c>
      <c r="J553" s="260">
        <v>22476</v>
      </c>
      <c r="K553" s="618">
        <f t="shared" si="42"/>
        <v>2921880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909"/>
      <c r="AB553" s="610"/>
      <c r="AC553" s="610"/>
      <c r="AD553" s="610"/>
    </row>
    <row r="554" spans="1:30" s="843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733</v>
      </c>
      <c r="E554" s="191">
        <v>40701</v>
      </c>
      <c r="F554" s="189" t="s">
        <v>574</v>
      </c>
      <c r="G554" s="502" t="s">
        <v>570</v>
      </c>
      <c r="H554" s="7" t="s">
        <v>571</v>
      </c>
      <c r="I554" s="260">
        <v>105</v>
      </c>
      <c r="J554" s="260">
        <v>16973</v>
      </c>
      <c r="K554" s="618">
        <f t="shared" si="42"/>
        <v>1782165</v>
      </c>
      <c r="L554" s="194" t="s">
        <v>159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909"/>
      <c r="AB554" s="610"/>
      <c r="AC554" s="610"/>
      <c r="AD554" s="610"/>
    </row>
    <row r="555" spans="1:30" s="843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733</v>
      </c>
      <c r="E555" s="191">
        <v>40701</v>
      </c>
      <c r="F555" s="189" t="s">
        <v>575</v>
      </c>
      <c r="G555" s="502" t="s">
        <v>570</v>
      </c>
      <c r="H555" s="7" t="s">
        <v>571</v>
      </c>
      <c r="I555" s="260">
        <v>3</v>
      </c>
      <c r="J555" s="260">
        <v>11247</v>
      </c>
      <c r="K555" s="618">
        <f t="shared" si="42"/>
        <v>33741</v>
      </c>
      <c r="L555" s="194" t="s">
        <v>159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909"/>
      <c r="AB555" s="211"/>
      <c r="AC555" s="211"/>
      <c r="AD555" s="610"/>
    </row>
    <row r="556" spans="1:30" s="843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733</v>
      </c>
      <c r="E556" s="191">
        <v>40701</v>
      </c>
      <c r="F556" s="189" t="s">
        <v>576</v>
      </c>
      <c r="G556" s="502" t="s">
        <v>570</v>
      </c>
      <c r="H556" s="7" t="s">
        <v>571</v>
      </c>
      <c r="I556" s="260">
        <v>224</v>
      </c>
      <c r="J556" s="260">
        <v>17368</v>
      </c>
      <c r="K556" s="618">
        <f t="shared" si="42"/>
        <v>3890432</v>
      </c>
      <c r="L556" s="194" t="s">
        <v>159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909"/>
      <c r="AB556" s="610"/>
      <c r="AC556" s="610"/>
      <c r="AD556" s="610"/>
    </row>
    <row r="557" spans="1:30" s="843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733</v>
      </c>
      <c r="E557" s="191">
        <v>40701</v>
      </c>
      <c r="F557" s="189" t="s">
        <v>577</v>
      </c>
      <c r="G557" s="502" t="s">
        <v>570</v>
      </c>
      <c r="H557" s="7" t="s">
        <v>571</v>
      </c>
      <c r="I557" s="260">
        <v>150</v>
      </c>
      <c r="J557" s="260">
        <v>21158</v>
      </c>
      <c r="K557" s="618">
        <f t="shared" si="42"/>
        <v>3173700</v>
      </c>
      <c r="L557" s="194" t="s">
        <v>159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909"/>
      <c r="AB557" s="211"/>
      <c r="AC557" s="211"/>
      <c r="AD557" s="610"/>
    </row>
    <row r="558" spans="1:30" s="843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733</v>
      </c>
      <c r="E558" s="191">
        <v>40701</v>
      </c>
      <c r="F558" s="189" t="s">
        <v>578</v>
      </c>
      <c r="G558" s="502" t="s">
        <v>570</v>
      </c>
      <c r="H558" s="7" t="s">
        <v>571</v>
      </c>
      <c r="I558" s="260">
        <v>45</v>
      </c>
      <c r="J558" s="260">
        <v>15345</v>
      </c>
      <c r="K558" s="618">
        <f t="shared" si="42"/>
        <v>690525</v>
      </c>
      <c r="L558" s="194" t="s">
        <v>159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909"/>
      <c r="AB558" s="610"/>
      <c r="AC558" s="610"/>
      <c r="AD558" s="610"/>
    </row>
    <row r="559" spans="1:30" s="843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733</v>
      </c>
      <c r="E559" s="191">
        <v>40701</v>
      </c>
      <c r="F559" s="189" t="s">
        <v>403</v>
      </c>
      <c r="G559" s="502" t="s">
        <v>570</v>
      </c>
      <c r="H559" s="7" t="s">
        <v>571</v>
      </c>
      <c r="I559" s="260"/>
      <c r="J559" s="260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909"/>
      <c r="AB559" s="211">
        <v>6</v>
      </c>
      <c r="AC559" s="610"/>
      <c r="AD559" s="610"/>
    </row>
    <row r="560" spans="1:30" s="843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356</v>
      </c>
      <c r="E560" s="184">
        <v>40702</v>
      </c>
      <c r="F560" s="189" t="s">
        <v>358</v>
      </c>
      <c r="G560" s="620" t="s">
        <v>353</v>
      </c>
      <c r="H560" s="193" t="s">
        <v>756</v>
      </c>
      <c r="I560" s="260"/>
      <c r="J560" s="260"/>
      <c r="K560" s="618">
        <v>76032911</v>
      </c>
      <c r="L560" s="619" t="s">
        <v>24</v>
      </c>
      <c r="M560" s="619" t="s">
        <v>274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909"/>
      <c r="AB560" s="610"/>
      <c r="AC560" s="610"/>
      <c r="AD560" s="610"/>
    </row>
    <row r="561" spans="1:30" s="843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734</v>
      </c>
      <c r="E561" s="191">
        <v>40702</v>
      </c>
      <c r="F561" s="192" t="s">
        <v>579</v>
      </c>
      <c r="G561" s="502" t="s">
        <v>581</v>
      </c>
      <c r="H561" s="193" t="s">
        <v>582</v>
      </c>
      <c r="I561" s="260">
        <v>185</v>
      </c>
      <c r="J561" s="260">
        <v>22372</v>
      </c>
      <c r="K561" s="618">
        <f>ROUND(I561*J561,0)</f>
        <v>4138820</v>
      </c>
      <c r="L561" s="194" t="s">
        <v>159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909"/>
      <c r="AB561" s="610"/>
      <c r="AC561" s="610"/>
      <c r="AD561" s="610"/>
    </row>
    <row r="562" spans="1:30" s="843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734</v>
      </c>
      <c r="E562" s="191">
        <v>40702</v>
      </c>
      <c r="F562" s="192" t="s">
        <v>580</v>
      </c>
      <c r="G562" s="502" t="s">
        <v>581</v>
      </c>
      <c r="H562" s="193" t="s">
        <v>582</v>
      </c>
      <c r="I562" s="260">
        <v>500</v>
      </c>
      <c r="J562" s="260">
        <v>24005</v>
      </c>
      <c r="K562" s="618">
        <f>ROUND(I562*J562,0)</f>
        <v>12002500</v>
      </c>
      <c r="L562" s="194" t="s">
        <v>159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909"/>
      <c r="AB562" s="610"/>
      <c r="AC562" s="610"/>
      <c r="AD562" s="610"/>
    </row>
    <row r="563" spans="1:30" s="843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734</v>
      </c>
      <c r="E563" s="191">
        <v>40702</v>
      </c>
      <c r="F563" s="192" t="s">
        <v>583</v>
      </c>
      <c r="G563" s="502" t="s">
        <v>581</v>
      </c>
      <c r="H563" s="193" t="s">
        <v>582</v>
      </c>
      <c r="I563" s="260"/>
      <c r="J563" s="260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909"/>
      <c r="AB563" s="211">
        <v>6</v>
      </c>
      <c r="AC563" s="610"/>
      <c r="AD563" s="610"/>
    </row>
    <row r="564" spans="1:30" s="843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7" t="s">
        <v>1127</v>
      </c>
      <c r="E564" s="191">
        <v>40702</v>
      </c>
      <c r="F564" s="302" t="s">
        <v>502</v>
      </c>
      <c r="G564" s="502"/>
      <c r="H564" s="632" t="s">
        <v>1116</v>
      </c>
      <c r="I564" s="260">
        <v>203</v>
      </c>
      <c r="J564" s="260">
        <v>6026</v>
      </c>
      <c r="K564" s="618">
        <f t="shared" ref="K564:K573" si="43">ROUND(I564*J564,0)</f>
        <v>1223278</v>
      </c>
      <c r="L564" s="39" t="s">
        <v>167</v>
      </c>
      <c r="M564" s="731" t="s">
        <v>159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909"/>
      <c r="AB564" s="198"/>
      <c r="AC564" s="198"/>
      <c r="AD564" s="198"/>
    </row>
    <row r="565" spans="1:30" s="843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7" t="s">
        <v>1127</v>
      </c>
      <c r="E565" s="191">
        <v>40702</v>
      </c>
      <c r="F565" s="189" t="s">
        <v>410</v>
      </c>
      <c r="G565" s="502"/>
      <c r="H565" s="632" t="s">
        <v>1116</v>
      </c>
      <c r="I565" s="851">
        <v>1</v>
      </c>
      <c r="J565" s="260">
        <v>4449</v>
      </c>
      <c r="K565" s="618">
        <f t="shared" si="43"/>
        <v>4449</v>
      </c>
      <c r="L565" s="39" t="s">
        <v>167</v>
      </c>
      <c r="M565" s="731" t="s">
        <v>159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909"/>
      <c r="AB565" s="198"/>
      <c r="AC565" s="198"/>
      <c r="AD565" s="198"/>
    </row>
    <row r="566" spans="1:30" s="843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7" t="s">
        <v>1127</v>
      </c>
      <c r="E566" s="191">
        <v>40702</v>
      </c>
      <c r="F566" s="189" t="s">
        <v>519</v>
      </c>
      <c r="G566" s="502"/>
      <c r="H566" s="632" t="s">
        <v>1116</v>
      </c>
      <c r="I566" s="260">
        <v>0.5</v>
      </c>
      <c r="J566" s="260">
        <v>16462</v>
      </c>
      <c r="K566" s="618">
        <f t="shared" si="43"/>
        <v>8231</v>
      </c>
      <c r="L566" s="39" t="s">
        <v>167</v>
      </c>
      <c r="M566" s="731" t="s">
        <v>159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909"/>
      <c r="AB566" s="198"/>
      <c r="AC566" s="198"/>
      <c r="AD566" s="198"/>
    </row>
    <row r="567" spans="1:30" s="843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7" t="s">
        <v>1127</v>
      </c>
      <c r="E567" s="191">
        <v>40702</v>
      </c>
      <c r="F567" s="189" t="s">
        <v>501</v>
      </c>
      <c r="G567" s="502"/>
      <c r="H567" s="632" t="s">
        <v>1116</v>
      </c>
      <c r="I567" s="260">
        <v>2</v>
      </c>
      <c r="J567" s="260">
        <v>4592</v>
      </c>
      <c r="K567" s="618">
        <f t="shared" si="43"/>
        <v>9184</v>
      </c>
      <c r="L567" s="39" t="s">
        <v>167</v>
      </c>
      <c r="M567" s="731" t="s">
        <v>159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909"/>
      <c r="AB567" s="198"/>
      <c r="AC567" s="198"/>
      <c r="AD567" s="198"/>
    </row>
    <row r="568" spans="1:30" s="843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7" t="s">
        <v>1127</v>
      </c>
      <c r="E568" s="191">
        <v>40702</v>
      </c>
      <c r="F568" s="40" t="s">
        <v>622</v>
      </c>
      <c r="G568" s="502"/>
      <c r="H568" s="632" t="s">
        <v>1116</v>
      </c>
      <c r="I568" s="260">
        <v>0.5</v>
      </c>
      <c r="J568" s="260">
        <v>26894</v>
      </c>
      <c r="K568" s="618">
        <f t="shared" si="43"/>
        <v>13447</v>
      </c>
      <c r="L568" s="39" t="s">
        <v>167</v>
      </c>
      <c r="M568" s="731" t="s">
        <v>159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909"/>
      <c r="AB568" s="198"/>
      <c r="AC568" s="198"/>
      <c r="AD568" s="198"/>
    </row>
    <row r="569" spans="1:30" s="843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7" t="s">
        <v>1127</v>
      </c>
      <c r="E569" s="191">
        <v>40702</v>
      </c>
      <c r="F569" s="40" t="s">
        <v>622</v>
      </c>
      <c r="G569" s="502"/>
      <c r="H569" s="632" t="s">
        <v>1116</v>
      </c>
      <c r="I569" s="260">
        <v>4.5</v>
      </c>
      <c r="J569" s="260">
        <v>26894</v>
      </c>
      <c r="K569" s="618">
        <f t="shared" si="43"/>
        <v>121023</v>
      </c>
      <c r="L569" s="39" t="s">
        <v>167</v>
      </c>
      <c r="M569" s="731" t="s">
        <v>159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909"/>
      <c r="AB569" s="198"/>
      <c r="AC569" s="198"/>
      <c r="AD569" s="198"/>
    </row>
    <row r="570" spans="1:30" s="843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7" t="s">
        <v>1127</v>
      </c>
      <c r="E570" s="191">
        <v>40702</v>
      </c>
      <c r="F570" s="870" t="s">
        <v>408</v>
      </c>
      <c r="G570" s="502"/>
      <c r="H570" s="632" t="s">
        <v>1116</v>
      </c>
      <c r="I570" s="260">
        <v>291</v>
      </c>
      <c r="J570" s="260">
        <v>6124</v>
      </c>
      <c r="K570" s="618">
        <f t="shared" si="43"/>
        <v>1782084</v>
      </c>
      <c r="L570" s="39" t="s">
        <v>167</v>
      </c>
      <c r="M570" s="731" t="s">
        <v>159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909"/>
      <c r="AB570" s="198"/>
      <c r="AC570" s="198"/>
      <c r="AD570" s="198"/>
    </row>
    <row r="571" spans="1:30" s="843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7" t="s">
        <v>1127</v>
      </c>
      <c r="E571" s="191">
        <v>40702</v>
      </c>
      <c r="F571" s="189" t="s">
        <v>408</v>
      </c>
      <c r="G571" s="502"/>
      <c r="H571" s="632" t="s">
        <v>1116</v>
      </c>
      <c r="I571" s="260">
        <v>1</v>
      </c>
      <c r="J571" s="260">
        <v>6124</v>
      </c>
      <c r="K571" s="618">
        <f t="shared" si="43"/>
        <v>6124</v>
      </c>
      <c r="L571" s="39" t="s">
        <v>167</v>
      </c>
      <c r="M571" s="731" t="s">
        <v>159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909"/>
      <c r="AB571" s="198"/>
      <c r="AC571" s="198"/>
      <c r="AD571" s="198"/>
    </row>
    <row r="572" spans="1:30" s="843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7" t="s">
        <v>1127</v>
      </c>
      <c r="E572" s="191">
        <v>40702</v>
      </c>
      <c r="F572" s="40" t="s">
        <v>619</v>
      </c>
      <c r="G572" s="502"/>
      <c r="H572" s="632" t="s">
        <v>1116</v>
      </c>
      <c r="I572" s="260">
        <v>120</v>
      </c>
      <c r="J572" s="260">
        <v>15946</v>
      </c>
      <c r="K572" s="618">
        <f t="shared" si="43"/>
        <v>1913520</v>
      </c>
      <c r="L572" s="39" t="s">
        <v>167</v>
      </c>
      <c r="M572" s="731" t="s">
        <v>159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909"/>
      <c r="AB572" s="198"/>
      <c r="AC572" s="198"/>
      <c r="AD572" s="198"/>
    </row>
    <row r="573" spans="1:30" s="845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735</v>
      </c>
      <c r="E573" s="191">
        <v>40703</v>
      </c>
      <c r="F573" s="192" t="s">
        <v>580</v>
      </c>
      <c r="G573" s="502" t="s">
        <v>584</v>
      </c>
      <c r="H573" s="193" t="s">
        <v>582</v>
      </c>
      <c r="I573" s="260">
        <v>658</v>
      </c>
      <c r="J573" s="260">
        <v>24005</v>
      </c>
      <c r="K573" s="618">
        <f t="shared" si="43"/>
        <v>15795290</v>
      </c>
      <c r="L573" s="194" t="s">
        <v>159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909"/>
      <c r="AB573" s="211"/>
      <c r="AC573" s="211"/>
      <c r="AD573" s="610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735</v>
      </c>
      <c r="E574" s="191">
        <v>40703</v>
      </c>
      <c r="F574" s="192" t="s">
        <v>583</v>
      </c>
      <c r="G574" s="502" t="s">
        <v>584</v>
      </c>
      <c r="H574" s="193" t="s">
        <v>582</v>
      </c>
      <c r="I574" s="260"/>
      <c r="J574" s="260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909"/>
      <c r="AB574" s="211">
        <v>6</v>
      </c>
      <c r="AC574" s="610"/>
      <c r="AD574" s="610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715</v>
      </c>
      <c r="E575" s="191">
        <v>40704</v>
      </c>
      <c r="F575" s="189" t="s">
        <v>1104</v>
      </c>
      <c r="G575" s="502" t="s">
        <v>589</v>
      </c>
      <c r="H575" s="7" t="s">
        <v>571</v>
      </c>
      <c r="I575" s="262"/>
      <c r="J575" s="262"/>
      <c r="K575" s="38">
        <v>10007066</v>
      </c>
      <c r="L575" s="194" t="s">
        <v>8</v>
      </c>
      <c r="M575" s="194" t="s">
        <v>47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909"/>
      <c r="AB575" s="610"/>
      <c r="AC575" s="610"/>
      <c r="AD575" s="610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736</v>
      </c>
      <c r="E576" s="191">
        <v>40704</v>
      </c>
      <c r="F576" s="189" t="s">
        <v>585</v>
      </c>
      <c r="G576" s="502" t="s">
        <v>589</v>
      </c>
      <c r="H576" s="7" t="s">
        <v>571</v>
      </c>
      <c r="I576" s="260">
        <v>206</v>
      </c>
      <c r="J576" s="260">
        <v>18390</v>
      </c>
      <c r="K576" s="618">
        <f>ROUND(I576*J576,0)</f>
        <v>3788340</v>
      </c>
      <c r="L576" s="194" t="s">
        <v>159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909"/>
      <c r="AB576" s="610"/>
      <c r="AC576" s="610"/>
      <c r="AD576" s="610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736</v>
      </c>
      <c r="E577" s="191">
        <v>40704</v>
      </c>
      <c r="F577" s="189" t="s">
        <v>586</v>
      </c>
      <c r="G577" s="502" t="s">
        <v>589</v>
      </c>
      <c r="H577" s="7" t="s">
        <v>571</v>
      </c>
      <c r="I577" s="260">
        <v>43</v>
      </c>
      <c r="J577" s="260">
        <v>29843</v>
      </c>
      <c r="K577" s="618">
        <f>ROUND(I577*J577,0)</f>
        <v>1283249</v>
      </c>
      <c r="L577" s="194" t="s">
        <v>159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909"/>
      <c r="AB577" s="211"/>
      <c r="AC577" s="211"/>
      <c r="AD577" s="610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736</v>
      </c>
      <c r="E578" s="191">
        <v>40704</v>
      </c>
      <c r="F578" s="189" t="s">
        <v>587</v>
      </c>
      <c r="G578" s="502" t="s">
        <v>589</v>
      </c>
      <c r="H578" s="7" t="s">
        <v>571</v>
      </c>
      <c r="I578" s="262">
        <v>43</v>
      </c>
      <c r="J578" s="262">
        <v>28273</v>
      </c>
      <c r="K578" s="618">
        <f>ROUND(I578*J578,0)</f>
        <v>1215739</v>
      </c>
      <c r="L578" s="194" t="s">
        <v>159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909"/>
      <c r="AB578" s="610"/>
      <c r="AC578" s="610"/>
      <c r="AD578" s="610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736</v>
      </c>
      <c r="E579" s="191">
        <v>40704</v>
      </c>
      <c r="F579" s="189" t="s">
        <v>588</v>
      </c>
      <c r="G579" s="502" t="s">
        <v>589</v>
      </c>
      <c r="H579" s="7" t="s">
        <v>571</v>
      </c>
      <c r="I579" s="260">
        <v>95</v>
      </c>
      <c r="J579" s="260">
        <v>29579</v>
      </c>
      <c r="K579" s="618">
        <f>ROUND(I579*J579,0)</f>
        <v>2810005</v>
      </c>
      <c r="L579" s="194" t="s">
        <v>159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909"/>
      <c r="AB579" s="211"/>
      <c r="AC579" s="211"/>
      <c r="AD579" s="610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736</v>
      </c>
      <c r="E580" s="191">
        <v>40704</v>
      </c>
      <c r="F580" s="189" t="s">
        <v>403</v>
      </c>
      <c r="G580" s="502" t="s">
        <v>589</v>
      </c>
      <c r="H580" s="7" t="s">
        <v>571</v>
      </c>
      <c r="I580" s="262"/>
      <c r="J580" s="262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909"/>
      <c r="AB580" s="211">
        <v>6</v>
      </c>
      <c r="AC580" s="610"/>
      <c r="AD580" s="610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716</v>
      </c>
      <c r="E581" s="191">
        <v>40705</v>
      </c>
      <c r="F581" s="192" t="s">
        <v>471</v>
      </c>
      <c r="G581" s="502" t="s">
        <v>557</v>
      </c>
      <c r="H581" s="45" t="s">
        <v>474</v>
      </c>
      <c r="I581" s="260"/>
      <c r="J581" s="260"/>
      <c r="K581" s="38">
        <v>888420</v>
      </c>
      <c r="L581" s="194" t="s">
        <v>167</v>
      </c>
      <c r="M581" s="194" t="s">
        <v>47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909"/>
      <c r="AB581" s="610"/>
      <c r="AC581" s="610"/>
      <c r="AD581" s="610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716</v>
      </c>
      <c r="E582" s="191">
        <v>40705</v>
      </c>
      <c r="F582" s="192" t="s">
        <v>472</v>
      </c>
      <c r="G582" s="502" t="s">
        <v>557</v>
      </c>
      <c r="H582" s="45" t="s">
        <v>474</v>
      </c>
      <c r="I582" s="260"/>
      <c r="J582" s="260"/>
      <c r="K582" s="38">
        <v>88842</v>
      </c>
      <c r="L582" s="194" t="s">
        <v>9</v>
      </c>
      <c r="M582" s="194" t="s">
        <v>47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909"/>
      <c r="AB582" s="211">
        <v>6</v>
      </c>
      <c r="AC582" s="610"/>
      <c r="AD582" s="610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972</v>
      </c>
      <c r="E583" s="191">
        <v>40706</v>
      </c>
      <c r="F583" s="189" t="s">
        <v>1104</v>
      </c>
      <c r="G583" s="502" t="s">
        <v>590</v>
      </c>
      <c r="H583" s="7" t="s">
        <v>522</v>
      </c>
      <c r="I583" s="260"/>
      <c r="J583" s="260"/>
      <c r="K583" s="38">
        <v>15310050</v>
      </c>
      <c r="L583" s="194" t="s">
        <v>8</v>
      </c>
      <c r="M583" s="194" t="s">
        <v>47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909"/>
      <c r="AB583" s="610"/>
      <c r="AC583" s="610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737</v>
      </c>
      <c r="E584" s="191">
        <v>40706</v>
      </c>
      <c r="F584" s="189" t="s">
        <v>566</v>
      </c>
      <c r="G584" s="502" t="s">
        <v>590</v>
      </c>
      <c r="H584" s="7" t="s">
        <v>522</v>
      </c>
      <c r="I584" s="260">
        <v>49</v>
      </c>
      <c r="J584" s="260">
        <v>28059</v>
      </c>
      <c r="K584" s="618">
        <f t="shared" ref="K584:K589" si="44">ROUND(I584*J584,0)</f>
        <v>1374891</v>
      </c>
      <c r="L584" s="194" t="s">
        <v>159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909"/>
      <c r="AB584" s="610"/>
      <c r="AC584" s="610"/>
      <c r="AD584" s="610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737</v>
      </c>
      <c r="E585" s="191">
        <v>40706</v>
      </c>
      <c r="F585" s="189" t="s">
        <v>591</v>
      </c>
      <c r="G585" s="502" t="s">
        <v>590</v>
      </c>
      <c r="H585" s="7" t="s">
        <v>522</v>
      </c>
      <c r="I585" s="260">
        <v>104</v>
      </c>
      <c r="J585" s="260">
        <v>24030</v>
      </c>
      <c r="K585" s="618">
        <f t="shared" si="44"/>
        <v>2499120</v>
      </c>
      <c r="L585" s="194" t="s">
        <v>159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909"/>
      <c r="AB585" s="211"/>
      <c r="AC585" s="211"/>
      <c r="AD585" s="610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737</v>
      </c>
      <c r="E586" s="191">
        <v>40706</v>
      </c>
      <c r="F586" s="189" t="s">
        <v>592</v>
      </c>
      <c r="G586" s="502" t="s">
        <v>590</v>
      </c>
      <c r="H586" s="7" t="s">
        <v>522</v>
      </c>
      <c r="I586" s="260">
        <v>104</v>
      </c>
      <c r="J586" s="260">
        <v>25524</v>
      </c>
      <c r="K586" s="618">
        <f t="shared" si="44"/>
        <v>2654496</v>
      </c>
      <c r="L586" s="194" t="s">
        <v>159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909"/>
      <c r="AB586" s="610"/>
      <c r="AC586" s="610"/>
      <c r="AD586" s="610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737</v>
      </c>
      <c r="E587" s="191">
        <v>40706</v>
      </c>
      <c r="F587" s="189" t="s">
        <v>593</v>
      </c>
      <c r="G587" s="502" t="s">
        <v>590</v>
      </c>
      <c r="H587" s="7" t="s">
        <v>522</v>
      </c>
      <c r="I587" s="260">
        <v>104</v>
      </c>
      <c r="J587" s="260">
        <v>27479</v>
      </c>
      <c r="K587" s="618">
        <f t="shared" si="44"/>
        <v>2857816</v>
      </c>
      <c r="L587" s="194" t="s">
        <v>159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909"/>
      <c r="AB587" s="211"/>
      <c r="AC587" s="211"/>
      <c r="AD587" s="610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737</v>
      </c>
      <c r="E588" s="191">
        <v>40706</v>
      </c>
      <c r="F588" s="189" t="s">
        <v>594</v>
      </c>
      <c r="G588" s="502" t="s">
        <v>590</v>
      </c>
      <c r="H588" s="7" t="s">
        <v>522</v>
      </c>
      <c r="I588" s="260">
        <v>104</v>
      </c>
      <c r="J588" s="260">
        <v>23340</v>
      </c>
      <c r="K588" s="618">
        <f t="shared" si="44"/>
        <v>2427360</v>
      </c>
      <c r="L588" s="194" t="s">
        <v>159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909"/>
      <c r="AB588" s="610"/>
      <c r="AC588" s="610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737</v>
      </c>
      <c r="E589" s="191">
        <v>40706</v>
      </c>
      <c r="F589" s="189" t="s">
        <v>595</v>
      </c>
      <c r="G589" s="502" t="s">
        <v>590</v>
      </c>
      <c r="H589" s="7" t="s">
        <v>522</v>
      </c>
      <c r="I589" s="260">
        <v>104</v>
      </c>
      <c r="J589" s="260">
        <v>20236</v>
      </c>
      <c r="K589" s="618">
        <f t="shared" si="44"/>
        <v>2104544</v>
      </c>
      <c r="L589" s="194" t="s">
        <v>159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909"/>
      <c r="AB589" s="610"/>
      <c r="AC589" s="610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737</v>
      </c>
      <c r="E590" s="191">
        <v>40706</v>
      </c>
      <c r="F590" s="189" t="s">
        <v>403</v>
      </c>
      <c r="G590" s="502" t="s">
        <v>590</v>
      </c>
      <c r="H590" s="7" t="s">
        <v>522</v>
      </c>
      <c r="I590" s="260"/>
      <c r="J590" s="260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909"/>
      <c r="AB590" s="211">
        <v>6</v>
      </c>
      <c r="AC590" s="610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973</v>
      </c>
      <c r="E591" s="191">
        <v>40707</v>
      </c>
      <c r="F591" s="192" t="s">
        <v>560</v>
      </c>
      <c r="G591" s="502" t="s">
        <v>559</v>
      </c>
      <c r="H591" s="193" t="s">
        <v>558</v>
      </c>
      <c r="I591" s="260"/>
      <c r="J591" s="260"/>
      <c r="K591" s="38">
        <v>125455</v>
      </c>
      <c r="L591" s="194" t="s">
        <v>83</v>
      </c>
      <c r="M591" s="194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909"/>
      <c r="AB591" s="610"/>
      <c r="AC591" s="610"/>
      <c r="AD591" s="610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973</v>
      </c>
      <c r="E592" s="191">
        <v>40707</v>
      </c>
      <c r="F592" s="192" t="s">
        <v>561</v>
      </c>
      <c r="G592" s="502" t="s">
        <v>559</v>
      </c>
      <c r="H592" s="193" t="s">
        <v>558</v>
      </c>
      <c r="I592" s="260"/>
      <c r="J592" s="260"/>
      <c r="K592" s="38">
        <v>12545</v>
      </c>
      <c r="L592" s="194" t="s">
        <v>9</v>
      </c>
      <c r="M592" s="194" t="s">
        <v>47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909"/>
      <c r="AB592" s="211">
        <v>6</v>
      </c>
      <c r="AC592" s="610"/>
      <c r="AD592" s="610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738</v>
      </c>
      <c r="E593" s="191">
        <v>40707</v>
      </c>
      <c r="F593" s="192" t="s">
        <v>611</v>
      </c>
      <c r="G593" s="502" t="s">
        <v>610</v>
      </c>
      <c r="H593" s="193" t="s">
        <v>582</v>
      </c>
      <c r="I593" s="262">
        <v>44</v>
      </c>
      <c r="J593" s="262">
        <v>36906</v>
      </c>
      <c r="K593" s="618">
        <f>ROUND(I593*J593,0)</f>
        <v>1623864</v>
      </c>
      <c r="L593" s="194" t="s">
        <v>159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909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738</v>
      </c>
      <c r="E594" s="191">
        <v>40707</v>
      </c>
      <c r="F594" s="192" t="s">
        <v>612</v>
      </c>
      <c r="G594" s="502" t="s">
        <v>610</v>
      </c>
      <c r="H594" s="193" t="s">
        <v>582</v>
      </c>
      <c r="I594" s="260">
        <v>330</v>
      </c>
      <c r="J594" s="260">
        <v>22961</v>
      </c>
      <c r="K594" s="618">
        <f>ROUND(I594*J594,0)</f>
        <v>7577130</v>
      </c>
      <c r="L594" s="194" t="s">
        <v>159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909"/>
      <c r="AB594" s="610"/>
      <c r="AC594" s="610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738</v>
      </c>
      <c r="E595" s="191">
        <v>40707</v>
      </c>
      <c r="F595" s="192" t="s">
        <v>613</v>
      </c>
      <c r="G595" s="502" t="s">
        <v>610</v>
      </c>
      <c r="H595" s="193" t="s">
        <v>582</v>
      </c>
      <c r="I595" s="260">
        <v>148</v>
      </c>
      <c r="J595" s="260">
        <v>34989</v>
      </c>
      <c r="K595" s="618">
        <f>ROUND(I595*J595,0)</f>
        <v>5178372</v>
      </c>
      <c r="L595" s="194" t="s">
        <v>159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909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738</v>
      </c>
      <c r="E596" s="191">
        <v>40707</v>
      </c>
      <c r="F596" s="192" t="s">
        <v>614</v>
      </c>
      <c r="G596" s="502" t="s">
        <v>610</v>
      </c>
      <c r="H596" s="193" t="s">
        <v>582</v>
      </c>
      <c r="I596" s="260">
        <v>42</v>
      </c>
      <c r="J596" s="260">
        <v>35301</v>
      </c>
      <c r="K596" s="618">
        <f>ROUND(I596*J596,0)</f>
        <v>1482642</v>
      </c>
      <c r="L596" s="194" t="s">
        <v>159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909"/>
      <c r="AB596" s="610"/>
      <c r="AC596" s="610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738</v>
      </c>
      <c r="E597" s="191">
        <v>40707</v>
      </c>
      <c r="F597" s="192" t="s">
        <v>583</v>
      </c>
      <c r="G597" s="502" t="s">
        <v>610</v>
      </c>
      <c r="H597" s="193" t="s">
        <v>582</v>
      </c>
      <c r="I597" s="263"/>
      <c r="J597" s="263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909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7" t="s">
        <v>1128</v>
      </c>
      <c r="E598" s="191">
        <v>40707</v>
      </c>
      <c r="F598" s="40" t="s">
        <v>579</v>
      </c>
      <c r="G598" s="502"/>
      <c r="H598" s="632" t="s">
        <v>1116</v>
      </c>
      <c r="I598" s="260">
        <v>152</v>
      </c>
      <c r="J598" s="260">
        <v>22372</v>
      </c>
      <c r="K598" s="618">
        <f t="shared" ref="K598:K607" si="46">ROUND(I598*J598,0)</f>
        <v>3400544</v>
      </c>
      <c r="L598" s="39" t="s">
        <v>167</v>
      </c>
      <c r="M598" s="731" t="s">
        <v>159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909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7" t="s">
        <v>1128</v>
      </c>
      <c r="E599" s="191">
        <v>40707</v>
      </c>
      <c r="F599" s="40" t="s">
        <v>627</v>
      </c>
      <c r="G599" s="502"/>
      <c r="H599" s="632" t="s">
        <v>1116</v>
      </c>
      <c r="I599" s="260">
        <v>32.5</v>
      </c>
      <c r="J599" s="260">
        <v>14280</v>
      </c>
      <c r="K599" s="618">
        <f t="shared" si="46"/>
        <v>464100</v>
      </c>
      <c r="L599" s="39" t="s">
        <v>167</v>
      </c>
      <c r="M599" s="731" t="s">
        <v>159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909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7" t="s">
        <v>1128</v>
      </c>
      <c r="E600" s="191">
        <v>40707</v>
      </c>
      <c r="F600" s="40" t="s">
        <v>622</v>
      </c>
      <c r="G600" s="502"/>
      <c r="H600" s="632" t="s">
        <v>1116</v>
      </c>
      <c r="I600" s="260">
        <v>16</v>
      </c>
      <c r="J600" s="260">
        <v>26894</v>
      </c>
      <c r="K600" s="618">
        <f t="shared" si="46"/>
        <v>430304</v>
      </c>
      <c r="L600" s="39" t="s">
        <v>167</v>
      </c>
      <c r="M600" s="731" t="s">
        <v>159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909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7" t="s">
        <v>1128</v>
      </c>
      <c r="E601" s="191">
        <v>40707</v>
      </c>
      <c r="F601" s="189" t="s">
        <v>606</v>
      </c>
      <c r="G601" s="502"/>
      <c r="H601" s="632" t="s">
        <v>1116</v>
      </c>
      <c r="I601" s="260">
        <v>2</v>
      </c>
      <c r="J601" s="260">
        <v>35566</v>
      </c>
      <c r="K601" s="618">
        <f t="shared" si="46"/>
        <v>71132</v>
      </c>
      <c r="L601" s="39" t="s">
        <v>167</v>
      </c>
      <c r="M601" s="731" t="s">
        <v>159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909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7" t="s">
        <v>1128</v>
      </c>
      <c r="E602" s="191">
        <v>40707</v>
      </c>
      <c r="F602" s="40" t="s">
        <v>580</v>
      </c>
      <c r="G602" s="502"/>
      <c r="H602" s="632" t="s">
        <v>1116</v>
      </c>
      <c r="I602" s="260">
        <v>40</v>
      </c>
      <c r="J602" s="260">
        <v>24005</v>
      </c>
      <c r="K602" s="618">
        <f t="shared" si="46"/>
        <v>960200</v>
      </c>
      <c r="L602" s="39" t="s">
        <v>167</v>
      </c>
      <c r="M602" s="731" t="s">
        <v>159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909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7" t="s">
        <v>1128</v>
      </c>
      <c r="E603" s="191">
        <v>40707</v>
      </c>
      <c r="F603" s="40" t="s">
        <v>627</v>
      </c>
      <c r="G603" s="502"/>
      <c r="H603" s="632" t="s">
        <v>1116</v>
      </c>
      <c r="I603" s="260">
        <v>24.5</v>
      </c>
      <c r="J603" s="260">
        <v>14280</v>
      </c>
      <c r="K603" s="618">
        <f t="shared" si="46"/>
        <v>349860</v>
      </c>
      <c r="L603" s="39" t="s">
        <v>167</v>
      </c>
      <c r="M603" s="731" t="s">
        <v>159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909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7" t="s">
        <v>1128</v>
      </c>
      <c r="E604" s="191">
        <v>40707</v>
      </c>
      <c r="F604" s="189" t="s">
        <v>501</v>
      </c>
      <c r="G604" s="502"/>
      <c r="H604" s="632" t="s">
        <v>1116</v>
      </c>
      <c r="I604" s="260">
        <v>2</v>
      </c>
      <c r="J604" s="260">
        <v>4592</v>
      </c>
      <c r="K604" s="618">
        <f t="shared" si="46"/>
        <v>9184</v>
      </c>
      <c r="L604" s="39" t="s">
        <v>167</v>
      </c>
      <c r="M604" s="731" t="s">
        <v>159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909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7" t="s">
        <v>1128</v>
      </c>
      <c r="E605" s="191">
        <v>40707</v>
      </c>
      <c r="F605" s="189" t="s">
        <v>519</v>
      </c>
      <c r="G605" s="502"/>
      <c r="H605" s="632" t="s">
        <v>1116</v>
      </c>
      <c r="I605" s="260">
        <v>1</v>
      </c>
      <c r="J605" s="260">
        <v>16462</v>
      </c>
      <c r="K605" s="618">
        <f t="shared" si="46"/>
        <v>16462</v>
      </c>
      <c r="L605" s="39" t="s">
        <v>167</v>
      </c>
      <c r="M605" s="731" t="s">
        <v>159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909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7" t="s">
        <v>1128</v>
      </c>
      <c r="E606" s="191">
        <v>40707</v>
      </c>
      <c r="F606" s="189" t="s">
        <v>408</v>
      </c>
      <c r="G606" s="502"/>
      <c r="H606" s="632" t="s">
        <v>1116</v>
      </c>
      <c r="I606" s="260">
        <v>5</v>
      </c>
      <c r="J606" s="260">
        <v>6124</v>
      </c>
      <c r="K606" s="618">
        <f t="shared" si="46"/>
        <v>30620</v>
      </c>
      <c r="L606" s="39" t="s">
        <v>167</v>
      </c>
      <c r="M606" s="731" t="s">
        <v>159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909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1105</v>
      </c>
      <c r="E607" s="191">
        <v>40708</v>
      </c>
      <c r="F607" s="302" t="s">
        <v>395</v>
      </c>
      <c r="G607" s="502" t="s">
        <v>596</v>
      </c>
      <c r="H607" s="7" t="s">
        <v>394</v>
      </c>
      <c r="I607" s="262">
        <v>40</v>
      </c>
      <c r="J607" s="262">
        <v>40000</v>
      </c>
      <c r="K607" s="618">
        <f t="shared" si="46"/>
        <v>1600000</v>
      </c>
      <c r="L607" s="194" t="s">
        <v>167</v>
      </c>
      <c r="M607" s="194" t="s">
        <v>47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909"/>
      <c r="AB607" s="610"/>
      <c r="AC607" s="610"/>
      <c r="AD607" s="610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1105</v>
      </c>
      <c r="E608" s="191">
        <v>40708</v>
      </c>
      <c r="F608" s="192" t="s">
        <v>365</v>
      </c>
      <c r="G608" s="502" t="s">
        <v>596</v>
      </c>
      <c r="H608" s="7" t="s">
        <v>394</v>
      </c>
      <c r="I608" s="260"/>
      <c r="J608" s="260"/>
      <c r="K608" s="38">
        <v>160000</v>
      </c>
      <c r="L608" s="194" t="s">
        <v>9</v>
      </c>
      <c r="M608" s="194" t="s">
        <v>47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909"/>
      <c r="AB608" s="610">
        <v>6</v>
      </c>
      <c r="AC608" s="610"/>
      <c r="AD608" s="610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1106</v>
      </c>
      <c r="E609" s="184">
        <v>40709</v>
      </c>
      <c r="F609" s="189" t="s">
        <v>385</v>
      </c>
      <c r="G609" s="620" t="s">
        <v>353</v>
      </c>
      <c r="H609" s="193" t="s">
        <v>386</v>
      </c>
      <c r="I609" s="260"/>
      <c r="J609" s="260"/>
      <c r="K609" s="618">
        <v>90000000</v>
      </c>
      <c r="L609" s="619" t="s">
        <v>24</v>
      </c>
      <c r="M609" s="619" t="s">
        <v>47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909"/>
      <c r="AB609" s="610"/>
      <c r="AC609" s="610"/>
      <c r="AD609" s="610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1107</v>
      </c>
      <c r="E610" s="191">
        <v>40709</v>
      </c>
      <c r="F610" s="192" t="s">
        <v>660</v>
      </c>
      <c r="G610" s="502" t="s">
        <v>597</v>
      </c>
      <c r="H610" s="7" t="s">
        <v>414</v>
      </c>
      <c r="I610" s="262"/>
      <c r="J610" s="262"/>
      <c r="K610" s="38">
        <v>1292500</v>
      </c>
      <c r="L610" s="194" t="s">
        <v>8</v>
      </c>
      <c r="M610" s="194" t="s">
        <v>47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909"/>
      <c r="AB610" s="610"/>
      <c r="AC610" s="610"/>
      <c r="AD610" s="610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357</v>
      </c>
      <c r="E611" s="184">
        <v>40709</v>
      </c>
      <c r="F611" s="189" t="s">
        <v>392</v>
      </c>
      <c r="G611" s="620" t="s">
        <v>353</v>
      </c>
      <c r="H611" s="7" t="s">
        <v>554</v>
      </c>
      <c r="I611" s="260"/>
      <c r="J611" s="260"/>
      <c r="K611" s="618">
        <v>146400000</v>
      </c>
      <c r="L611" s="619" t="s">
        <v>8</v>
      </c>
      <c r="M611" s="619" t="s">
        <v>24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909"/>
      <c r="AB611" s="610"/>
      <c r="AC611" s="610"/>
      <c r="AD611" s="610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357</v>
      </c>
      <c r="E612" s="184">
        <v>40709</v>
      </c>
      <c r="F612" s="189" t="s">
        <v>393</v>
      </c>
      <c r="G612" s="620" t="s">
        <v>353</v>
      </c>
      <c r="H612" s="7"/>
      <c r="I612" s="260"/>
      <c r="J612" s="260"/>
      <c r="K612" s="618">
        <v>20748</v>
      </c>
      <c r="L612" s="619" t="s">
        <v>83</v>
      </c>
      <c r="M612" s="619" t="s">
        <v>24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909"/>
      <c r="AB612" s="610"/>
      <c r="AC612" s="610"/>
      <c r="AD612" s="610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739</v>
      </c>
      <c r="E613" s="191">
        <v>40709</v>
      </c>
      <c r="F613" s="192" t="s">
        <v>580</v>
      </c>
      <c r="G613" s="502" t="s">
        <v>615</v>
      </c>
      <c r="H613" s="193" t="s">
        <v>582</v>
      </c>
      <c r="I613" s="260">
        <v>300</v>
      </c>
      <c r="J613" s="260">
        <v>24005</v>
      </c>
      <c r="K613" s="618">
        <f>ROUND(I613*J613,0)</f>
        <v>7201500</v>
      </c>
      <c r="L613" s="194" t="s">
        <v>159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909"/>
      <c r="AB613" s="610"/>
      <c r="AC613" s="610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739</v>
      </c>
      <c r="E614" s="191">
        <v>40709</v>
      </c>
      <c r="F614" s="192" t="s">
        <v>616</v>
      </c>
      <c r="G614" s="502" t="s">
        <v>615</v>
      </c>
      <c r="H614" s="193" t="s">
        <v>582</v>
      </c>
      <c r="I614" s="260">
        <v>102</v>
      </c>
      <c r="J614" s="260">
        <v>23842</v>
      </c>
      <c r="K614" s="618">
        <f>ROUND(I614*J614,0)</f>
        <v>2431884</v>
      </c>
      <c r="L614" s="194" t="s">
        <v>159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909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739</v>
      </c>
      <c r="E615" s="191">
        <v>40709</v>
      </c>
      <c r="F615" s="192" t="s">
        <v>611</v>
      </c>
      <c r="G615" s="502" t="s">
        <v>615</v>
      </c>
      <c r="H615" s="193" t="s">
        <v>582</v>
      </c>
      <c r="I615" s="260">
        <v>42</v>
      </c>
      <c r="J615" s="260">
        <v>36906</v>
      </c>
      <c r="K615" s="618">
        <f>ROUND(I615*J615,0)</f>
        <v>1550052</v>
      </c>
      <c r="L615" s="194" t="s">
        <v>159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909"/>
      <c r="AB615" s="610"/>
      <c r="AC615" s="610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739</v>
      </c>
      <c r="E616" s="191">
        <v>40709</v>
      </c>
      <c r="F616" s="192" t="s">
        <v>583</v>
      </c>
      <c r="G616" s="502" t="s">
        <v>615</v>
      </c>
      <c r="H616" s="193" t="s">
        <v>582</v>
      </c>
      <c r="I616" s="260"/>
      <c r="J616" s="260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909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808</v>
      </c>
      <c r="E617" s="191">
        <v>40709</v>
      </c>
      <c r="F617" s="189" t="s">
        <v>411</v>
      </c>
      <c r="G617" s="502" t="s">
        <v>597</v>
      </c>
      <c r="H617" s="7" t="s">
        <v>414</v>
      </c>
      <c r="I617" s="260">
        <v>50</v>
      </c>
      <c r="J617" s="260">
        <v>23500</v>
      </c>
      <c r="K617" s="618">
        <f>ROUND(I617*J617,0)</f>
        <v>1175000</v>
      </c>
      <c r="L617" s="194" t="s">
        <v>161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909"/>
      <c r="AB617" s="610"/>
      <c r="AC617" s="610"/>
      <c r="AD617" s="610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808</v>
      </c>
      <c r="E618" s="191">
        <v>40709</v>
      </c>
      <c r="F618" s="189" t="s">
        <v>412</v>
      </c>
      <c r="G618" s="502" t="s">
        <v>597</v>
      </c>
      <c r="H618" s="7" t="s">
        <v>414</v>
      </c>
      <c r="I618" s="260"/>
      <c r="J618" s="260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909"/>
      <c r="AB618" s="211">
        <v>6</v>
      </c>
      <c r="AC618" s="211"/>
      <c r="AD618" s="610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1108</v>
      </c>
      <c r="E619" s="184">
        <v>40710</v>
      </c>
      <c r="F619" s="189" t="s">
        <v>385</v>
      </c>
      <c r="G619" s="620" t="s">
        <v>353</v>
      </c>
      <c r="H619" s="193" t="s">
        <v>386</v>
      </c>
      <c r="I619" s="260"/>
      <c r="J619" s="260"/>
      <c r="K619" s="618">
        <v>20000000</v>
      </c>
      <c r="L619" s="619" t="s">
        <v>24</v>
      </c>
      <c r="M619" s="619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909"/>
      <c r="AB619" s="610"/>
      <c r="AC619" s="610"/>
      <c r="AD619" s="610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1109</v>
      </c>
      <c r="E620" s="191">
        <v>40710</v>
      </c>
      <c r="F620" s="192" t="s">
        <v>547</v>
      </c>
      <c r="G620" s="502" t="s">
        <v>598</v>
      </c>
      <c r="H620" s="7" t="s">
        <v>394</v>
      </c>
      <c r="I620" s="260">
        <v>20</v>
      </c>
      <c r="J620" s="260">
        <v>67000</v>
      </c>
      <c r="K620" s="618">
        <f>ROUND(I620*J620,0)</f>
        <v>1340000</v>
      </c>
      <c r="L620" s="194" t="s">
        <v>167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909"/>
      <c r="AB620" s="211"/>
      <c r="AC620" s="211"/>
      <c r="AD620" s="610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1109</v>
      </c>
      <c r="E621" s="191">
        <v>40710</v>
      </c>
      <c r="F621" s="192" t="s">
        <v>365</v>
      </c>
      <c r="G621" s="502" t="s">
        <v>598</v>
      </c>
      <c r="H621" s="7" t="s">
        <v>394</v>
      </c>
      <c r="I621" s="260"/>
      <c r="J621" s="260"/>
      <c r="K621" s="38">
        <v>134000</v>
      </c>
      <c r="L621" s="194" t="s">
        <v>9</v>
      </c>
      <c r="M621" s="194" t="s">
        <v>47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909"/>
      <c r="AB621" s="211">
        <v>6</v>
      </c>
      <c r="AC621" s="610"/>
      <c r="AD621" s="610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360</v>
      </c>
      <c r="E622" s="191">
        <v>40710</v>
      </c>
      <c r="F622" s="192" t="s">
        <v>551</v>
      </c>
      <c r="G622" s="502" t="s">
        <v>553</v>
      </c>
      <c r="H622" s="193" t="s">
        <v>554</v>
      </c>
      <c r="I622" s="260"/>
      <c r="J622" s="260"/>
      <c r="K622" s="38">
        <v>320000000</v>
      </c>
      <c r="L622" s="194" t="s">
        <v>173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909"/>
      <c r="AB622" s="610"/>
      <c r="AC622" s="610"/>
      <c r="AD622" s="610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360</v>
      </c>
      <c r="E623" s="191">
        <v>40710</v>
      </c>
      <c r="F623" s="192" t="s">
        <v>552</v>
      </c>
      <c r="G623" s="502" t="s">
        <v>553</v>
      </c>
      <c r="H623" s="193" t="s">
        <v>554</v>
      </c>
      <c r="I623" s="260"/>
      <c r="J623" s="260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909"/>
      <c r="AB623" s="211">
        <v>6</v>
      </c>
      <c r="AC623" s="610"/>
      <c r="AD623" s="610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7" t="s">
        <v>1129</v>
      </c>
      <c r="E624" s="191">
        <v>40710</v>
      </c>
      <c r="F624" s="189" t="s">
        <v>519</v>
      </c>
      <c r="G624" s="502"/>
      <c r="H624" s="632" t="s">
        <v>1116</v>
      </c>
      <c r="I624" s="260">
        <v>0.5</v>
      </c>
      <c r="J624" s="260">
        <v>16462</v>
      </c>
      <c r="K624" s="618">
        <f t="shared" ref="K624:K632" si="48">ROUND(I624*J624,0)</f>
        <v>8231</v>
      </c>
      <c r="L624" s="39" t="s">
        <v>167</v>
      </c>
      <c r="M624" s="731" t="s">
        <v>159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909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7" t="s">
        <v>1129</v>
      </c>
      <c r="E625" s="191">
        <v>40710</v>
      </c>
      <c r="F625" s="189" t="s">
        <v>410</v>
      </c>
      <c r="G625" s="502"/>
      <c r="H625" s="632" t="s">
        <v>1116</v>
      </c>
      <c r="I625" s="851">
        <v>1</v>
      </c>
      <c r="J625" s="260">
        <v>4449</v>
      </c>
      <c r="K625" s="618">
        <f t="shared" si="48"/>
        <v>4449</v>
      </c>
      <c r="L625" s="39" t="s">
        <v>167</v>
      </c>
      <c r="M625" s="731" t="s">
        <v>159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909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7" t="s">
        <v>1129</v>
      </c>
      <c r="E626" s="191">
        <v>40710</v>
      </c>
      <c r="F626" s="302" t="s">
        <v>404</v>
      </c>
      <c r="G626" s="502"/>
      <c r="H626" s="632" t="s">
        <v>1116</v>
      </c>
      <c r="I626" s="260">
        <v>3</v>
      </c>
      <c r="J626" s="260">
        <v>14079</v>
      </c>
      <c r="K626" s="618">
        <f t="shared" si="48"/>
        <v>42237</v>
      </c>
      <c r="L626" s="39" t="s">
        <v>167</v>
      </c>
      <c r="M626" s="731" t="s">
        <v>159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909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7" t="s">
        <v>1129</v>
      </c>
      <c r="E627" s="191">
        <v>40710</v>
      </c>
      <c r="F627" s="189" t="s">
        <v>519</v>
      </c>
      <c r="G627" s="502"/>
      <c r="H627" s="632" t="s">
        <v>1116</v>
      </c>
      <c r="I627" s="260">
        <v>1</v>
      </c>
      <c r="J627" s="260">
        <v>16462</v>
      </c>
      <c r="K627" s="618">
        <f t="shared" si="48"/>
        <v>16462</v>
      </c>
      <c r="L627" s="39" t="s">
        <v>167</v>
      </c>
      <c r="M627" s="731" t="s">
        <v>159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909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7" t="s">
        <v>1129</v>
      </c>
      <c r="E628" s="191">
        <v>40710</v>
      </c>
      <c r="F628" s="302" t="s">
        <v>502</v>
      </c>
      <c r="G628" s="502"/>
      <c r="H628" s="632" t="s">
        <v>1116</v>
      </c>
      <c r="I628" s="260">
        <v>8</v>
      </c>
      <c r="J628" s="260">
        <v>6026</v>
      </c>
      <c r="K628" s="618">
        <f t="shared" si="48"/>
        <v>48208</v>
      </c>
      <c r="L628" s="39" t="s">
        <v>167</v>
      </c>
      <c r="M628" s="731" t="s">
        <v>159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909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7" t="s">
        <v>1129</v>
      </c>
      <c r="E629" s="191">
        <v>40710</v>
      </c>
      <c r="F629" s="189" t="s">
        <v>408</v>
      </c>
      <c r="G629" s="502"/>
      <c r="H629" s="632" t="s">
        <v>1116</v>
      </c>
      <c r="I629" s="260">
        <v>1</v>
      </c>
      <c r="J629" s="260">
        <v>6124</v>
      </c>
      <c r="K629" s="618">
        <f t="shared" si="48"/>
        <v>6124</v>
      </c>
      <c r="L629" s="39" t="s">
        <v>167</v>
      </c>
      <c r="M629" s="731" t="s">
        <v>159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909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7" t="s">
        <v>1129</v>
      </c>
      <c r="E630" s="191">
        <v>40710</v>
      </c>
      <c r="F630" s="189" t="s">
        <v>519</v>
      </c>
      <c r="G630" s="502"/>
      <c r="H630" s="632" t="s">
        <v>1116</v>
      </c>
      <c r="I630" s="260">
        <v>0.5</v>
      </c>
      <c r="J630" s="260">
        <v>16462</v>
      </c>
      <c r="K630" s="618">
        <f t="shared" si="48"/>
        <v>8231</v>
      </c>
      <c r="L630" s="39" t="s">
        <v>167</v>
      </c>
      <c r="M630" s="731" t="s">
        <v>159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909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7" t="s">
        <v>1129</v>
      </c>
      <c r="E631" s="191">
        <v>40710</v>
      </c>
      <c r="F631" s="189" t="s">
        <v>585</v>
      </c>
      <c r="G631" s="502"/>
      <c r="H631" s="632" t="s">
        <v>1116</v>
      </c>
      <c r="I631" s="260">
        <v>2</v>
      </c>
      <c r="J631" s="260">
        <v>18390</v>
      </c>
      <c r="K631" s="618">
        <f t="shared" si="48"/>
        <v>36780</v>
      </c>
      <c r="L631" s="39" t="s">
        <v>167</v>
      </c>
      <c r="M631" s="731" t="s">
        <v>159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909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7" t="s">
        <v>1129</v>
      </c>
      <c r="E632" s="191">
        <v>40710</v>
      </c>
      <c r="F632" s="189" t="s">
        <v>519</v>
      </c>
      <c r="G632" s="502"/>
      <c r="H632" s="632" t="s">
        <v>1116</v>
      </c>
      <c r="I632" s="260">
        <v>0.5</v>
      </c>
      <c r="J632" s="260">
        <v>16462</v>
      </c>
      <c r="K632" s="618">
        <f t="shared" si="48"/>
        <v>8231</v>
      </c>
      <c r="L632" s="39" t="s">
        <v>167</v>
      </c>
      <c r="M632" s="731" t="s">
        <v>159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909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356</v>
      </c>
      <c r="E633" s="184">
        <v>40711</v>
      </c>
      <c r="F633" s="189" t="s">
        <v>358</v>
      </c>
      <c r="G633" s="620" t="s">
        <v>353</v>
      </c>
      <c r="H633" s="193" t="s">
        <v>757</v>
      </c>
      <c r="I633" s="260"/>
      <c r="J633" s="260"/>
      <c r="K633" s="618">
        <v>28646662</v>
      </c>
      <c r="L633" s="619" t="s">
        <v>24</v>
      </c>
      <c r="M633" s="619" t="s">
        <v>274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909"/>
      <c r="AB633" s="610"/>
      <c r="AC633" s="610"/>
      <c r="AD633" s="610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357</v>
      </c>
      <c r="E634" s="184">
        <v>40711</v>
      </c>
      <c r="F634" s="189" t="s">
        <v>390</v>
      </c>
      <c r="G634" s="620" t="s">
        <v>353</v>
      </c>
      <c r="H634" s="7" t="s">
        <v>522</v>
      </c>
      <c r="I634" s="260"/>
      <c r="J634" s="260"/>
      <c r="K634" s="618">
        <v>40000000</v>
      </c>
      <c r="L634" s="619" t="s">
        <v>8</v>
      </c>
      <c r="M634" s="619" t="s">
        <v>24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909"/>
      <c r="AB634" s="211"/>
      <c r="AC634" s="211"/>
      <c r="AD634" s="610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357</v>
      </c>
      <c r="E635" s="184">
        <v>40711</v>
      </c>
      <c r="F635" s="189" t="s">
        <v>359</v>
      </c>
      <c r="G635" s="620" t="s">
        <v>353</v>
      </c>
      <c r="H635" s="7"/>
      <c r="I635" s="260"/>
      <c r="J635" s="260"/>
      <c r="K635" s="618">
        <v>10000</v>
      </c>
      <c r="L635" s="619" t="s">
        <v>83</v>
      </c>
      <c r="M635" s="619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909"/>
      <c r="AB635" s="211"/>
      <c r="AC635" s="211"/>
      <c r="AD635" s="610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357</v>
      </c>
      <c r="E636" s="184">
        <v>40711</v>
      </c>
      <c r="F636" s="189" t="s">
        <v>359</v>
      </c>
      <c r="G636" s="620" t="s">
        <v>353</v>
      </c>
      <c r="H636" s="7"/>
      <c r="I636" s="260"/>
      <c r="J636" s="260"/>
      <c r="K636" s="618">
        <v>10000</v>
      </c>
      <c r="L636" s="619" t="s">
        <v>83</v>
      </c>
      <c r="M636" s="619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909"/>
      <c r="AB636" s="610"/>
      <c r="AC636" s="610"/>
      <c r="AD636" s="610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740</v>
      </c>
      <c r="E637" s="191">
        <v>40711</v>
      </c>
      <c r="F637" s="189" t="s">
        <v>565</v>
      </c>
      <c r="G637" s="502" t="s">
        <v>599</v>
      </c>
      <c r="H637" s="7" t="s">
        <v>522</v>
      </c>
      <c r="I637" s="260">
        <v>80</v>
      </c>
      <c r="J637" s="260">
        <v>19638</v>
      </c>
      <c r="K637" s="618">
        <f t="shared" ref="K637:K642" si="49">ROUND(I637*J637,0)</f>
        <v>1571040</v>
      </c>
      <c r="L637" s="194" t="s">
        <v>159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909"/>
      <c r="AB637" s="211"/>
      <c r="AC637" s="211"/>
      <c r="AD637" s="610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740</v>
      </c>
      <c r="E638" s="191">
        <v>40711</v>
      </c>
      <c r="F638" s="189" t="s">
        <v>600</v>
      </c>
      <c r="G638" s="502" t="s">
        <v>599</v>
      </c>
      <c r="H638" s="7" t="s">
        <v>522</v>
      </c>
      <c r="I638" s="260">
        <v>210</v>
      </c>
      <c r="J638" s="260">
        <v>21481</v>
      </c>
      <c r="K638" s="618">
        <f t="shared" si="49"/>
        <v>4511010</v>
      </c>
      <c r="L638" s="194" t="s">
        <v>159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909"/>
      <c r="AB638" s="211"/>
      <c r="AC638" s="211"/>
      <c r="AD638" s="610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740</v>
      </c>
      <c r="E639" s="191">
        <v>40711</v>
      </c>
      <c r="F639" s="189" t="s">
        <v>601</v>
      </c>
      <c r="G639" s="502" t="s">
        <v>599</v>
      </c>
      <c r="H639" s="7" t="s">
        <v>522</v>
      </c>
      <c r="I639" s="260">
        <v>840</v>
      </c>
      <c r="J639" s="260">
        <v>10344</v>
      </c>
      <c r="K639" s="618">
        <f t="shared" si="49"/>
        <v>8688960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909"/>
      <c r="AB639" s="610"/>
      <c r="AC639" s="610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740</v>
      </c>
      <c r="E640" s="191">
        <v>40711</v>
      </c>
      <c r="F640" s="189" t="s">
        <v>602</v>
      </c>
      <c r="G640" s="502" t="s">
        <v>599</v>
      </c>
      <c r="H640" s="7" t="s">
        <v>522</v>
      </c>
      <c r="I640" s="260">
        <v>236</v>
      </c>
      <c r="J640" s="260">
        <v>7543</v>
      </c>
      <c r="K640" s="618">
        <f t="shared" si="49"/>
        <v>1780148</v>
      </c>
      <c r="L640" s="194" t="s">
        <v>159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909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740</v>
      </c>
      <c r="E641" s="191">
        <v>40711</v>
      </c>
      <c r="F641" s="189" t="s">
        <v>603</v>
      </c>
      <c r="G641" s="502" t="s">
        <v>599</v>
      </c>
      <c r="H641" s="7" t="s">
        <v>522</v>
      </c>
      <c r="I641" s="260">
        <v>70</v>
      </c>
      <c r="J641" s="260">
        <v>26198</v>
      </c>
      <c r="K641" s="618">
        <f t="shared" si="49"/>
        <v>1833860</v>
      </c>
      <c r="L641" s="194" t="s">
        <v>159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909"/>
      <c r="AB641" s="610"/>
      <c r="AC641" s="610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740</v>
      </c>
      <c r="E642" s="191">
        <v>40711</v>
      </c>
      <c r="F642" s="189" t="s">
        <v>604</v>
      </c>
      <c r="G642" s="502" t="s">
        <v>599</v>
      </c>
      <c r="H642" s="7" t="s">
        <v>522</v>
      </c>
      <c r="I642" s="260">
        <v>100</v>
      </c>
      <c r="J642" s="260">
        <v>16787</v>
      </c>
      <c r="K642" s="618">
        <f t="shared" si="49"/>
        <v>1678700</v>
      </c>
      <c r="L642" s="194" t="s">
        <v>159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909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740</v>
      </c>
      <c r="E643" s="191">
        <v>40711</v>
      </c>
      <c r="F643" s="189" t="s">
        <v>403</v>
      </c>
      <c r="G643" s="502" t="s">
        <v>599</v>
      </c>
      <c r="H643" s="7" t="s">
        <v>522</v>
      </c>
      <c r="I643" s="260"/>
      <c r="J643" s="260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909"/>
      <c r="AB643" s="211">
        <v>6</v>
      </c>
      <c r="AC643" s="610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7" t="s">
        <v>1130</v>
      </c>
      <c r="E644" s="191">
        <v>40713</v>
      </c>
      <c r="F644" s="189" t="s">
        <v>410</v>
      </c>
      <c r="G644" s="502"/>
      <c r="H644" s="632" t="s">
        <v>1116</v>
      </c>
      <c r="I644" s="879">
        <v>2</v>
      </c>
      <c r="J644" s="260">
        <v>4449</v>
      </c>
      <c r="K644" s="618">
        <f t="shared" ref="K644:K652" si="50">ROUND(I644*J644,0)</f>
        <v>8898</v>
      </c>
      <c r="L644" s="39" t="s">
        <v>167</v>
      </c>
      <c r="M644" s="731" t="s">
        <v>159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909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7" t="s">
        <v>1130</v>
      </c>
      <c r="E645" s="191">
        <v>40713</v>
      </c>
      <c r="F645" s="189" t="s">
        <v>585</v>
      </c>
      <c r="G645" s="502"/>
      <c r="H645" s="632" t="s">
        <v>1116</v>
      </c>
      <c r="I645" s="260">
        <v>1</v>
      </c>
      <c r="J645" s="260">
        <v>18390</v>
      </c>
      <c r="K645" s="618">
        <f t="shared" si="50"/>
        <v>18390</v>
      </c>
      <c r="L645" s="39" t="s">
        <v>167</v>
      </c>
      <c r="M645" s="731" t="s">
        <v>159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909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7" t="s">
        <v>1130</v>
      </c>
      <c r="E646" s="191">
        <v>40713</v>
      </c>
      <c r="F646" s="40" t="s">
        <v>580</v>
      </c>
      <c r="G646" s="502"/>
      <c r="H646" s="632" t="s">
        <v>1116</v>
      </c>
      <c r="I646" s="260">
        <v>18.5</v>
      </c>
      <c r="J646" s="260">
        <v>24005</v>
      </c>
      <c r="K646" s="618">
        <f t="shared" si="50"/>
        <v>444093</v>
      </c>
      <c r="L646" s="39" t="s">
        <v>167</v>
      </c>
      <c r="M646" s="731" t="s">
        <v>159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909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7" t="s">
        <v>1130</v>
      </c>
      <c r="E647" s="191">
        <v>40713</v>
      </c>
      <c r="F647" s="40" t="s">
        <v>580</v>
      </c>
      <c r="G647" s="502"/>
      <c r="H647" s="632" t="s">
        <v>1116</v>
      </c>
      <c r="I647" s="260">
        <v>299</v>
      </c>
      <c r="J647" s="260">
        <v>24005</v>
      </c>
      <c r="K647" s="618">
        <f t="shared" si="50"/>
        <v>7177495</v>
      </c>
      <c r="L647" s="39" t="s">
        <v>167</v>
      </c>
      <c r="M647" s="731" t="s">
        <v>159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909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7" t="s">
        <v>1130</v>
      </c>
      <c r="E648" s="191">
        <v>40713</v>
      </c>
      <c r="F648" s="189" t="s">
        <v>410</v>
      </c>
      <c r="G648" s="502"/>
      <c r="H648" s="632" t="s">
        <v>1116</v>
      </c>
      <c r="I648" s="851">
        <v>240</v>
      </c>
      <c r="J648" s="260">
        <v>4449</v>
      </c>
      <c r="K648" s="618">
        <f t="shared" si="50"/>
        <v>1067760</v>
      </c>
      <c r="L648" s="39" t="s">
        <v>167</v>
      </c>
      <c r="M648" s="731" t="s">
        <v>159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909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7" t="s">
        <v>1130</v>
      </c>
      <c r="E649" s="191">
        <v>40713</v>
      </c>
      <c r="F649" s="302" t="s">
        <v>502</v>
      </c>
      <c r="G649" s="502"/>
      <c r="H649" s="632" t="s">
        <v>1116</v>
      </c>
      <c r="I649" s="260">
        <v>169</v>
      </c>
      <c r="J649" s="260">
        <v>6026</v>
      </c>
      <c r="K649" s="618">
        <f t="shared" si="50"/>
        <v>1018394</v>
      </c>
      <c r="L649" s="39" t="s">
        <v>167</v>
      </c>
      <c r="M649" s="731" t="s">
        <v>159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909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7" t="s">
        <v>1130</v>
      </c>
      <c r="E650" s="191">
        <v>40713</v>
      </c>
      <c r="F650" s="189" t="s">
        <v>410</v>
      </c>
      <c r="G650" s="502"/>
      <c r="H650" s="632" t="s">
        <v>1116</v>
      </c>
      <c r="I650" s="851">
        <v>42.5</v>
      </c>
      <c r="J650" s="260">
        <v>4449</v>
      </c>
      <c r="K650" s="618">
        <f t="shared" si="50"/>
        <v>189083</v>
      </c>
      <c r="L650" s="39" t="s">
        <v>167</v>
      </c>
      <c r="M650" s="731" t="s">
        <v>159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909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7" t="s">
        <v>1130</v>
      </c>
      <c r="E651" s="191">
        <v>40713</v>
      </c>
      <c r="F651" s="189" t="s">
        <v>513</v>
      </c>
      <c r="G651" s="502"/>
      <c r="H651" s="632" t="s">
        <v>1116</v>
      </c>
      <c r="I651" s="260">
        <v>442</v>
      </c>
      <c r="J651" s="260">
        <v>17427</v>
      </c>
      <c r="K651" s="618">
        <f t="shared" si="50"/>
        <v>7702734</v>
      </c>
      <c r="L651" s="39" t="s">
        <v>167</v>
      </c>
      <c r="M651" s="731" t="s">
        <v>159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909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7" t="s">
        <v>1130</v>
      </c>
      <c r="E652" s="191">
        <v>40713</v>
      </c>
      <c r="F652" s="189" t="s">
        <v>637</v>
      </c>
      <c r="G652" s="502"/>
      <c r="H652" s="632" t="s">
        <v>1116</v>
      </c>
      <c r="I652" s="260">
        <v>18</v>
      </c>
      <c r="J652" s="260">
        <v>31360</v>
      </c>
      <c r="K652" s="618">
        <f t="shared" si="50"/>
        <v>564480</v>
      </c>
      <c r="L652" s="39" t="s">
        <v>167</v>
      </c>
      <c r="M652" s="731" t="s">
        <v>159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909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1110</v>
      </c>
      <c r="E653" s="184">
        <v>40714</v>
      </c>
      <c r="F653" s="189" t="s">
        <v>385</v>
      </c>
      <c r="G653" s="620" t="s">
        <v>353</v>
      </c>
      <c r="H653" s="193" t="s">
        <v>386</v>
      </c>
      <c r="I653" s="260"/>
      <c r="J653" s="260"/>
      <c r="K653" s="618">
        <v>3000000</v>
      </c>
      <c r="L653" s="619" t="s">
        <v>24</v>
      </c>
      <c r="M653" s="619" t="s">
        <v>47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909"/>
      <c r="AB653" s="610"/>
      <c r="AC653" s="610"/>
      <c r="AD653" s="610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357</v>
      </c>
      <c r="E654" s="184">
        <v>40714</v>
      </c>
      <c r="F654" s="189" t="s">
        <v>390</v>
      </c>
      <c r="G654" s="620" t="s">
        <v>353</v>
      </c>
      <c r="H654" s="7" t="s">
        <v>582</v>
      </c>
      <c r="I654" s="260"/>
      <c r="J654" s="260"/>
      <c r="K654" s="618">
        <v>30880000</v>
      </c>
      <c r="L654" s="619" t="s">
        <v>8</v>
      </c>
      <c r="M654" s="619" t="s">
        <v>24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909"/>
      <c r="AB654" s="610"/>
      <c r="AC654" s="610"/>
      <c r="AD654" s="610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7" t="s">
        <v>1131</v>
      </c>
      <c r="E655" s="191">
        <v>40714</v>
      </c>
      <c r="F655" s="189" t="s">
        <v>410</v>
      </c>
      <c r="G655" s="502"/>
      <c r="H655" s="632" t="s">
        <v>1116</v>
      </c>
      <c r="I655" s="851">
        <v>22.5</v>
      </c>
      <c r="J655" s="260">
        <v>4449</v>
      </c>
      <c r="K655" s="618">
        <f t="shared" ref="K655:K663" si="52">ROUND(I655*J655,0)</f>
        <v>100103</v>
      </c>
      <c r="L655" s="39" t="s">
        <v>167</v>
      </c>
      <c r="M655" s="731" t="s">
        <v>159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909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7" t="s">
        <v>1131</v>
      </c>
      <c r="E656" s="191">
        <v>40714</v>
      </c>
      <c r="F656" s="189" t="s">
        <v>410</v>
      </c>
      <c r="G656" s="502"/>
      <c r="H656" s="632" t="s">
        <v>1116</v>
      </c>
      <c r="I656" s="851">
        <v>41</v>
      </c>
      <c r="J656" s="260">
        <v>4449</v>
      </c>
      <c r="K656" s="618">
        <f t="shared" si="52"/>
        <v>182409</v>
      </c>
      <c r="L656" s="39" t="s">
        <v>167</v>
      </c>
      <c r="M656" s="731" t="s">
        <v>159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909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7" t="s">
        <v>1131</v>
      </c>
      <c r="E657" s="191">
        <v>40714</v>
      </c>
      <c r="F657" s="189" t="s">
        <v>512</v>
      </c>
      <c r="G657" s="502"/>
      <c r="H657" s="632" t="s">
        <v>1116</v>
      </c>
      <c r="I657" s="260">
        <v>645</v>
      </c>
      <c r="J657" s="260">
        <v>16925</v>
      </c>
      <c r="K657" s="618">
        <f t="shared" si="52"/>
        <v>10916625</v>
      </c>
      <c r="L657" s="39" t="s">
        <v>167</v>
      </c>
      <c r="M657" s="731" t="s">
        <v>159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909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7" t="s">
        <v>1131</v>
      </c>
      <c r="E658" s="191">
        <v>40714</v>
      </c>
      <c r="F658" s="189" t="s">
        <v>410</v>
      </c>
      <c r="G658" s="502"/>
      <c r="H658" s="632" t="s">
        <v>1116</v>
      </c>
      <c r="I658" s="851">
        <v>210</v>
      </c>
      <c r="J658" s="260">
        <v>4449</v>
      </c>
      <c r="K658" s="618">
        <f t="shared" si="52"/>
        <v>934290</v>
      </c>
      <c r="L658" s="39" t="s">
        <v>167</v>
      </c>
      <c r="M658" s="731" t="s">
        <v>159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909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7" t="s">
        <v>1131</v>
      </c>
      <c r="E659" s="191">
        <v>40714</v>
      </c>
      <c r="F659" s="189" t="s">
        <v>410</v>
      </c>
      <c r="G659" s="502"/>
      <c r="H659" s="632" t="s">
        <v>1116</v>
      </c>
      <c r="I659" s="851">
        <v>211</v>
      </c>
      <c r="J659" s="260">
        <v>4449</v>
      </c>
      <c r="K659" s="618">
        <f t="shared" si="52"/>
        <v>938739</v>
      </c>
      <c r="L659" s="39" t="s">
        <v>167</v>
      </c>
      <c r="M659" s="731" t="s">
        <v>159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909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7" t="s">
        <v>1131</v>
      </c>
      <c r="E660" s="191">
        <v>40714</v>
      </c>
      <c r="F660" s="40" t="s">
        <v>619</v>
      </c>
      <c r="G660" s="502"/>
      <c r="H660" s="632" t="s">
        <v>1116</v>
      </c>
      <c r="I660" s="260">
        <v>210</v>
      </c>
      <c r="J660" s="260">
        <v>15946</v>
      </c>
      <c r="K660" s="618">
        <f t="shared" si="52"/>
        <v>3348660</v>
      </c>
      <c r="L660" s="39" t="s">
        <v>167</v>
      </c>
      <c r="M660" s="731" t="s">
        <v>159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909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7" t="s">
        <v>1131</v>
      </c>
      <c r="E661" s="191">
        <v>40714</v>
      </c>
      <c r="F661" s="40" t="s">
        <v>619</v>
      </c>
      <c r="G661" s="502"/>
      <c r="H661" s="632" t="s">
        <v>1116</v>
      </c>
      <c r="I661" s="260">
        <v>56</v>
      </c>
      <c r="J661" s="260">
        <v>15946</v>
      </c>
      <c r="K661" s="618">
        <f t="shared" si="52"/>
        <v>892976</v>
      </c>
      <c r="L661" s="39" t="s">
        <v>167</v>
      </c>
      <c r="M661" s="731" t="s">
        <v>159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909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7" t="s">
        <v>1131</v>
      </c>
      <c r="E662" s="191">
        <v>40714</v>
      </c>
      <c r="F662" s="40" t="s">
        <v>580</v>
      </c>
      <c r="G662" s="502"/>
      <c r="H662" s="632" t="s">
        <v>1116</v>
      </c>
      <c r="I662" s="260">
        <v>20</v>
      </c>
      <c r="J662" s="260">
        <v>24005</v>
      </c>
      <c r="K662" s="618">
        <f t="shared" si="52"/>
        <v>480100</v>
      </c>
      <c r="L662" s="39" t="s">
        <v>167</v>
      </c>
      <c r="M662" s="731" t="s">
        <v>159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909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7" t="s">
        <v>1131</v>
      </c>
      <c r="E663" s="191">
        <v>40714</v>
      </c>
      <c r="F663" s="189" t="s">
        <v>658</v>
      </c>
      <c r="G663" s="502"/>
      <c r="H663" s="632" t="s">
        <v>1116</v>
      </c>
      <c r="I663" s="260">
        <v>2</v>
      </c>
      <c r="J663" s="260">
        <v>7207</v>
      </c>
      <c r="K663" s="618">
        <f t="shared" si="52"/>
        <v>14414</v>
      </c>
      <c r="L663" s="39" t="s">
        <v>167</v>
      </c>
      <c r="M663" s="731" t="s">
        <v>159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909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357</v>
      </c>
      <c r="E664" s="184">
        <v>40715</v>
      </c>
      <c r="F664" s="189" t="s">
        <v>359</v>
      </c>
      <c r="G664" s="620" t="s">
        <v>353</v>
      </c>
      <c r="H664" s="7"/>
      <c r="I664" s="260"/>
      <c r="J664" s="260"/>
      <c r="K664" s="618">
        <v>10000</v>
      </c>
      <c r="L664" s="619" t="s">
        <v>83</v>
      </c>
      <c r="M664" s="619" t="s">
        <v>24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909"/>
      <c r="AB664" s="610"/>
      <c r="AC664" s="610"/>
      <c r="AD664" s="610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741</v>
      </c>
      <c r="E665" s="191">
        <v>40717</v>
      </c>
      <c r="F665" s="192" t="s">
        <v>618</v>
      </c>
      <c r="G665" s="502" t="s">
        <v>617</v>
      </c>
      <c r="H665" s="193" t="s">
        <v>582</v>
      </c>
      <c r="I665" s="260">
        <v>393</v>
      </c>
      <c r="J665" s="260">
        <v>16660</v>
      </c>
      <c r="K665" s="618">
        <f t="shared" ref="K665:K672" si="54">ROUND(I665*J665,0)</f>
        <v>6547380</v>
      </c>
      <c r="L665" s="194" t="s">
        <v>159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909"/>
      <c r="AB665" s="610"/>
      <c r="AC665" s="610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741</v>
      </c>
      <c r="E666" s="191">
        <v>40717</v>
      </c>
      <c r="F666" s="192" t="s">
        <v>619</v>
      </c>
      <c r="G666" s="502" t="s">
        <v>617</v>
      </c>
      <c r="H666" s="193" t="s">
        <v>582</v>
      </c>
      <c r="I666" s="262">
        <v>370</v>
      </c>
      <c r="J666" s="262">
        <v>15946</v>
      </c>
      <c r="K666" s="618">
        <f t="shared" si="54"/>
        <v>5900020</v>
      </c>
      <c r="L666" s="194" t="s">
        <v>159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909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741</v>
      </c>
      <c r="E667" s="191">
        <v>40717</v>
      </c>
      <c r="F667" s="192" t="s">
        <v>620</v>
      </c>
      <c r="G667" s="502" t="s">
        <v>617</v>
      </c>
      <c r="H667" s="193" t="s">
        <v>582</v>
      </c>
      <c r="I667" s="260">
        <v>180</v>
      </c>
      <c r="J667" s="260">
        <v>25942</v>
      </c>
      <c r="K667" s="618">
        <f t="shared" si="54"/>
        <v>4669560</v>
      </c>
      <c r="L667" s="194" t="s">
        <v>159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909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741</v>
      </c>
      <c r="E668" s="191">
        <v>40717</v>
      </c>
      <c r="F668" s="192" t="s">
        <v>621</v>
      </c>
      <c r="G668" s="502" t="s">
        <v>617</v>
      </c>
      <c r="H668" s="193" t="s">
        <v>582</v>
      </c>
      <c r="I668" s="262">
        <v>412</v>
      </c>
      <c r="J668" s="262">
        <v>17374</v>
      </c>
      <c r="K668" s="618">
        <f t="shared" si="54"/>
        <v>7158088</v>
      </c>
      <c r="L668" s="194" t="s">
        <v>159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909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741</v>
      </c>
      <c r="E669" s="191">
        <v>40717</v>
      </c>
      <c r="F669" s="192" t="s">
        <v>622</v>
      </c>
      <c r="G669" s="502" t="s">
        <v>617</v>
      </c>
      <c r="H669" s="193" t="s">
        <v>582</v>
      </c>
      <c r="I669" s="260">
        <v>10</v>
      </c>
      <c r="J669" s="260">
        <v>26894</v>
      </c>
      <c r="K669" s="618">
        <f t="shared" si="54"/>
        <v>268940</v>
      </c>
      <c r="L669" s="194" t="s">
        <v>159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909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741</v>
      </c>
      <c r="E670" s="191">
        <v>40717</v>
      </c>
      <c r="F670" s="192" t="s">
        <v>623</v>
      </c>
      <c r="G670" s="502" t="s">
        <v>617</v>
      </c>
      <c r="H670" s="193" t="s">
        <v>582</v>
      </c>
      <c r="I670" s="262">
        <v>55</v>
      </c>
      <c r="J670" s="262">
        <v>24276</v>
      </c>
      <c r="K670" s="618">
        <f t="shared" si="54"/>
        <v>1335180</v>
      </c>
      <c r="L670" s="194" t="s">
        <v>159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909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741</v>
      </c>
      <c r="E671" s="191">
        <v>40717</v>
      </c>
      <c r="F671" s="192" t="s">
        <v>624</v>
      </c>
      <c r="G671" s="502" t="s">
        <v>617</v>
      </c>
      <c r="H671" s="193" t="s">
        <v>582</v>
      </c>
      <c r="I671" s="260">
        <v>14</v>
      </c>
      <c r="J671" s="260">
        <v>16303</v>
      </c>
      <c r="K671" s="618">
        <f t="shared" si="54"/>
        <v>228242</v>
      </c>
      <c r="L671" s="194" t="s">
        <v>159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909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741</v>
      </c>
      <c r="E672" s="191">
        <v>40717</v>
      </c>
      <c r="F672" s="192" t="s">
        <v>625</v>
      </c>
      <c r="G672" s="502" t="s">
        <v>617</v>
      </c>
      <c r="H672" s="193" t="s">
        <v>582</v>
      </c>
      <c r="I672" s="262">
        <v>12</v>
      </c>
      <c r="J672" s="262">
        <v>13090</v>
      </c>
      <c r="K672" s="618">
        <f t="shared" si="54"/>
        <v>157080</v>
      </c>
      <c r="L672" s="194" t="s">
        <v>159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909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741</v>
      </c>
      <c r="E673" s="191">
        <v>40717</v>
      </c>
      <c r="F673" s="192" t="s">
        <v>583</v>
      </c>
      <c r="G673" s="502" t="s">
        <v>617</v>
      </c>
      <c r="H673" s="193" t="s">
        <v>582</v>
      </c>
      <c r="I673" s="260"/>
      <c r="J673" s="260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909"/>
      <c r="AB673" s="211">
        <v>7</v>
      </c>
      <c r="AC673" s="610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7" t="s">
        <v>1132</v>
      </c>
      <c r="E674" s="191">
        <v>40717</v>
      </c>
      <c r="F674" s="189" t="s">
        <v>600</v>
      </c>
      <c r="G674" s="502"/>
      <c r="H674" s="632" t="s">
        <v>1116</v>
      </c>
      <c r="I674" s="260">
        <v>210</v>
      </c>
      <c r="J674" s="260">
        <v>21481</v>
      </c>
      <c r="K674" s="618">
        <f t="shared" ref="K674:K682" si="55">ROUND(I674*J674,0)</f>
        <v>4511010</v>
      </c>
      <c r="L674" s="39" t="s">
        <v>167</v>
      </c>
      <c r="M674" s="731" t="s">
        <v>159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909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7" t="s">
        <v>1132</v>
      </c>
      <c r="E675" s="191">
        <v>40717</v>
      </c>
      <c r="F675" s="189" t="s">
        <v>585</v>
      </c>
      <c r="G675" s="502"/>
      <c r="H675" s="632" t="s">
        <v>1116</v>
      </c>
      <c r="I675" s="260">
        <v>102</v>
      </c>
      <c r="J675" s="260">
        <v>18390</v>
      </c>
      <c r="K675" s="618">
        <f t="shared" si="55"/>
        <v>1875780</v>
      </c>
      <c r="L675" s="39" t="s">
        <v>167</v>
      </c>
      <c r="M675" s="731" t="s">
        <v>159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909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7" t="s">
        <v>1132</v>
      </c>
      <c r="E676" s="191">
        <v>40717</v>
      </c>
      <c r="F676" s="189" t="s">
        <v>513</v>
      </c>
      <c r="G676" s="502"/>
      <c r="H676" s="632" t="s">
        <v>1116</v>
      </c>
      <c r="I676" s="260">
        <v>9</v>
      </c>
      <c r="J676" s="260">
        <v>17427</v>
      </c>
      <c r="K676" s="618">
        <f t="shared" si="55"/>
        <v>156843</v>
      </c>
      <c r="L676" s="39" t="s">
        <v>167</v>
      </c>
      <c r="M676" s="731" t="s">
        <v>159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909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7" t="s">
        <v>1132</v>
      </c>
      <c r="E677" s="191">
        <v>40717</v>
      </c>
      <c r="F677" s="302" t="s">
        <v>404</v>
      </c>
      <c r="G677" s="502"/>
      <c r="H677" s="632" t="s">
        <v>1116</v>
      </c>
      <c r="I677" s="260">
        <v>1</v>
      </c>
      <c r="J677" s="260">
        <v>14079</v>
      </c>
      <c r="K677" s="618">
        <f t="shared" si="55"/>
        <v>14079</v>
      </c>
      <c r="L677" s="39" t="s">
        <v>167</v>
      </c>
      <c r="M677" s="731" t="s">
        <v>159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909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7" t="s">
        <v>1132</v>
      </c>
      <c r="E678" s="191">
        <v>40717</v>
      </c>
      <c r="F678" s="189" t="s">
        <v>606</v>
      </c>
      <c r="G678" s="502"/>
      <c r="H678" s="632" t="s">
        <v>1116</v>
      </c>
      <c r="I678" s="260">
        <v>1.5</v>
      </c>
      <c r="J678" s="260">
        <v>35566</v>
      </c>
      <c r="K678" s="618">
        <f t="shared" si="55"/>
        <v>53349</v>
      </c>
      <c r="L678" s="39" t="s">
        <v>167</v>
      </c>
      <c r="M678" s="731" t="s">
        <v>159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909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7" t="s">
        <v>1132</v>
      </c>
      <c r="E679" s="191">
        <v>40717</v>
      </c>
      <c r="F679" s="40" t="s">
        <v>580</v>
      </c>
      <c r="G679" s="502"/>
      <c r="H679" s="632" t="s">
        <v>1116</v>
      </c>
      <c r="I679" s="260">
        <v>5.5</v>
      </c>
      <c r="J679" s="260">
        <v>24005</v>
      </c>
      <c r="K679" s="618">
        <f t="shared" si="55"/>
        <v>132028</v>
      </c>
      <c r="L679" s="39" t="s">
        <v>167</v>
      </c>
      <c r="M679" s="731" t="s">
        <v>159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909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7" t="s">
        <v>1132</v>
      </c>
      <c r="E680" s="191">
        <v>40717</v>
      </c>
      <c r="F680" s="189" t="s">
        <v>658</v>
      </c>
      <c r="G680" s="502"/>
      <c r="H680" s="632" t="s">
        <v>1116</v>
      </c>
      <c r="I680" s="260">
        <v>26</v>
      </c>
      <c r="J680" s="260">
        <v>7207</v>
      </c>
      <c r="K680" s="618">
        <f t="shared" si="55"/>
        <v>187382</v>
      </c>
      <c r="L680" s="39" t="s">
        <v>167</v>
      </c>
      <c r="M680" s="731" t="s">
        <v>159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909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7" t="s">
        <v>1132</v>
      </c>
      <c r="E681" s="191">
        <v>40717</v>
      </c>
      <c r="F681" s="40" t="s">
        <v>618</v>
      </c>
      <c r="G681" s="502"/>
      <c r="H681" s="632" t="s">
        <v>1116</v>
      </c>
      <c r="I681" s="260">
        <v>20</v>
      </c>
      <c r="J681" s="260">
        <v>16660</v>
      </c>
      <c r="K681" s="618">
        <f t="shared" si="55"/>
        <v>333200</v>
      </c>
      <c r="L681" s="39" t="s">
        <v>167</v>
      </c>
      <c r="M681" s="731" t="s">
        <v>159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909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7" t="s">
        <v>1132</v>
      </c>
      <c r="E682" s="191">
        <v>40717</v>
      </c>
      <c r="F682" s="40" t="s">
        <v>614</v>
      </c>
      <c r="G682" s="502"/>
      <c r="H682" s="632" t="s">
        <v>1116</v>
      </c>
      <c r="I682" s="260">
        <v>32</v>
      </c>
      <c r="J682" s="260">
        <v>35301</v>
      </c>
      <c r="K682" s="618">
        <f t="shared" si="55"/>
        <v>1129632</v>
      </c>
      <c r="L682" s="39" t="s">
        <v>167</v>
      </c>
      <c r="M682" s="731" t="s">
        <v>159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909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1111</v>
      </c>
      <c r="E683" s="191">
        <v>40718</v>
      </c>
      <c r="F683" s="189" t="s">
        <v>1104</v>
      </c>
      <c r="G683" s="502" t="s">
        <v>608</v>
      </c>
      <c r="H683" s="7" t="s">
        <v>522</v>
      </c>
      <c r="I683" s="260"/>
      <c r="J683" s="260"/>
      <c r="K683" s="38">
        <v>9146239</v>
      </c>
      <c r="L683" s="194" t="s">
        <v>8</v>
      </c>
      <c r="M683" s="194" t="s">
        <v>47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909"/>
      <c r="AB683" s="610"/>
      <c r="AC683" s="610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742</v>
      </c>
      <c r="E684" s="191">
        <v>40718</v>
      </c>
      <c r="F684" s="189" t="s">
        <v>605</v>
      </c>
      <c r="G684" s="502" t="s">
        <v>608</v>
      </c>
      <c r="H684" s="7" t="s">
        <v>522</v>
      </c>
      <c r="I684" s="260">
        <v>125</v>
      </c>
      <c r="J684" s="260">
        <v>19639</v>
      </c>
      <c r="K684" s="618">
        <f>ROUND(I684*J684,0)</f>
        <v>2454875</v>
      </c>
      <c r="L684" s="194" t="s">
        <v>159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909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742</v>
      </c>
      <c r="E685" s="191">
        <v>40718</v>
      </c>
      <c r="F685" s="189" t="s">
        <v>606</v>
      </c>
      <c r="G685" s="502" t="s">
        <v>608</v>
      </c>
      <c r="H685" s="7" t="s">
        <v>522</v>
      </c>
      <c r="I685" s="260">
        <v>128</v>
      </c>
      <c r="J685" s="260">
        <v>35566</v>
      </c>
      <c r="K685" s="618">
        <f>ROUND(I685*J685,0)</f>
        <v>4552448</v>
      </c>
      <c r="L685" s="194" t="s">
        <v>159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909"/>
      <c r="AB685" s="610"/>
      <c r="AC685" s="610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742</v>
      </c>
      <c r="E686" s="191">
        <v>40718</v>
      </c>
      <c r="F686" s="189" t="s">
        <v>607</v>
      </c>
      <c r="G686" s="502" t="s">
        <v>608</v>
      </c>
      <c r="H686" s="7" t="s">
        <v>522</v>
      </c>
      <c r="I686" s="260">
        <v>40</v>
      </c>
      <c r="J686" s="260">
        <v>32686</v>
      </c>
      <c r="K686" s="618">
        <f>ROUND(I686*J686,0)</f>
        <v>1307440</v>
      </c>
      <c r="L686" s="194" t="s">
        <v>159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909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742</v>
      </c>
      <c r="E687" s="191">
        <v>40718</v>
      </c>
      <c r="F687" s="189" t="s">
        <v>403</v>
      </c>
      <c r="G687" s="502" t="s">
        <v>608</v>
      </c>
      <c r="H687" s="7" t="s">
        <v>522</v>
      </c>
      <c r="I687" s="260"/>
      <c r="J687" s="260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909"/>
      <c r="AB687" s="610">
        <v>6</v>
      </c>
      <c r="AC687" s="610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743</v>
      </c>
      <c r="E688" s="191">
        <v>40718</v>
      </c>
      <c r="F688" s="189" t="s">
        <v>651</v>
      </c>
      <c r="G688" s="502" t="s">
        <v>656</v>
      </c>
      <c r="H688" s="7" t="s">
        <v>571</v>
      </c>
      <c r="I688" s="851">
        <v>194</v>
      </c>
      <c r="J688" s="260">
        <v>32985</v>
      </c>
      <c r="K688" s="618">
        <f>ROUND(I688*J688,0)</f>
        <v>6399090</v>
      </c>
      <c r="L688" s="194" t="s">
        <v>159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909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743</v>
      </c>
      <c r="E689" s="191">
        <v>40718</v>
      </c>
      <c r="F689" s="189" t="s">
        <v>652</v>
      </c>
      <c r="G689" s="502" t="s">
        <v>656</v>
      </c>
      <c r="H689" s="7" t="s">
        <v>571</v>
      </c>
      <c r="I689" s="262">
        <v>94</v>
      </c>
      <c r="J689" s="262">
        <v>27175</v>
      </c>
      <c r="K689" s="618">
        <f>ROUND(I689*J689,0)</f>
        <v>2554450</v>
      </c>
      <c r="L689" s="194" t="s">
        <v>159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909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743</v>
      </c>
      <c r="E690" s="191">
        <v>40718</v>
      </c>
      <c r="F690" s="189" t="s">
        <v>653</v>
      </c>
      <c r="G690" s="502" t="s">
        <v>656</v>
      </c>
      <c r="H690" s="7" t="s">
        <v>571</v>
      </c>
      <c r="I690" s="260">
        <v>260</v>
      </c>
      <c r="J690" s="260">
        <v>9954</v>
      </c>
      <c r="K690" s="618">
        <f>ROUND(I690*J690,0)</f>
        <v>2588040</v>
      </c>
      <c r="L690" s="194" t="s">
        <v>159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909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743</v>
      </c>
      <c r="E691" s="191">
        <v>40718</v>
      </c>
      <c r="F691" s="189" t="s">
        <v>654</v>
      </c>
      <c r="G691" s="502" t="s">
        <v>656</v>
      </c>
      <c r="H691" s="7" t="s">
        <v>571</v>
      </c>
      <c r="I691" s="260">
        <v>2300</v>
      </c>
      <c r="J691" s="260">
        <v>21455</v>
      </c>
      <c r="K691" s="618">
        <f>ROUND(I691*J691,0)</f>
        <v>49346500</v>
      </c>
      <c r="L691" s="194" t="s">
        <v>159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909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743</v>
      </c>
      <c r="E692" s="191">
        <v>40718</v>
      </c>
      <c r="F692" s="189" t="s">
        <v>655</v>
      </c>
      <c r="G692" s="502" t="s">
        <v>656</v>
      </c>
      <c r="H692" s="7" t="s">
        <v>571</v>
      </c>
      <c r="I692" s="260">
        <v>260</v>
      </c>
      <c r="J692" s="260">
        <v>11385</v>
      </c>
      <c r="K692" s="618">
        <f>ROUND(I692*J692,0)</f>
        <v>2960100</v>
      </c>
      <c r="L692" s="194" t="s">
        <v>159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909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743</v>
      </c>
      <c r="E693" s="191">
        <v>40718</v>
      </c>
      <c r="F693" s="189" t="s">
        <v>403</v>
      </c>
      <c r="G693" s="502" t="s">
        <v>656</v>
      </c>
      <c r="H693" s="7" t="s">
        <v>571</v>
      </c>
      <c r="I693" s="260"/>
      <c r="J693" s="260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909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356</v>
      </c>
      <c r="E694" s="184">
        <v>40719</v>
      </c>
      <c r="F694" s="189" t="s">
        <v>387</v>
      </c>
      <c r="G694" s="620" t="s">
        <v>353</v>
      </c>
      <c r="H694" s="193"/>
      <c r="I694" s="260"/>
      <c r="J694" s="260"/>
      <c r="K694" s="618">
        <v>82346</v>
      </c>
      <c r="L694" s="619" t="s">
        <v>24</v>
      </c>
      <c r="M694" s="619" t="s">
        <v>40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909"/>
      <c r="AB694" s="610"/>
      <c r="AC694" s="610"/>
      <c r="AD694" s="610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744</v>
      </c>
      <c r="E695" s="191">
        <v>40719</v>
      </c>
      <c r="F695" s="192" t="s">
        <v>618</v>
      </c>
      <c r="G695" s="502" t="s">
        <v>626</v>
      </c>
      <c r="H695" s="193" t="s">
        <v>582</v>
      </c>
      <c r="I695" s="262">
        <v>22</v>
      </c>
      <c r="J695" s="262">
        <v>16660</v>
      </c>
      <c r="K695" s="618">
        <f t="shared" ref="K695:K703" si="56">ROUND(I695*J695,0)</f>
        <v>366520</v>
      </c>
      <c r="L695" s="194" t="s">
        <v>159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909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744</v>
      </c>
      <c r="E696" s="191">
        <v>40719</v>
      </c>
      <c r="F696" s="192" t="s">
        <v>620</v>
      </c>
      <c r="G696" s="502" t="s">
        <v>626</v>
      </c>
      <c r="H696" s="193" t="s">
        <v>582</v>
      </c>
      <c r="I696" s="262">
        <v>22</v>
      </c>
      <c r="J696" s="262">
        <v>25942</v>
      </c>
      <c r="K696" s="618">
        <f t="shared" si="56"/>
        <v>570724</v>
      </c>
      <c r="L696" s="194" t="s">
        <v>159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909"/>
      <c r="AB696" s="610"/>
      <c r="AC696" s="610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744</v>
      </c>
      <c r="E697" s="191">
        <v>40719</v>
      </c>
      <c r="F697" s="192" t="s">
        <v>622</v>
      </c>
      <c r="G697" s="502" t="s">
        <v>626</v>
      </c>
      <c r="H697" s="193" t="s">
        <v>582</v>
      </c>
      <c r="I697" s="262">
        <v>12</v>
      </c>
      <c r="J697" s="262">
        <v>26894</v>
      </c>
      <c r="K697" s="618">
        <f t="shared" si="56"/>
        <v>322728</v>
      </c>
      <c r="L697" s="194" t="s">
        <v>159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909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744</v>
      </c>
      <c r="E698" s="191">
        <v>40719</v>
      </c>
      <c r="F698" s="192" t="s">
        <v>621</v>
      </c>
      <c r="G698" s="502" t="s">
        <v>626</v>
      </c>
      <c r="H698" s="193" t="s">
        <v>582</v>
      </c>
      <c r="I698" s="260">
        <v>12</v>
      </c>
      <c r="J698" s="260">
        <v>17374</v>
      </c>
      <c r="K698" s="618">
        <f t="shared" si="56"/>
        <v>208488</v>
      </c>
      <c r="L698" s="194" t="s">
        <v>159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909"/>
      <c r="AB698" s="610"/>
      <c r="AC698" s="610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744</v>
      </c>
      <c r="E699" s="191">
        <v>40719</v>
      </c>
      <c r="F699" s="192" t="s">
        <v>627</v>
      </c>
      <c r="G699" s="502" t="s">
        <v>626</v>
      </c>
      <c r="H699" s="193" t="s">
        <v>582</v>
      </c>
      <c r="I699" s="260">
        <v>84</v>
      </c>
      <c r="J699" s="260">
        <v>14280</v>
      </c>
      <c r="K699" s="618">
        <f t="shared" si="56"/>
        <v>1199520</v>
      </c>
      <c r="L699" s="194" t="s">
        <v>159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909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744</v>
      </c>
      <c r="E700" s="191">
        <v>40719</v>
      </c>
      <c r="F700" s="192" t="s">
        <v>628</v>
      </c>
      <c r="G700" s="502" t="s">
        <v>626</v>
      </c>
      <c r="H700" s="193" t="s">
        <v>582</v>
      </c>
      <c r="I700" s="260">
        <v>32</v>
      </c>
      <c r="J700" s="260">
        <v>27370</v>
      </c>
      <c r="K700" s="618">
        <f t="shared" si="56"/>
        <v>875840</v>
      </c>
      <c r="L700" s="194" t="s">
        <v>159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909"/>
      <c r="AB700" s="610"/>
      <c r="AC700" s="610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744</v>
      </c>
      <c r="E701" s="191">
        <v>40719</v>
      </c>
      <c r="F701" s="192" t="s">
        <v>629</v>
      </c>
      <c r="G701" s="502" t="s">
        <v>626</v>
      </c>
      <c r="H701" s="193" t="s">
        <v>582</v>
      </c>
      <c r="I701" s="260">
        <v>90</v>
      </c>
      <c r="J701" s="260">
        <v>26656</v>
      </c>
      <c r="K701" s="618">
        <f t="shared" si="56"/>
        <v>2399040</v>
      </c>
      <c r="L701" s="194" t="s">
        <v>159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909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744</v>
      </c>
      <c r="E702" s="191">
        <v>40719</v>
      </c>
      <c r="F702" s="192" t="s">
        <v>630</v>
      </c>
      <c r="G702" s="502" t="s">
        <v>626</v>
      </c>
      <c r="H702" s="193" t="s">
        <v>582</v>
      </c>
      <c r="I702" s="262">
        <v>132</v>
      </c>
      <c r="J702" s="262">
        <v>21098</v>
      </c>
      <c r="K702" s="618">
        <f t="shared" si="56"/>
        <v>2784936</v>
      </c>
      <c r="L702" s="194" t="s">
        <v>159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909"/>
      <c r="AB702" s="610"/>
      <c r="AC702" s="610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744</v>
      </c>
      <c r="E703" s="191">
        <v>40719</v>
      </c>
      <c r="F703" s="192" t="s">
        <v>619</v>
      </c>
      <c r="G703" s="502" t="s">
        <v>626</v>
      </c>
      <c r="H703" s="193" t="s">
        <v>582</v>
      </c>
      <c r="I703" s="260">
        <v>70</v>
      </c>
      <c r="J703" s="260">
        <v>15946</v>
      </c>
      <c r="K703" s="618">
        <f t="shared" si="56"/>
        <v>1116220</v>
      </c>
      <c r="L703" s="194" t="s">
        <v>159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909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744</v>
      </c>
      <c r="E704" s="191">
        <v>40719</v>
      </c>
      <c r="F704" s="192" t="s">
        <v>583</v>
      </c>
      <c r="G704" s="502" t="s">
        <v>626</v>
      </c>
      <c r="H704" s="193" t="s">
        <v>582</v>
      </c>
      <c r="I704" s="260"/>
      <c r="J704" s="260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909"/>
      <c r="AB704" s="211">
        <v>7</v>
      </c>
      <c r="AC704" s="610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7" t="s">
        <v>1133</v>
      </c>
      <c r="E705" s="191">
        <v>40719</v>
      </c>
      <c r="F705" s="189" t="s">
        <v>410</v>
      </c>
      <c r="G705" s="502"/>
      <c r="H705" s="632" t="s">
        <v>1116</v>
      </c>
      <c r="I705" s="879">
        <v>35</v>
      </c>
      <c r="J705" s="260">
        <v>4449</v>
      </c>
      <c r="K705" s="618">
        <f t="shared" ref="K705:K718" si="57">ROUND(I705*J705,0)</f>
        <v>155715</v>
      </c>
      <c r="L705" s="39" t="s">
        <v>167</v>
      </c>
      <c r="M705" s="731" t="s">
        <v>159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909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7" t="s">
        <v>1133</v>
      </c>
      <c r="E706" s="191">
        <v>40719</v>
      </c>
      <c r="F706" s="189" t="s">
        <v>644</v>
      </c>
      <c r="G706" s="502"/>
      <c r="H706" s="632" t="s">
        <v>1116</v>
      </c>
      <c r="I706" s="260">
        <v>20</v>
      </c>
      <c r="J706" s="260">
        <v>31640</v>
      </c>
      <c r="K706" s="618">
        <f t="shared" si="57"/>
        <v>632800</v>
      </c>
      <c r="L706" s="39" t="s">
        <v>167</v>
      </c>
      <c r="M706" s="731" t="s">
        <v>159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909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7" t="s">
        <v>1133</v>
      </c>
      <c r="E707" s="191">
        <v>40719</v>
      </c>
      <c r="F707" s="40" t="s">
        <v>580</v>
      </c>
      <c r="G707" s="502"/>
      <c r="H707" s="632" t="s">
        <v>1116</v>
      </c>
      <c r="I707" s="260">
        <v>48</v>
      </c>
      <c r="J707" s="260">
        <v>24005</v>
      </c>
      <c r="K707" s="618">
        <f t="shared" si="57"/>
        <v>1152240</v>
      </c>
      <c r="L707" s="39" t="s">
        <v>167</v>
      </c>
      <c r="M707" s="731" t="s">
        <v>159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909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7" t="s">
        <v>1133</v>
      </c>
      <c r="E708" s="191">
        <v>40719</v>
      </c>
      <c r="F708" s="189" t="s">
        <v>501</v>
      </c>
      <c r="G708" s="502"/>
      <c r="H708" s="632" t="s">
        <v>1116</v>
      </c>
      <c r="I708" s="260">
        <v>2000</v>
      </c>
      <c r="J708" s="260">
        <v>4592</v>
      </c>
      <c r="K708" s="618">
        <f t="shared" si="57"/>
        <v>9184000</v>
      </c>
      <c r="L708" s="39" t="s">
        <v>167</v>
      </c>
      <c r="M708" s="731" t="s">
        <v>159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909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7" t="s">
        <v>1133</v>
      </c>
      <c r="E709" s="191">
        <v>40719</v>
      </c>
      <c r="F709" s="40" t="s">
        <v>580</v>
      </c>
      <c r="G709" s="502"/>
      <c r="H709" s="632" t="s">
        <v>1116</v>
      </c>
      <c r="I709" s="260">
        <v>153</v>
      </c>
      <c r="J709" s="260">
        <v>24005</v>
      </c>
      <c r="K709" s="618">
        <f t="shared" si="57"/>
        <v>3672765</v>
      </c>
      <c r="L709" s="39" t="s">
        <v>167</v>
      </c>
      <c r="M709" s="731" t="s">
        <v>159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909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745</v>
      </c>
      <c r="E710" s="191">
        <v>40721</v>
      </c>
      <c r="F710" s="192" t="s">
        <v>632</v>
      </c>
      <c r="G710" s="502" t="s">
        <v>631</v>
      </c>
      <c r="H710" s="193" t="s">
        <v>582</v>
      </c>
      <c r="I710" s="260">
        <v>182</v>
      </c>
      <c r="J710" s="260">
        <v>19418</v>
      </c>
      <c r="K710" s="618">
        <f t="shared" si="57"/>
        <v>3534076</v>
      </c>
      <c r="L710" s="194" t="s">
        <v>159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909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745</v>
      </c>
      <c r="E711" s="191">
        <v>40721</v>
      </c>
      <c r="F711" s="192" t="s">
        <v>633</v>
      </c>
      <c r="G711" s="502" t="s">
        <v>631</v>
      </c>
      <c r="H711" s="193" t="s">
        <v>582</v>
      </c>
      <c r="I711" s="260">
        <v>487</v>
      </c>
      <c r="J711" s="260">
        <v>22484</v>
      </c>
      <c r="K711" s="618">
        <f t="shared" si="57"/>
        <v>10949708</v>
      </c>
      <c r="L711" s="194" t="s">
        <v>159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909"/>
      <c r="AB711" s="610"/>
      <c r="AC711" s="610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745</v>
      </c>
      <c r="E712" s="191">
        <v>40721</v>
      </c>
      <c r="F712" s="192" t="s">
        <v>634</v>
      </c>
      <c r="G712" s="502" t="s">
        <v>631</v>
      </c>
      <c r="H712" s="193" t="s">
        <v>582</v>
      </c>
      <c r="I712" s="260">
        <v>38</v>
      </c>
      <c r="J712" s="260">
        <v>18396</v>
      </c>
      <c r="K712" s="618">
        <f t="shared" si="57"/>
        <v>699048</v>
      </c>
      <c r="L712" s="194" t="s">
        <v>159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909"/>
      <c r="AB712" s="211"/>
      <c r="AC712" s="685"/>
      <c r="AD712" s="685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745</v>
      </c>
      <c r="E713" s="191">
        <v>40721</v>
      </c>
      <c r="F713" s="192" t="s">
        <v>635</v>
      </c>
      <c r="G713" s="502" t="s">
        <v>631</v>
      </c>
      <c r="H713" s="193" t="s">
        <v>582</v>
      </c>
      <c r="I713" s="260">
        <v>45</v>
      </c>
      <c r="J713" s="260">
        <v>29792</v>
      </c>
      <c r="K713" s="618">
        <f t="shared" si="57"/>
        <v>1340640</v>
      </c>
      <c r="L713" s="194" t="s">
        <v>159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909"/>
      <c r="AB713" s="610"/>
      <c r="AC713" s="610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745</v>
      </c>
      <c r="E714" s="191">
        <v>40721</v>
      </c>
      <c r="F714" s="192" t="s">
        <v>636</v>
      </c>
      <c r="G714" s="502" t="s">
        <v>631</v>
      </c>
      <c r="H714" s="193" t="s">
        <v>582</v>
      </c>
      <c r="I714" s="260">
        <v>391</v>
      </c>
      <c r="J714" s="260">
        <v>19180</v>
      </c>
      <c r="K714" s="618">
        <f t="shared" si="57"/>
        <v>7499380</v>
      </c>
      <c r="L714" s="194" t="s">
        <v>159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909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745</v>
      </c>
      <c r="E715" s="191">
        <v>40721</v>
      </c>
      <c r="F715" s="192" t="s">
        <v>637</v>
      </c>
      <c r="G715" s="502" t="s">
        <v>631</v>
      </c>
      <c r="H715" s="193" t="s">
        <v>582</v>
      </c>
      <c r="I715" s="260">
        <v>20</v>
      </c>
      <c r="J715" s="260">
        <v>31360</v>
      </c>
      <c r="K715" s="618">
        <f t="shared" si="57"/>
        <v>627200</v>
      </c>
      <c r="L715" s="194" t="s">
        <v>159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909"/>
      <c r="AB715" s="610"/>
      <c r="AC715" s="610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745</v>
      </c>
      <c r="E716" s="191">
        <v>40721</v>
      </c>
      <c r="F716" s="192" t="s">
        <v>638</v>
      </c>
      <c r="G716" s="502" t="s">
        <v>631</v>
      </c>
      <c r="H716" s="193" t="s">
        <v>582</v>
      </c>
      <c r="I716" s="260">
        <v>50</v>
      </c>
      <c r="J716" s="260">
        <v>28476</v>
      </c>
      <c r="K716" s="618">
        <f t="shared" si="57"/>
        <v>1423800</v>
      </c>
      <c r="L716" s="194" t="s">
        <v>159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909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745</v>
      </c>
      <c r="E717" s="191">
        <v>40721</v>
      </c>
      <c r="F717" s="192" t="s">
        <v>639</v>
      </c>
      <c r="G717" s="502" t="s">
        <v>631</v>
      </c>
      <c r="H717" s="193" t="s">
        <v>582</v>
      </c>
      <c r="I717" s="260">
        <v>92</v>
      </c>
      <c r="J717" s="260">
        <v>30058</v>
      </c>
      <c r="K717" s="618">
        <f t="shared" si="57"/>
        <v>2765336</v>
      </c>
      <c r="L717" s="194" t="s">
        <v>159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909"/>
      <c r="AB717" s="610"/>
      <c r="AC717" s="610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745</v>
      </c>
      <c r="E718" s="191">
        <v>40721</v>
      </c>
      <c r="F718" s="192" t="s">
        <v>634</v>
      </c>
      <c r="G718" s="502" t="s">
        <v>631</v>
      </c>
      <c r="H718" s="193" t="s">
        <v>582</v>
      </c>
      <c r="I718" s="260">
        <v>182</v>
      </c>
      <c r="J718" s="260">
        <v>18396</v>
      </c>
      <c r="K718" s="618">
        <f t="shared" si="57"/>
        <v>3348072</v>
      </c>
      <c r="L718" s="194" t="s">
        <v>159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909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745</v>
      </c>
      <c r="E719" s="191">
        <v>40721</v>
      </c>
      <c r="F719" s="192" t="s">
        <v>583</v>
      </c>
      <c r="G719" s="502" t="s">
        <v>631</v>
      </c>
      <c r="H719" s="193" t="s">
        <v>582</v>
      </c>
      <c r="I719" s="260"/>
      <c r="J719" s="260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909"/>
      <c r="AB719" s="211">
        <v>7</v>
      </c>
      <c r="AC719" s="610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7" t="s">
        <v>1133</v>
      </c>
      <c r="E720" s="191">
        <v>40721</v>
      </c>
      <c r="F720" s="189" t="s">
        <v>408</v>
      </c>
      <c r="G720" s="502"/>
      <c r="H720" s="632" t="s">
        <v>1116</v>
      </c>
      <c r="I720" s="260">
        <v>391</v>
      </c>
      <c r="J720" s="260">
        <v>6124</v>
      </c>
      <c r="K720" s="618">
        <f t="shared" ref="K720:K734" si="59">ROUND(I720*J720,0)</f>
        <v>2394484</v>
      </c>
      <c r="L720" s="39" t="s">
        <v>167</v>
      </c>
      <c r="M720" s="731" t="s">
        <v>159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909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7" t="s">
        <v>1134</v>
      </c>
      <c r="E721" s="191">
        <v>40721</v>
      </c>
      <c r="F721" s="302" t="s">
        <v>502</v>
      </c>
      <c r="G721" s="502"/>
      <c r="H721" s="632" t="s">
        <v>1116</v>
      </c>
      <c r="I721" s="260">
        <v>297</v>
      </c>
      <c r="J721" s="260">
        <v>6026</v>
      </c>
      <c r="K721" s="618">
        <f t="shared" si="59"/>
        <v>1789722</v>
      </c>
      <c r="L721" s="39" t="s">
        <v>167</v>
      </c>
      <c r="M721" s="731" t="s">
        <v>159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909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7" t="s">
        <v>1134</v>
      </c>
      <c r="E722" s="191">
        <v>40721</v>
      </c>
      <c r="F722" s="302" t="s">
        <v>502</v>
      </c>
      <c r="G722" s="502"/>
      <c r="H722" s="632" t="s">
        <v>1116</v>
      </c>
      <c r="I722" s="260">
        <v>101</v>
      </c>
      <c r="J722" s="260">
        <v>6026</v>
      </c>
      <c r="K722" s="618">
        <f t="shared" si="59"/>
        <v>608626</v>
      </c>
      <c r="L722" s="39" t="s">
        <v>167</v>
      </c>
      <c r="M722" s="731" t="s">
        <v>159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909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7" t="s">
        <v>1134</v>
      </c>
      <c r="E723" s="191">
        <v>40721</v>
      </c>
      <c r="F723" s="302" t="s">
        <v>502</v>
      </c>
      <c r="G723" s="502"/>
      <c r="H723" s="632" t="s">
        <v>1116</v>
      </c>
      <c r="I723" s="260">
        <v>103</v>
      </c>
      <c r="J723" s="260">
        <v>6026</v>
      </c>
      <c r="K723" s="618">
        <f t="shared" si="59"/>
        <v>620678</v>
      </c>
      <c r="L723" s="39" t="s">
        <v>167</v>
      </c>
      <c r="M723" s="731" t="s">
        <v>159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909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7" t="s">
        <v>1134</v>
      </c>
      <c r="E724" s="191">
        <v>40721</v>
      </c>
      <c r="F724" s="40" t="s">
        <v>639</v>
      </c>
      <c r="G724" s="502"/>
      <c r="H724" s="632" t="s">
        <v>1116</v>
      </c>
      <c r="I724" s="260">
        <v>55</v>
      </c>
      <c r="J724" s="260">
        <v>30058</v>
      </c>
      <c r="K724" s="618">
        <f t="shared" si="59"/>
        <v>1653190</v>
      </c>
      <c r="L724" s="39" t="s">
        <v>167</v>
      </c>
      <c r="M724" s="731" t="s">
        <v>159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909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7" t="s">
        <v>1134</v>
      </c>
      <c r="E725" s="191">
        <v>40721</v>
      </c>
      <c r="F725" s="189" t="s">
        <v>595</v>
      </c>
      <c r="G725" s="502"/>
      <c r="H725" s="632" t="s">
        <v>1116</v>
      </c>
      <c r="I725" s="260">
        <v>104</v>
      </c>
      <c r="J725" s="260">
        <v>20236</v>
      </c>
      <c r="K725" s="618">
        <f t="shared" si="59"/>
        <v>2104544</v>
      </c>
      <c r="L725" s="39" t="s">
        <v>167</v>
      </c>
      <c r="M725" s="731" t="s">
        <v>159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909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7" t="s">
        <v>1135</v>
      </c>
      <c r="E726" s="191">
        <v>40721</v>
      </c>
      <c r="F726" s="302" t="s">
        <v>502</v>
      </c>
      <c r="G726" s="502"/>
      <c r="H726" s="632" t="s">
        <v>1116</v>
      </c>
      <c r="I726" s="262">
        <v>778</v>
      </c>
      <c r="J726" s="262">
        <v>6026</v>
      </c>
      <c r="K726" s="618">
        <f t="shared" si="59"/>
        <v>4688228</v>
      </c>
      <c r="L726" s="39" t="s">
        <v>167</v>
      </c>
      <c r="M726" s="731" t="s">
        <v>159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909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746</v>
      </c>
      <c r="E727" s="191">
        <v>40722</v>
      </c>
      <c r="F727" s="192" t="s">
        <v>641</v>
      </c>
      <c r="G727" s="502" t="s">
        <v>640</v>
      </c>
      <c r="H727" s="193" t="s">
        <v>582</v>
      </c>
      <c r="I727" s="260">
        <v>20</v>
      </c>
      <c r="J727" s="260">
        <v>28560</v>
      </c>
      <c r="K727" s="618">
        <f t="shared" si="59"/>
        <v>571200</v>
      </c>
      <c r="L727" s="194" t="s">
        <v>159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909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746</v>
      </c>
      <c r="E728" s="191">
        <v>40722</v>
      </c>
      <c r="F728" s="192" t="s">
        <v>616</v>
      </c>
      <c r="G728" s="502" t="s">
        <v>640</v>
      </c>
      <c r="H728" s="193" t="s">
        <v>582</v>
      </c>
      <c r="I728" s="260">
        <v>224</v>
      </c>
      <c r="J728" s="260">
        <v>23506</v>
      </c>
      <c r="K728" s="618">
        <f t="shared" si="59"/>
        <v>5265344</v>
      </c>
      <c r="L728" s="194" t="s">
        <v>159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909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746</v>
      </c>
      <c r="E729" s="191">
        <v>40722</v>
      </c>
      <c r="F729" s="192" t="s">
        <v>642</v>
      </c>
      <c r="G729" s="502" t="s">
        <v>640</v>
      </c>
      <c r="H729" s="193" t="s">
        <v>582</v>
      </c>
      <c r="I729" s="260">
        <v>10</v>
      </c>
      <c r="J729" s="260">
        <v>32844</v>
      </c>
      <c r="K729" s="618">
        <f t="shared" si="59"/>
        <v>328440</v>
      </c>
      <c r="L729" s="194" t="s">
        <v>159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909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746</v>
      </c>
      <c r="E730" s="191">
        <v>40722</v>
      </c>
      <c r="F730" s="192" t="s">
        <v>638</v>
      </c>
      <c r="G730" s="502" t="s">
        <v>640</v>
      </c>
      <c r="H730" s="193" t="s">
        <v>582</v>
      </c>
      <c r="I730" s="260">
        <v>8</v>
      </c>
      <c r="J730" s="260">
        <v>28476</v>
      </c>
      <c r="K730" s="618">
        <f t="shared" si="59"/>
        <v>227808</v>
      </c>
      <c r="L730" s="194" t="s">
        <v>159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909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746</v>
      </c>
      <c r="E731" s="191">
        <v>40722</v>
      </c>
      <c r="F731" s="192" t="s">
        <v>643</v>
      </c>
      <c r="G731" s="502" t="s">
        <v>640</v>
      </c>
      <c r="H731" s="193" t="s">
        <v>582</v>
      </c>
      <c r="I731" s="260">
        <v>192</v>
      </c>
      <c r="J731" s="260">
        <v>20440</v>
      </c>
      <c r="K731" s="618">
        <f t="shared" si="59"/>
        <v>3924480</v>
      </c>
      <c r="L731" s="194" t="s">
        <v>159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909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746</v>
      </c>
      <c r="E732" s="191">
        <v>40722</v>
      </c>
      <c r="F732" s="192" t="s">
        <v>644</v>
      </c>
      <c r="G732" s="502" t="s">
        <v>640</v>
      </c>
      <c r="H732" s="193" t="s">
        <v>582</v>
      </c>
      <c r="I732" s="260">
        <v>20</v>
      </c>
      <c r="J732" s="260">
        <v>31640</v>
      </c>
      <c r="K732" s="618">
        <f t="shared" si="59"/>
        <v>632800</v>
      </c>
      <c r="L732" s="194" t="s">
        <v>159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909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746</v>
      </c>
      <c r="E733" s="191">
        <v>40722</v>
      </c>
      <c r="F733" s="192" t="s">
        <v>634</v>
      </c>
      <c r="G733" s="502" t="s">
        <v>640</v>
      </c>
      <c r="H733" s="193" t="s">
        <v>582</v>
      </c>
      <c r="I733" s="260">
        <v>14</v>
      </c>
      <c r="J733" s="260">
        <v>18396</v>
      </c>
      <c r="K733" s="618">
        <f t="shared" si="59"/>
        <v>257544</v>
      </c>
      <c r="L733" s="194" t="s">
        <v>159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909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746</v>
      </c>
      <c r="E734" s="191">
        <v>40722</v>
      </c>
      <c r="F734" s="192" t="s">
        <v>645</v>
      </c>
      <c r="G734" s="502" t="s">
        <v>640</v>
      </c>
      <c r="H734" s="193" t="s">
        <v>582</v>
      </c>
      <c r="I734" s="863">
        <v>55</v>
      </c>
      <c r="J734" s="263">
        <v>23906</v>
      </c>
      <c r="K734" s="618">
        <f t="shared" si="59"/>
        <v>1314830</v>
      </c>
      <c r="L734" s="194" t="s">
        <v>159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909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746</v>
      </c>
      <c r="E735" s="191">
        <v>40722</v>
      </c>
      <c r="F735" s="192" t="s">
        <v>583</v>
      </c>
      <c r="G735" s="502" t="s">
        <v>640</v>
      </c>
      <c r="H735" s="193" t="s">
        <v>582</v>
      </c>
      <c r="I735" s="260"/>
      <c r="J735" s="260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909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747</v>
      </c>
      <c r="E736" s="191">
        <v>40723</v>
      </c>
      <c r="F736" s="192" t="s">
        <v>647</v>
      </c>
      <c r="G736" s="502" t="s">
        <v>646</v>
      </c>
      <c r="H736" s="193" t="s">
        <v>582</v>
      </c>
      <c r="I736" s="263">
        <v>100</v>
      </c>
      <c r="J736" s="263">
        <v>23688</v>
      </c>
      <c r="K736" s="618">
        <f>ROUND(I736*J736,0)</f>
        <v>2368800</v>
      </c>
      <c r="L736" s="194" t="s">
        <v>159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909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747</v>
      </c>
      <c r="E737" s="191">
        <v>40723</v>
      </c>
      <c r="F737" s="192" t="s">
        <v>648</v>
      </c>
      <c r="G737" s="502" t="s">
        <v>646</v>
      </c>
      <c r="H737" s="193" t="s">
        <v>582</v>
      </c>
      <c r="I737" s="260">
        <v>94</v>
      </c>
      <c r="J737" s="260">
        <v>28980</v>
      </c>
      <c r="K737" s="618">
        <f>ROUND(I737*J737,0)</f>
        <v>2724120</v>
      </c>
      <c r="L737" s="194" t="s">
        <v>159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909"/>
      <c r="AB737" s="211"/>
      <c r="AC737" s="211"/>
      <c r="AD737" s="610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747</v>
      </c>
      <c r="E738" s="191">
        <v>40723</v>
      </c>
      <c r="F738" s="192" t="s">
        <v>649</v>
      </c>
      <c r="G738" s="502" t="s">
        <v>646</v>
      </c>
      <c r="H738" s="193" t="s">
        <v>582</v>
      </c>
      <c r="I738" s="260">
        <v>640</v>
      </c>
      <c r="J738" s="260">
        <v>23975</v>
      </c>
      <c r="K738" s="618">
        <f>ROUND(I738*J738,0)</f>
        <v>15344000</v>
      </c>
      <c r="L738" s="194" t="s">
        <v>159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909"/>
      <c r="AB738" s="211"/>
      <c r="AC738" s="211"/>
      <c r="AD738" s="610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747</v>
      </c>
      <c r="E739" s="191">
        <v>40723</v>
      </c>
      <c r="F739" s="192" t="s">
        <v>650</v>
      </c>
      <c r="G739" s="502" t="s">
        <v>646</v>
      </c>
      <c r="H739" s="193" t="s">
        <v>582</v>
      </c>
      <c r="I739" s="260">
        <v>170</v>
      </c>
      <c r="J739" s="260">
        <v>16703</v>
      </c>
      <c r="K739" s="618">
        <f>ROUND(I739*J739,0)</f>
        <v>2839510</v>
      </c>
      <c r="L739" s="194" t="s">
        <v>159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909"/>
      <c r="AB739" s="211"/>
      <c r="AC739" s="211"/>
      <c r="AD739" s="610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747</v>
      </c>
      <c r="E740" s="191">
        <v>40723</v>
      </c>
      <c r="F740" s="192" t="s">
        <v>583</v>
      </c>
      <c r="G740" s="502" t="s">
        <v>646</v>
      </c>
      <c r="H740" s="193" t="s">
        <v>582</v>
      </c>
      <c r="I740" s="260"/>
      <c r="J740" s="260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909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748</v>
      </c>
      <c r="E741" s="824">
        <v>40723</v>
      </c>
      <c r="F741" s="189" t="s">
        <v>658</v>
      </c>
      <c r="G741" s="502" t="s">
        <v>657</v>
      </c>
      <c r="H741" s="7" t="s">
        <v>522</v>
      </c>
      <c r="I741" s="264">
        <v>510</v>
      </c>
      <c r="J741" s="264">
        <v>7207</v>
      </c>
      <c r="K741" s="618">
        <f>ROUND(I741*J741,0)</f>
        <v>3675570</v>
      </c>
      <c r="L741" s="194" t="s">
        <v>159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909"/>
      <c r="AB741" s="211"/>
      <c r="AC741" s="211"/>
      <c r="AD741" s="610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748</v>
      </c>
      <c r="E742" s="824">
        <v>40723</v>
      </c>
      <c r="F742" s="189" t="s">
        <v>659</v>
      </c>
      <c r="G742" s="502" t="s">
        <v>657</v>
      </c>
      <c r="H742" s="7" t="s">
        <v>522</v>
      </c>
      <c r="I742" s="260">
        <v>123</v>
      </c>
      <c r="J742" s="260">
        <v>35812</v>
      </c>
      <c r="K742" s="618">
        <f>ROUND(I742*J742,0)</f>
        <v>4404876</v>
      </c>
      <c r="L742" s="194" t="s">
        <v>159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909"/>
      <c r="AB742" s="211"/>
      <c r="AC742" s="211"/>
      <c r="AD742" s="610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748</v>
      </c>
      <c r="E743" s="824">
        <v>40723</v>
      </c>
      <c r="F743" s="189" t="s">
        <v>403</v>
      </c>
      <c r="G743" s="502" t="s">
        <v>657</v>
      </c>
      <c r="H743" s="7" t="s">
        <v>522</v>
      </c>
      <c r="I743" s="260"/>
      <c r="J743" s="260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909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976</v>
      </c>
      <c r="E744" s="184">
        <v>40723</v>
      </c>
      <c r="F744" s="192" t="s">
        <v>931</v>
      </c>
      <c r="G744" s="502" t="s">
        <v>944</v>
      </c>
      <c r="H744" s="210" t="s">
        <v>930</v>
      </c>
      <c r="I744" s="260"/>
      <c r="J744" s="260"/>
      <c r="K744" s="618">
        <v>15903800</v>
      </c>
      <c r="L744" s="194" t="s">
        <v>47</v>
      </c>
      <c r="M744" s="194" t="s">
        <v>274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909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998</v>
      </c>
      <c r="E745" s="184">
        <v>40723</v>
      </c>
      <c r="F745" s="189" t="s">
        <v>935</v>
      </c>
      <c r="G745" s="502" t="s">
        <v>416</v>
      </c>
      <c r="H745" s="7" t="s">
        <v>756</v>
      </c>
      <c r="I745" s="260">
        <v>17</v>
      </c>
      <c r="J745" s="260">
        <v>23643</v>
      </c>
      <c r="K745" s="618">
        <v>401931</v>
      </c>
      <c r="L745" s="194" t="s">
        <v>274</v>
      </c>
      <c r="M745" s="194" t="s">
        <v>181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909"/>
      <c r="AB745" s="845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998</v>
      </c>
      <c r="E746" s="184">
        <v>40723</v>
      </c>
      <c r="F746" s="189" t="s">
        <v>919</v>
      </c>
      <c r="G746" s="502" t="s">
        <v>416</v>
      </c>
      <c r="H746" s="7" t="s">
        <v>756</v>
      </c>
      <c r="I746" s="260">
        <v>8</v>
      </c>
      <c r="J746" s="260">
        <v>26855</v>
      </c>
      <c r="K746" s="618">
        <v>214840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909"/>
      <c r="AB746" s="845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998</v>
      </c>
      <c r="E747" s="184">
        <v>40723</v>
      </c>
      <c r="F747" s="189" t="s">
        <v>909</v>
      </c>
      <c r="G747" s="502" t="s">
        <v>416</v>
      </c>
      <c r="H747" s="7" t="s">
        <v>756</v>
      </c>
      <c r="I747" s="260">
        <v>38</v>
      </c>
      <c r="J747" s="260">
        <v>25535</v>
      </c>
      <c r="K747" s="618">
        <v>970330</v>
      </c>
      <c r="L747" s="194" t="s">
        <v>274</v>
      </c>
      <c r="M747" s="194" t="s">
        <v>181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909"/>
      <c r="AB747" s="845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998</v>
      </c>
      <c r="E748" s="184">
        <v>40723</v>
      </c>
      <c r="F748" s="189" t="s">
        <v>936</v>
      </c>
      <c r="G748" s="502" t="s">
        <v>416</v>
      </c>
      <c r="H748" s="7" t="s">
        <v>756</v>
      </c>
      <c r="I748" s="260">
        <v>47</v>
      </c>
      <c r="J748" s="260">
        <v>21721</v>
      </c>
      <c r="K748" s="618">
        <v>1020887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909"/>
      <c r="AB748" s="845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998</v>
      </c>
      <c r="E749" s="184">
        <v>40723</v>
      </c>
      <c r="F749" s="189" t="s">
        <v>937</v>
      </c>
      <c r="G749" s="502" t="s">
        <v>416</v>
      </c>
      <c r="H749" s="7" t="s">
        <v>756</v>
      </c>
      <c r="I749" s="260">
        <v>830</v>
      </c>
      <c r="J749" s="260">
        <v>14435</v>
      </c>
      <c r="K749" s="618">
        <v>11981050</v>
      </c>
      <c r="L749" s="194" t="s">
        <v>274</v>
      </c>
      <c r="M749" s="194" t="s">
        <v>181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909"/>
      <c r="AB749" s="845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998</v>
      </c>
      <c r="E750" s="184">
        <v>40723</v>
      </c>
      <c r="F750" s="189" t="s">
        <v>774</v>
      </c>
      <c r="G750" s="502" t="s">
        <v>416</v>
      </c>
      <c r="H750" s="7" t="s">
        <v>756</v>
      </c>
      <c r="I750" s="260">
        <v>738</v>
      </c>
      <c r="J750" s="260">
        <v>14011</v>
      </c>
      <c r="K750" s="618">
        <v>10340118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909"/>
      <c r="AB750" s="845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998</v>
      </c>
      <c r="E751" s="184">
        <v>40723</v>
      </c>
      <c r="F751" s="189" t="s">
        <v>778</v>
      </c>
      <c r="G751" s="502" t="s">
        <v>416</v>
      </c>
      <c r="H751" s="7" t="s">
        <v>756</v>
      </c>
      <c r="I751" s="260">
        <v>2</v>
      </c>
      <c r="J751" s="260">
        <v>12177</v>
      </c>
      <c r="K751" s="618">
        <v>24354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909"/>
      <c r="AB751" s="845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998</v>
      </c>
      <c r="E752" s="184">
        <v>40723</v>
      </c>
      <c r="F752" s="189" t="s">
        <v>938</v>
      </c>
      <c r="G752" s="502" t="s">
        <v>416</v>
      </c>
      <c r="H752" s="7" t="s">
        <v>756</v>
      </c>
      <c r="I752" s="260">
        <v>2</v>
      </c>
      <c r="J752" s="260">
        <v>12562</v>
      </c>
      <c r="K752" s="618">
        <v>25124</v>
      </c>
      <c r="L752" s="194" t="s">
        <v>274</v>
      </c>
      <c r="M752" s="194" t="s">
        <v>181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909"/>
      <c r="AB752" s="845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998</v>
      </c>
      <c r="E753" s="184">
        <v>40723</v>
      </c>
      <c r="F753" s="192" t="s">
        <v>872</v>
      </c>
      <c r="G753" s="502" t="s">
        <v>416</v>
      </c>
      <c r="H753" s="7" t="s">
        <v>756</v>
      </c>
      <c r="I753" s="260"/>
      <c r="J753" s="260"/>
      <c r="K753" s="618">
        <v>2497863</v>
      </c>
      <c r="L753" s="194" t="s">
        <v>274</v>
      </c>
      <c r="M753" s="194" t="s">
        <v>754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909"/>
      <c r="AB753" s="845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999</v>
      </c>
      <c r="E754" s="184">
        <v>40723</v>
      </c>
      <c r="F754" s="189" t="s">
        <v>938</v>
      </c>
      <c r="G754" s="502" t="s">
        <v>905</v>
      </c>
      <c r="H754" s="7" t="s">
        <v>756</v>
      </c>
      <c r="I754" s="260">
        <v>21</v>
      </c>
      <c r="J754" s="260">
        <v>17837</v>
      </c>
      <c r="K754" s="618">
        <v>374577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909"/>
      <c r="AB754" s="845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999</v>
      </c>
      <c r="E755" s="184">
        <v>40723</v>
      </c>
      <c r="F755" s="189" t="s">
        <v>945</v>
      </c>
      <c r="G755" s="502" t="s">
        <v>905</v>
      </c>
      <c r="H755" s="7" t="s">
        <v>756</v>
      </c>
      <c r="I755" s="260">
        <v>33</v>
      </c>
      <c r="J755" s="260">
        <v>17008</v>
      </c>
      <c r="K755" s="618">
        <v>561264</v>
      </c>
      <c r="L755" s="194" t="s">
        <v>274</v>
      </c>
      <c r="M755" s="194" t="s">
        <v>181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909"/>
      <c r="AB755" s="845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999</v>
      </c>
      <c r="E756" s="184">
        <v>40723</v>
      </c>
      <c r="F756" s="189" t="s">
        <v>765</v>
      </c>
      <c r="G756" s="502" t="s">
        <v>905</v>
      </c>
      <c r="H756" s="7" t="s">
        <v>756</v>
      </c>
      <c r="I756" s="260">
        <v>390</v>
      </c>
      <c r="J756" s="260">
        <v>19820</v>
      </c>
      <c r="K756" s="618">
        <v>7729800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909"/>
      <c r="AB756" s="845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999</v>
      </c>
      <c r="E757" s="184">
        <v>40723</v>
      </c>
      <c r="F757" s="189" t="s">
        <v>769</v>
      </c>
      <c r="G757" s="502" t="s">
        <v>905</v>
      </c>
      <c r="H757" s="7" t="s">
        <v>756</v>
      </c>
      <c r="I757" s="260">
        <v>482</v>
      </c>
      <c r="J757" s="260">
        <v>10600</v>
      </c>
      <c r="K757" s="618">
        <v>5109200</v>
      </c>
      <c r="L757" s="194" t="s">
        <v>274</v>
      </c>
      <c r="M757" s="194" t="s">
        <v>181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909"/>
      <c r="AB757" s="845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999</v>
      </c>
      <c r="E758" s="184">
        <v>40723</v>
      </c>
      <c r="F758" s="189" t="s">
        <v>938</v>
      </c>
      <c r="G758" s="502" t="s">
        <v>905</v>
      </c>
      <c r="H758" s="7" t="s">
        <v>756</v>
      </c>
      <c r="I758" s="260">
        <v>56</v>
      </c>
      <c r="J758" s="260">
        <v>16713</v>
      </c>
      <c r="K758" s="618">
        <v>935928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909"/>
      <c r="AB758" s="845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999</v>
      </c>
      <c r="E759" s="184">
        <v>40723</v>
      </c>
      <c r="F759" s="192" t="s">
        <v>946</v>
      </c>
      <c r="G759" s="502" t="s">
        <v>905</v>
      </c>
      <c r="H759" s="7" t="s">
        <v>756</v>
      </c>
      <c r="I759" s="260">
        <v>203</v>
      </c>
      <c r="J759" s="260">
        <v>8450</v>
      </c>
      <c r="K759" s="618">
        <v>1715350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909"/>
      <c r="AB759" s="845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999</v>
      </c>
      <c r="E760" s="184">
        <v>40723</v>
      </c>
      <c r="F760" s="189" t="s">
        <v>947</v>
      </c>
      <c r="G760" s="502" t="s">
        <v>905</v>
      </c>
      <c r="H760" s="7" t="s">
        <v>756</v>
      </c>
      <c r="I760" s="260">
        <v>1</v>
      </c>
      <c r="J760" s="260">
        <v>5778</v>
      </c>
      <c r="K760" s="618">
        <v>5778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909"/>
      <c r="AB760" s="845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999</v>
      </c>
      <c r="E761" s="184">
        <v>40723</v>
      </c>
      <c r="F761" s="189" t="s">
        <v>771</v>
      </c>
      <c r="G761" s="502" t="s">
        <v>905</v>
      </c>
      <c r="H761" s="7" t="s">
        <v>756</v>
      </c>
      <c r="I761" s="260">
        <v>1</v>
      </c>
      <c r="J761" s="260">
        <v>10255</v>
      </c>
      <c r="K761" s="618">
        <v>10255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909"/>
      <c r="AB761" s="845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999</v>
      </c>
      <c r="E762" s="184">
        <v>40723</v>
      </c>
      <c r="F762" s="192" t="s">
        <v>872</v>
      </c>
      <c r="G762" s="502" t="s">
        <v>905</v>
      </c>
      <c r="H762" s="7" t="s">
        <v>756</v>
      </c>
      <c r="I762" s="260"/>
      <c r="J762" s="260"/>
      <c r="K762" s="618">
        <v>1644215</v>
      </c>
      <c r="L762" s="194" t="s">
        <v>274</v>
      </c>
      <c r="M762" s="194" t="s">
        <v>754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909"/>
      <c r="AB762" s="845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1000</v>
      </c>
      <c r="E763" s="184">
        <v>40723</v>
      </c>
      <c r="F763" s="189" t="s">
        <v>948</v>
      </c>
      <c r="G763" s="502" t="s">
        <v>912</v>
      </c>
      <c r="H763" s="7" t="s">
        <v>756</v>
      </c>
      <c r="I763" s="260">
        <v>2</v>
      </c>
      <c r="J763" s="260">
        <v>7089</v>
      </c>
      <c r="K763" s="618">
        <v>14178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909"/>
      <c r="AB763" s="845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1000</v>
      </c>
      <c r="E764" s="184">
        <v>40723</v>
      </c>
      <c r="F764" s="189" t="s">
        <v>782</v>
      </c>
      <c r="G764" s="502" t="s">
        <v>912</v>
      </c>
      <c r="H764" s="7" t="s">
        <v>756</v>
      </c>
      <c r="I764" s="260">
        <v>1</v>
      </c>
      <c r="J764" s="260">
        <v>15135</v>
      </c>
      <c r="K764" s="618">
        <v>15135</v>
      </c>
      <c r="L764" s="194" t="s">
        <v>274</v>
      </c>
      <c r="M764" s="194" t="s">
        <v>181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909"/>
      <c r="AB764" s="845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1000</v>
      </c>
      <c r="E765" s="184">
        <v>40723</v>
      </c>
      <c r="F765" s="189" t="s">
        <v>949</v>
      </c>
      <c r="G765" s="502" t="s">
        <v>912</v>
      </c>
      <c r="H765" s="7" t="s">
        <v>756</v>
      </c>
      <c r="I765" s="260">
        <v>9</v>
      </c>
      <c r="J765" s="260">
        <v>15056</v>
      </c>
      <c r="K765" s="618">
        <v>135504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909"/>
      <c r="AB765" s="845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1000</v>
      </c>
      <c r="E766" s="184">
        <v>40723</v>
      </c>
      <c r="F766" s="192" t="s">
        <v>950</v>
      </c>
      <c r="G766" s="502" t="s">
        <v>912</v>
      </c>
      <c r="H766" s="7" t="s">
        <v>756</v>
      </c>
      <c r="I766" s="260">
        <v>291</v>
      </c>
      <c r="J766" s="260">
        <v>9880</v>
      </c>
      <c r="K766" s="618">
        <v>2875080</v>
      </c>
      <c r="L766" s="194" t="s">
        <v>274</v>
      </c>
      <c r="M766" s="194" t="s">
        <v>181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909"/>
      <c r="AB766" s="845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1000</v>
      </c>
      <c r="E767" s="184">
        <v>40723</v>
      </c>
      <c r="F767" s="189" t="s">
        <v>938</v>
      </c>
      <c r="G767" s="502" t="s">
        <v>912</v>
      </c>
      <c r="H767" s="7" t="s">
        <v>756</v>
      </c>
      <c r="I767" s="260">
        <v>1</v>
      </c>
      <c r="J767" s="260">
        <v>9259</v>
      </c>
      <c r="K767" s="618">
        <v>9259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909"/>
      <c r="AB767" s="845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1000</v>
      </c>
      <c r="E768" s="184">
        <v>40723</v>
      </c>
      <c r="F768" s="189" t="s">
        <v>764</v>
      </c>
      <c r="G768" s="502" t="s">
        <v>912</v>
      </c>
      <c r="H768" s="7" t="s">
        <v>756</v>
      </c>
      <c r="I768" s="260">
        <v>119</v>
      </c>
      <c r="J768" s="260">
        <v>17330</v>
      </c>
      <c r="K768" s="618">
        <v>2062270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909"/>
      <c r="AB768" s="845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1000</v>
      </c>
      <c r="E769" s="184">
        <v>40723</v>
      </c>
      <c r="F769" s="189" t="s">
        <v>928</v>
      </c>
      <c r="G769" s="502" t="s">
        <v>912</v>
      </c>
      <c r="H769" s="7" t="s">
        <v>756</v>
      </c>
      <c r="I769" s="260">
        <v>304</v>
      </c>
      <c r="J769" s="260">
        <v>13172</v>
      </c>
      <c r="K769" s="618">
        <v>4004288</v>
      </c>
      <c r="L769" s="194" t="s">
        <v>274</v>
      </c>
      <c r="M769" s="194" t="s">
        <v>181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909"/>
      <c r="AB769" s="845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1000</v>
      </c>
      <c r="E770" s="184">
        <v>40723</v>
      </c>
      <c r="F770" s="189" t="s">
        <v>927</v>
      </c>
      <c r="G770" s="502" t="s">
        <v>912</v>
      </c>
      <c r="H770" s="7" t="s">
        <v>756</v>
      </c>
      <c r="I770" s="260">
        <v>65</v>
      </c>
      <c r="J770" s="260">
        <v>10433</v>
      </c>
      <c r="K770" s="618">
        <v>678145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909"/>
      <c r="AB770" s="845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1000</v>
      </c>
      <c r="E771" s="184">
        <v>40723</v>
      </c>
      <c r="F771" s="192" t="s">
        <v>872</v>
      </c>
      <c r="G771" s="502" t="s">
        <v>912</v>
      </c>
      <c r="H771" s="7" t="s">
        <v>756</v>
      </c>
      <c r="I771" s="260"/>
      <c r="J771" s="260"/>
      <c r="K771" s="618">
        <v>979386</v>
      </c>
      <c r="L771" s="194" t="s">
        <v>274</v>
      </c>
      <c r="M771" s="194" t="s">
        <v>754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909"/>
      <c r="AB771" s="845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1001</v>
      </c>
      <c r="E772" s="184">
        <v>40723</v>
      </c>
      <c r="F772" s="189" t="s">
        <v>949</v>
      </c>
      <c r="G772" s="502" t="s">
        <v>918</v>
      </c>
      <c r="H772" s="7" t="s">
        <v>756</v>
      </c>
      <c r="I772" s="260">
        <v>32</v>
      </c>
      <c r="J772" s="260">
        <v>15175</v>
      </c>
      <c r="K772" s="618">
        <v>485600</v>
      </c>
      <c r="L772" s="194" t="s">
        <v>274</v>
      </c>
      <c r="M772" s="194" t="s">
        <v>181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909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1001</v>
      </c>
      <c r="E773" s="184">
        <v>40723</v>
      </c>
      <c r="F773" s="189" t="s">
        <v>773</v>
      </c>
      <c r="G773" s="502" t="s">
        <v>918</v>
      </c>
      <c r="H773" s="7" t="s">
        <v>756</v>
      </c>
      <c r="I773" s="260">
        <v>5</v>
      </c>
      <c r="J773" s="260">
        <v>15756</v>
      </c>
      <c r="K773" s="618">
        <v>78780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909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1001</v>
      </c>
      <c r="E774" s="184">
        <v>40723</v>
      </c>
      <c r="F774" s="189" t="s">
        <v>937</v>
      </c>
      <c r="G774" s="502" t="s">
        <v>918</v>
      </c>
      <c r="H774" s="7" t="s">
        <v>756</v>
      </c>
      <c r="I774" s="260">
        <v>80</v>
      </c>
      <c r="J774" s="260">
        <v>14563</v>
      </c>
      <c r="K774" s="618">
        <v>1165040</v>
      </c>
      <c r="L774" s="194" t="s">
        <v>274</v>
      </c>
      <c r="M774" s="194" t="s">
        <v>181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909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1001</v>
      </c>
      <c r="E775" s="184">
        <v>40723</v>
      </c>
      <c r="F775" s="189" t="s">
        <v>769</v>
      </c>
      <c r="G775" s="502" t="s">
        <v>918</v>
      </c>
      <c r="H775" s="7" t="s">
        <v>756</v>
      </c>
      <c r="I775" s="260">
        <v>49</v>
      </c>
      <c r="J775" s="260">
        <v>10698</v>
      </c>
      <c r="K775" s="618">
        <v>524202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909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1001</v>
      </c>
      <c r="E776" s="184">
        <v>40723</v>
      </c>
      <c r="F776" s="189" t="s">
        <v>781</v>
      </c>
      <c r="G776" s="502" t="s">
        <v>918</v>
      </c>
      <c r="H776" s="7" t="s">
        <v>756</v>
      </c>
      <c r="I776" s="260">
        <v>2</v>
      </c>
      <c r="J776" s="260">
        <v>7435</v>
      </c>
      <c r="K776" s="618">
        <v>14870</v>
      </c>
      <c r="L776" s="194" t="s">
        <v>274</v>
      </c>
      <c r="M776" s="194" t="s">
        <v>181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909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1001</v>
      </c>
      <c r="E777" s="184">
        <v>40723</v>
      </c>
      <c r="F777" s="189" t="s">
        <v>952</v>
      </c>
      <c r="G777" s="502" t="s">
        <v>918</v>
      </c>
      <c r="H777" s="7" t="s">
        <v>756</v>
      </c>
      <c r="I777" s="260">
        <v>2</v>
      </c>
      <c r="J777" s="260">
        <v>10116</v>
      </c>
      <c r="K777" s="618">
        <v>20232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909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1001</v>
      </c>
      <c r="E778" s="184">
        <v>40723</v>
      </c>
      <c r="F778" s="192" t="s">
        <v>950</v>
      </c>
      <c r="G778" s="502" t="s">
        <v>918</v>
      </c>
      <c r="H778" s="7" t="s">
        <v>756</v>
      </c>
      <c r="I778" s="260">
        <v>5</v>
      </c>
      <c r="J778" s="260">
        <v>9692</v>
      </c>
      <c r="K778" s="618">
        <v>48460</v>
      </c>
      <c r="L778" s="194" t="s">
        <v>274</v>
      </c>
      <c r="M778" s="194" t="s">
        <v>181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909"/>
      <c r="AB778" s="845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1001</v>
      </c>
      <c r="E779" s="184">
        <v>40723</v>
      </c>
      <c r="F779" s="189" t="s">
        <v>778</v>
      </c>
      <c r="G779" s="502" t="s">
        <v>918</v>
      </c>
      <c r="H779" s="7" t="s">
        <v>756</v>
      </c>
      <c r="I779" s="260">
        <v>1</v>
      </c>
      <c r="J779" s="260">
        <v>12286</v>
      </c>
      <c r="K779" s="618">
        <v>12286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909"/>
      <c r="AB779" s="845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1001</v>
      </c>
      <c r="E780" s="184">
        <v>40723</v>
      </c>
      <c r="F780" s="192" t="s">
        <v>872</v>
      </c>
      <c r="G780" s="502" t="s">
        <v>918</v>
      </c>
      <c r="H780" s="7" t="s">
        <v>756</v>
      </c>
      <c r="I780" s="261"/>
      <c r="J780" s="261"/>
      <c r="K780" s="618">
        <v>234947</v>
      </c>
      <c r="L780" s="194" t="s">
        <v>274</v>
      </c>
      <c r="M780" s="194" t="s">
        <v>754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909"/>
      <c r="AB780" s="845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1002</v>
      </c>
      <c r="E781" s="184">
        <v>40723</v>
      </c>
      <c r="F781" s="189" t="s">
        <v>780</v>
      </c>
      <c r="G781" s="502" t="s">
        <v>939</v>
      </c>
      <c r="H781" s="7" t="s">
        <v>756</v>
      </c>
      <c r="I781" s="260">
        <v>1</v>
      </c>
      <c r="J781" s="260">
        <v>5285</v>
      </c>
      <c r="K781" s="618">
        <v>5285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909"/>
      <c r="AB781" s="845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1002</v>
      </c>
      <c r="E782" s="184">
        <v>40723</v>
      </c>
      <c r="F782" s="189" t="s">
        <v>776</v>
      </c>
      <c r="G782" s="502" t="s">
        <v>939</v>
      </c>
      <c r="H782" s="7" t="s">
        <v>756</v>
      </c>
      <c r="I782" s="260">
        <v>3</v>
      </c>
      <c r="J782" s="260">
        <v>16841</v>
      </c>
      <c r="K782" s="618">
        <v>50523</v>
      </c>
      <c r="L782" s="194" t="s">
        <v>274</v>
      </c>
      <c r="M782" s="194" t="s">
        <v>181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909"/>
      <c r="AB782" s="845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1002</v>
      </c>
      <c r="E783" s="184">
        <v>40723</v>
      </c>
      <c r="F783" s="189" t="s">
        <v>770</v>
      </c>
      <c r="G783" s="502" t="s">
        <v>939</v>
      </c>
      <c r="H783" s="7" t="s">
        <v>756</v>
      </c>
      <c r="I783" s="260">
        <v>2</v>
      </c>
      <c r="J783" s="260">
        <v>11428</v>
      </c>
      <c r="K783" s="618">
        <v>22856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909"/>
      <c r="AB783" s="845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1002</v>
      </c>
      <c r="E784" s="184">
        <v>40723</v>
      </c>
      <c r="F784" s="192" t="s">
        <v>946</v>
      </c>
      <c r="G784" s="502" t="s">
        <v>939</v>
      </c>
      <c r="H784" s="7" t="s">
        <v>756</v>
      </c>
      <c r="I784" s="260">
        <v>8</v>
      </c>
      <c r="J784" s="260">
        <v>8549</v>
      </c>
      <c r="K784" s="618">
        <v>68392</v>
      </c>
      <c r="L784" s="194" t="s">
        <v>274</v>
      </c>
      <c r="M784" s="194" t="s">
        <v>181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909"/>
      <c r="AB784" s="845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1002</v>
      </c>
      <c r="E785" s="184">
        <v>40723</v>
      </c>
      <c r="F785" s="189" t="s">
        <v>768</v>
      </c>
      <c r="G785" s="502" t="s">
        <v>939</v>
      </c>
      <c r="H785" s="7" t="s">
        <v>756</v>
      </c>
      <c r="I785" s="260">
        <v>1</v>
      </c>
      <c r="J785" s="260">
        <v>9357</v>
      </c>
      <c r="K785" s="618">
        <v>9357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909"/>
      <c r="AB785" s="845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1002</v>
      </c>
      <c r="E786" s="184">
        <v>40723</v>
      </c>
      <c r="F786" s="189" t="s">
        <v>771</v>
      </c>
      <c r="G786" s="502" t="s">
        <v>939</v>
      </c>
      <c r="H786" s="7" t="s">
        <v>756</v>
      </c>
      <c r="I786" s="260">
        <v>1</v>
      </c>
      <c r="J786" s="260">
        <v>10343</v>
      </c>
      <c r="K786" s="618">
        <v>10343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909"/>
      <c r="AB786" s="845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1002</v>
      </c>
      <c r="E787" s="184">
        <v>40723</v>
      </c>
      <c r="F787" s="189" t="s">
        <v>772</v>
      </c>
      <c r="G787" s="502" t="s">
        <v>939</v>
      </c>
      <c r="H787" s="7" t="s">
        <v>756</v>
      </c>
      <c r="I787" s="260">
        <v>4</v>
      </c>
      <c r="J787" s="260">
        <v>12670</v>
      </c>
      <c r="K787" s="618">
        <v>50680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909"/>
      <c r="AB787" s="845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1002</v>
      </c>
      <c r="E788" s="184">
        <v>40723</v>
      </c>
      <c r="F788" s="189" t="s">
        <v>777</v>
      </c>
      <c r="G788" s="502" t="s">
        <v>939</v>
      </c>
      <c r="H788" s="7" t="s">
        <v>756</v>
      </c>
      <c r="I788" s="260">
        <v>1</v>
      </c>
      <c r="J788" s="260">
        <v>12305</v>
      </c>
      <c r="K788" s="618">
        <v>12305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909"/>
      <c r="AB788" s="845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1002</v>
      </c>
      <c r="E789" s="184">
        <v>40723</v>
      </c>
      <c r="F789" s="192" t="s">
        <v>872</v>
      </c>
      <c r="G789" s="502" t="s">
        <v>939</v>
      </c>
      <c r="H789" s="7" t="s">
        <v>756</v>
      </c>
      <c r="I789" s="260"/>
      <c r="J789" s="260"/>
      <c r="K789" s="618">
        <v>22974</v>
      </c>
      <c r="L789" s="194" t="s">
        <v>274</v>
      </c>
      <c r="M789" s="194" t="s">
        <v>754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909"/>
      <c r="AB789" s="845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1003</v>
      </c>
      <c r="E790" s="184">
        <v>40723</v>
      </c>
      <c r="F790" s="189" t="s">
        <v>954</v>
      </c>
      <c r="G790" s="502" t="s">
        <v>940</v>
      </c>
      <c r="H790" s="7" t="s">
        <v>756</v>
      </c>
      <c r="I790" s="260">
        <v>2</v>
      </c>
      <c r="J790" s="260">
        <v>6113</v>
      </c>
      <c r="K790" s="618">
        <v>12226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909"/>
      <c r="AB790" s="845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1003</v>
      </c>
      <c r="E791" s="184">
        <v>40723</v>
      </c>
      <c r="F791" s="189" t="s">
        <v>955</v>
      </c>
      <c r="G791" s="502" t="s">
        <v>940</v>
      </c>
      <c r="H791" s="7" t="s">
        <v>756</v>
      </c>
      <c r="I791" s="260">
        <v>2</v>
      </c>
      <c r="J791" s="260">
        <v>12824</v>
      </c>
      <c r="K791" s="618">
        <v>25648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909"/>
      <c r="AB791" s="845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1003</v>
      </c>
      <c r="E792" s="184">
        <v>40723</v>
      </c>
      <c r="F792" s="189" t="s">
        <v>767</v>
      </c>
      <c r="G792" s="502" t="s">
        <v>940</v>
      </c>
      <c r="H792" s="7" t="s">
        <v>756</v>
      </c>
      <c r="I792" s="260">
        <v>37</v>
      </c>
      <c r="J792" s="260">
        <v>14591</v>
      </c>
      <c r="K792" s="618">
        <v>539867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909"/>
      <c r="AB792" s="845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1003</v>
      </c>
      <c r="E793" s="184">
        <v>40723</v>
      </c>
      <c r="F793" s="189" t="s">
        <v>956</v>
      </c>
      <c r="G793" s="502" t="s">
        <v>940</v>
      </c>
      <c r="H793" s="7" t="s">
        <v>756</v>
      </c>
      <c r="I793" s="260">
        <v>897</v>
      </c>
      <c r="J793" s="260">
        <v>11877</v>
      </c>
      <c r="K793" s="618">
        <v>10653669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909"/>
      <c r="AB793" s="845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1003</v>
      </c>
      <c r="E794" s="184">
        <v>40723</v>
      </c>
      <c r="F794" s="189" t="s">
        <v>953</v>
      </c>
      <c r="G794" s="502" t="s">
        <v>940</v>
      </c>
      <c r="H794" s="7" t="s">
        <v>756</v>
      </c>
      <c r="I794" s="260">
        <v>917</v>
      </c>
      <c r="J794" s="260">
        <v>2866</v>
      </c>
      <c r="K794" s="618">
        <v>2628122</v>
      </c>
      <c r="L794" s="194" t="s">
        <v>274</v>
      </c>
      <c r="M794" s="194" t="s">
        <v>181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909"/>
      <c r="AB794" s="845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1003</v>
      </c>
      <c r="E795" s="184">
        <v>40723</v>
      </c>
      <c r="F795" s="189" t="s">
        <v>957</v>
      </c>
      <c r="G795" s="502" t="s">
        <v>940</v>
      </c>
      <c r="H795" s="7" t="s">
        <v>756</v>
      </c>
      <c r="I795" s="260">
        <v>169</v>
      </c>
      <c r="J795" s="260">
        <v>8678</v>
      </c>
      <c r="K795" s="618">
        <v>1466582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909"/>
      <c r="AB795" s="845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1003</v>
      </c>
      <c r="E796" s="184">
        <v>40723</v>
      </c>
      <c r="F796" s="189" t="s">
        <v>953</v>
      </c>
      <c r="G796" s="502" t="s">
        <v>940</v>
      </c>
      <c r="H796" s="7" t="s">
        <v>756</v>
      </c>
      <c r="I796" s="260">
        <v>170</v>
      </c>
      <c r="J796" s="260">
        <v>2457</v>
      </c>
      <c r="K796" s="618">
        <v>417690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909"/>
      <c r="AB796" s="845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1003</v>
      </c>
      <c r="E797" s="184">
        <v>40723</v>
      </c>
      <c r="F797" s="189" t="s">
        <v>765</v>
      </c>
      <c r="G797" s="502" t="s">
        <v>940</v>
      </c>
      <c r="H797" s="7" t="s">
        <v>756</v>
      </c>
      <c r="I797" s="260">
        <v>442</v>
      </c>
      <c r="J797" s="260">
        <v>19814</v>
      </c>
      <c r="K797" s="618">
        <v>8757788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909"/>
      <c r="AB797" s="845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1003</v>
      </c>
      <c r="E798" s="184">
        <v>40723</v>
      </c>
      <c r="F798" s="192" t="s">
        <v>872</v>
      </c>
      <c r="G798" s="502" t="s">
        <v>940</v>
      </c>
      <c r="H798" s="7" t="s">
        <v>756</v>
      </c>
      <c r="I798" s="260"/>
      <c r="J798" s="260"/>
      <c r="K798" s="618">
        <v>2450159</v>
      </c>
      <c r="L798" s="194" t="s">
        <v>274</v>
      </c>
      <c r="M798" s="194" t="s">
        <v>754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909"/>
      <c r="AB798" s="845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1004</v>
      </c>
      <c r="E799" s="184">
        <v>40723</v>
      </c>
      <c r="F799" s="189" t="s">
        <v>958</v>
      </c>
      <c r="G799" s="502" t="s">
        <v>941</v>
      </c>
      <c r="H799" s="7" t="s">
        <v>756</v>
      </c>
      <c r="I799" s="260">
        <v>36</v>
      </c>
      <c r="J799" s="260">
        <v>18185</v>
      </c>
      <c r="K799" s="618">
        <v>654660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909"/>
      <c r="AB799" s="845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1004</v>
      </c>
      <c r="E800" s="184">
        <v>40723</v>
      </c>
      <c r="F800" s="189" t="s">
        <v>953</v>
      </c>
      <c r="G800" s="502" t="s">
        <v>941</v>
      </c>
      <c r="H800" s="7" t="s">
        <v>756</v>
      </c>
      <c r="I800" s="260">
        <v>90</v>
      </c>
      <c r="J800" s="260">
        <v>2734</v>
      </c>
      <c r="K800" s="618">
        <v>246060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909"/>
      <c r="AB800" s="845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1004</v>
      </c>
      <c r="E801" s="184">
        <v>40723</v>
      </c>
      <c r="F801" s="189" t="s">
        <v>953</v>
      </c>
      <c r="G801" s="502" t="s">
        <v>941</v>
      </c>
      <c r="H801" s="7" t="s">
        <v>756</v>
      </c>
      <c r="I801" s="260">
        <v>164</v>
      </c>
      <c r="J801" s="260">
        <v>3065</v>
      </c>
      <c r="K801" s="618">
        <v>502660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909"/>
      <c r="AB801" s="845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1004</v>
      </c>
      <c r="E802" s="184">
        <v>40723</v>
      </c>
      <c r="F802" s="189" t="s">
        <v>766</v>
      </c>
      <c r="G802" s="502" t="s">
        <v>941</v>
      </c>
      <c r="H802" s="7" t="s">
        <v>756</v>
      </c>
      <c r="I802" s="260">
        <v>639</v>
      </c>
      <c r="J802" s="260">
        <v>19248</v>
      </c>
      <c r="K802" s="618">
        <v>12299472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909"/>
      <c r="AB802" s="845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1004</v>
      </c>
      <c r="E803" s="184">
        <v>40723</v>
      </c>
      <c r="F803" s="189" t="s">
        <v>953</v>
      </c>
      <c r="G803" s="502" t="s">
        <v>941</v>
      </c>
      <c r="H803" s="7" t="s">
        <v>756</v>
      </c>
      <c r="I803" s="260">
        <v>210</v>
      </c>
      <c r="J803" s="260">
        <v>6577</v>
      </c>
      <c r="K803" s="618">
        <v>1381170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909"/>
      <c r="AB803" s="845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1004</v>
      </c>
      <c r="E804" s="184">
        <v>40723</v>
      </c>
      <c r="F804" s="189" t="s">
        <v>953</v>
      </c>
      <c r="G804" s="502" t="s">
        <v>941</v>
      </c>
      <c r="H804" s="7" t="s">
        <v>756</v>
      </c>
      <c r="I804" s="260">
        <v>422</v>
      </c>
      <c r="J804" s="260">
        <v>4705</v>
      </c>
      <c r="K804" s="618">
        <v>1985510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909"/>
      <c r="AB804" s="845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1004</v>
      </c>
      <c r="E805" s="184">
        <v>40723</v>
      </c>
      <c r="F805" s="189" t="s">
        <v>764</v>
      </c>
      <c r="G805" s="502" t="s">
        <v>941</v>
      </c>
      <c r="H805" s="7" t="s">
        <v>756</v>
      </c>
      <c r="I805" s="260">
        <v>209</v>
      </c>
      <c r="J805" s="260">
        <v>17330</v>
      </c>
      <c r="K805" s="618">
        <v>3621970</v>
      </c>
      <c r="L805" s="194" t="s">
        <v>274</v>
      </c>
      <c r="M805" s="194" t="s">
        <v>181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909"/>
      <c r="AB805" s="845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1004</v>
      </c>
      <c r="E806" s="184">
        <v>40723</v>
      </c>
      <c r="F806" s="189" t="s">
        <v>959</v>
      </c>
      <c r="G806" s="502" t="s">
        <v>941</v>
      </c>
      <c r="H806" s="7" t="s">
        <v>756</v>
      </c>
      <c r="I806" s="260">
        <v>55</v>
      </c>
      <c r="J806" s="260">
        <v>17203</v>
      </c>
      <c r="K806" s="618">
        <v>946165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909"/>
      <c r="AB806" s="845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1004</v>
      </c>
      <c r="E807" s="184">
        <v>40723</v>
      </c>
      <c r="F807" s="192" t="s">
        <v>872</v>
      </c>
      <c r="G807" s="502" t="s">
        <v>941</v>
      </c>
      <c r="H807" s="7" t="s">
        <v>756</v>
      </c>
      <c r="I807" s="260"/>
      <c r="J807" s="260"/>
      <c r="K807" s="38">
        <v>2163767</v>
      </c>
      <c r="L807" s="194" t="s">
        <v>274</v>
      </c>
      <c r="M807" s="194" t="s">
        <v>754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909"/>
      <c r="AB807" s="845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1005</v>
      </c>
      <c r="E808" s="184">
        <v>40723</v>
      </c>
      <c r="F808" s="189" t="s">
        <v>960</v>
      </c>
      <c r="G808" s="502" t="s">
        <v>942</v>
      </c>
      <c r="H808" s="7" t="s">
        <v>756</v>
      </c>
      <c r="I808" s="260">
        <v>40</v>
      </c>
      <c r="J808" s="260">
        <v>14435</v>
      </c>
      <c r="K808" s="618">
        <v>577400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909"/>
      <c r="AB808" s="845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1005</v>
      </c>
      <c r="E809" s="184">
        <v>40723</v>
      </c>
      <c r="F809" s="189" t="s">
        <v>928</v>
      </c>
      <c r="G809" s="502" t="s">
        <v>942</v>
      </c>
      <c r="H809" s="7" t="s">
        <v>756</v>
      </c>
      <c r="I809" s="260">
        <v>2</v>
      </c>
      <c r="J809" s="260">
        <v>10434</v>
      </c>
      <c r="K809" s="618">
        <v>20868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909"/>
      <c r="AB809" s="845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1005</v>
      </c>
      <c r="E810" s="184">
        <v>40723</v>
      </c>
      <c r="F810" s="189" t="s">
        <v>961</v>
      </c>
      <c r="G810" s="502" t="s">
        <v>942</v>
      </c>
      <c r="H810" s="7" t="s">
        <v>756</v>
      </c>
      <c r="I810" s="260">
        <v>207</v>
      </c>
      <c r="J810" s="260">
        <v>24601</v>
      </c>
      <c r="K810" s="618">
        <v>5092407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909"/>
      <c r="AB810" s="845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1005</v>
      </c>
      <c r="E811" s="184">
        <v>40723</v>
      </c>
      <c r="F811" s="189" t="s">
        <v>953</v>
      </c>
      <c r="G811" s="502" t="s">
        <v>942</v>
      </c>
      <c r="H811" s="7" t="s">
        <v>756</v>
      </c>
      <c r="I811" s="260">
        <v>203</v>
      </c>
      <c r="J811" s="260">
        <v>12255</v>
      </c>
      <c r="K811" s="618">
        <v>2487765</v>
      </c>
      <c r="L811" s="194" t="s">
        <v>274</v>
      </c>
      <c r="M811" s="194" t="s">
        <v>181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909"/>
      <c r="AB811" s="845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1005</v>
      </c>
      <c r="E812" s="184">
        <v>40723</v>
      </c>
      <c r="F812" s="189" t="s">
        <v>962</v>
      </c>
      <c r="G812" s="502" t="s">
        <v>942</v>
      </c>
      <c r="H812" s="7" t="s">
        <v>756</v>
      </c>
      <c r="I812" s="260">
        <v>9</v>
      </c>
      <c r="J812" s="260">
        <v>19640</v>
      </c>
      <c r="K812" s="618">
        <v>176760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909"/>
      <c r="AB812" s="845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1005</v>
      </c>
      <c r="E813" s="184">
        <v>40723</v>
      </c>
      <c r="F813" s="189" t="s">
        <v>775</v>
      </c>
      <c r="G813" s="502" t="s">
        <v>942</v>
      </c>
      <c r="H813" s="7" t="s">
        <v>756</v>
      </c>
      <c r="I813" s="260">
        <v>1</v>
      </c>
      <c r="J813" s="260">
        <v>16417</v>
      </c>
      <c r="K813" s="618">
        <v>16417</v>
      </c>
      <c r="L813" s="194" t="s">
        <v>274</v>
      </c>
      <c r="M813" s="194" t="s">
        <v>181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909"/>
      <c r="AB813" s="845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1005</v>
      </c>
      <c r="E814" s="184">
        <v>40723</v>
      </c>
      <c r="F814" s="189" t="s">
        <v>963</v>
      </c>
      <c r="G814" s="502" t="s">
        <v>942</v>
      </c>
      <c r="H814" s="7" t="s">
        <v>756</v>
      </c>
      <c r="I814" s="260">
        <v>3</v>
      </c>
      <c r="J814" s="260">
        <v>20389</v>
      </c>
      <c r="K814" s="618">
        <v>61167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909"/>
      <c r="AB814" s="845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1005</v>
      </c>
      <c r="E815" s="184">
        <v>40723</v>
      </c>
      <c r="F815" s="189" t="s">
        <v>774</v>
      </c>
      <c r="G815" s="502" t="s">
        <v>942</v>
      </c>
      <c r="H815" s="7" t="s">
        <v>756</v>
      </c>
      <c r="I815" s="260">
        <v>11</v>
      </c>
      <c r="J815" s="260">
        <v>14129</v>
      </c>
      <c r="K815" s="618">
        <v>155419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909"/>
      <c r="AB815" s="845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1005</v>
      </c>
      <c r="E816" s="184">
        <v>40723</v>
      </c>
      <c r="F816" s="192" t="s">
        <v>872</v>
      </c>
      <c r="G816" s="502" t="s">
        <v>942</v>
      </c>
      <c r="H816" s="7" t="s">
        <v>756</v>
      </c>
      <c r="I816" s="260"/>
      <c r="J816" s="260"/>
      <c r="K816" s="618">
        <v>858820</v>
      </c>
      <c r="L816" s="194" t="s">
        <v>274</v>
      </c>
      <c r="M816" s="194" t="s">
        <v>754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909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1006</v>
      </c>
      <c r="E817" s="184">
        <v>40723</v>
      </c>
      <c r="F817" s="189" t="s">
        <v>927</v>
      </c>
      <c r="G817" s="502" t="s">
        <v>943</v>
      </c>
      <c r="H817" s="7" t="s">
        <v>756</v>
      </c>
      <c r="I817" s="260">
        <v>26</v>
      </c>
      <c r="J817" s="260">
        <v>10433</v>
      </c>
      <c r="K817" s="618">
        <v>271258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909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1006</v>
      </c>
      <c r="E818" s="184">
        <v>40723</v>
      </c>
      <c r="F818" s="189" t="s">
        <v>964</v>
      </c>
      <c r="G818" s="502" t="s">
        <v>943</v>
      </c>
      <c r="H818" s="7" t="s">
        <v>756</v>
      </c>
      <c r="I818" s="260">
        <v>20</v>
      </c>
      <c r="J818" s="260">
        <v>19208</v>
      </c>
      <c r="K818" s="618">
        <v>384160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909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1006</v>
      </c>
      <c r="E819" s="184">
        <v>40723</v>
      </c>
      <c r="F819" s="189" t="s">
        <v>965</v>
      </c>
      <c r="G819" s="502" t="s">
        <v>943</v>
      </c>
      <c r="H819" s="7" t="s">
        <v>756</v>
      </c>
      <c r="I819" s="260">
        <v>61</v>
      </c>
      <c r="J819" s="260">
        <v>21962</v>
      </c>
      <c r="K819" s="618">
        <v>1339682</v>
      </c>
      <c r="L819" s="194" t="s">
        <v>274</v>
      </c>
      <c r="M819" s="194" t="s">
        <v>181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909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1006</v>
      </c>
      <c r="E820" s="184">
        <v>40723</v>
      </c>
      <c r="F820" s="189" t="s">
        <v>779</v>
      </c>
      <c r="G820" s="502" t="s">
        <v>943</v>
      </c>
      <c r="H820" s="7" t="s">
        <v>756</v>
      </c>
      <c r="I820" s="260">
        <v>140</v>
      </c>
      <c r="J820" s="260">
        <v>3065</v>
      </c>
      <c r="K820" s="618">
        <v>429100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909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1006</v>
      </c>
      <c r="E821" s="184">
        <v>40723</v>
      </c>
      <c r="F821" s="189" t="s">
        <v>958</v>
      </c>
      <c r="G821" s="502" t="s">
        <v>943</v>
      </c>
      <c r="H821" s="7" t="s">
        <v>756</v>
      </c>
      <c r="I821" s="260">
        <v>40</v>
      </c>
      <c r="J821" s="260">
        <v>18185</v>
      </c>
      <c r="K821" s="618">
        <v>727400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909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1006</v>
      </c>
      <c r="E822" s="184">
        <v>40723</v>
      </c>
      <c r="F822" s="189" t="s">
        <v>767</v>
      </c>
      <c r="G822" s="502" t="s">
        <v>943</v>
      </c>
      <c r="H822" s="7" t="s">
        <v>756</v>
      </c>
      <c r="I822" s="260">
        <v>95</v>
      </c>
      <c r="J822" s="260">
        <v>14591</v>
      </c>
      <c r="K822" s="618">
        <v>1386145</v>
      </c>
      <c r="L822" s="194" t="s">
        <v>274</v>
      </c>
      <c r="M822" s="194" t="s">
        <v>181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909"/>
      <c r="AB822" s="845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1006</v>
      </c>
      <c r="E823" s="184">
        <v>40723</v>
      </c>
      <c r="F823" s="192" t="s">
        <v>872</v>
      </c>
      <c r="G823" s="502" t="s">
        <v>943</v>
      </c>
      <c r="H823" s="7" t="s">
        <v>756</v>
      </c>
      <c r="I823" s="260"/>
      <c r="J823" s="260"/>
      <c r="K823" s="618">
        <v>453775</v>
      </c>
      <c r="L823" s="194" t="s">
        <v>274</v>
      </c>
      <c r="M823" s="194" t="s">
        <v>754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909"/>
      <c r="AB823" s="845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1007</v>
      </c>
      <c r="E824" s="184">
        <v>40723</v>
      </c>
      <c r="F824" s="192" t="s">
        <v>931</v>
      </c>
      <c r="G824" s="502" t="s">
        <v>944</v>
      </c>
      <c r="H824" s="210" t="s">
        <v>930</v>
      </c>
      <c r="I824" s="260">
        <v>2000</v>
      </c>
      <c r="J824" s="260">
        <v>7229</v>
      </c>
      <c r="K824" s="618">
        <v>14458000</v>
      </c>
      <c r="L824" s="194" t="s">
        <v>274</v>
      </c>
      <c r="M824" s="194" t="s">
        <v>181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909"/>
      <c r="AB824" s="845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1007</v>
      </c>
      <c r="E825" s="184">
        <v>40723</v>
      </c>
      <c r="F825" s="192" t="s">
        <v>859</v>
      </c>
      <c r="G825" s="502" t="s">
        <v>944</v>
      </c>
      <c r="H825" s="210" t="s">
        <v>930</v>
      </c>
      <c r="I825" s="260"/>
      <c r="J825" s="260"/>
      <c r="K825" s="618">
        <v>1445800</v>
      </c>
      <c r="L825" s="194" t="s">
        <v>274</v>
      </c>
      <c r="M825" s="194" t="s">
        <v>754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909"/>
      <c r="AB825" s="845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1008</v>
      </c>
      <c r="E826" s="184">
        <v>40723</v>
      </c>
      <c r="F826" s="192" t="s">
        <v>966</v>
      </c>
      <c r="G826" s="502" t="s">
        <v>951</v>
      </c>
      <c r="H826" s="7" t="s">
        <v>757</v>
      </c>
      <c r="I826" s="260">
        <v>306</v>
      </c>
      <c r="J826" s="260">
        <v>14330</v>
      </c>
      <c r="K826" s="618">
        <v>4384980</v>
      </c>
      <c r="L826" s="194" t="s">
        <v>274</v>
      </c>
      <c r="M826" s="194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909"/>
      <c r="AB826" s="845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1008</v>
      </c>
      <c r="E827" s="184">
        <v>40723</v>
      </c>
      <c r="F827" s="192" t="s">
        <v>853</v>
      </c>
      <c r="G827" s="502" t="s">
        <v>951</v>
      </c>
      <c r="H827" s="7" t="s">
        <v>757</v>
      </c>
      <c r="I827" s="260">
        <v>391</v>
      </c>
      <c r="J827" s="260">
        <v>9760</v>
      </c>
      <c r="K827" s="618">
        <v>3816160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909"/>
      <c r="AB827" s="845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1008</v>
      </c>
      <c r="E828" s="184">
        <v>40723</v>
      </c>
      <c r="F828" s="192" t="s">
        <v>846</v>
      </c>
      <c r="G828" s="502" t="s">
        <v>951</v>
      </c>
      <c r="H828" s="7" t="s">
        <v>757</v>
      </c>
      <c r="I828" s="260">
        <v>297</v>
      </c>
      <c r="J828" s="260">
        <v>7500</v>
      </c>
      <c r="K828" s="618">
        <v>2227500</v>
      </c>
      <c r="L828" s="194" t="s">
        <v>274</v>
      </c>
      <c r="M828" s="194" t="s">
        <v>181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909"/>
      <c r="AB828" s="845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1008</v>
      </c>
      <c r="E829" s="184">
        <v>40723</v>
      </c>
      <c r="F829" s="192" t="s">
        <v>968</v>
      </c>
      <c r="G829" s="502" t="s">
        <v>951</v>
      </c>
      <c r="H829" s="7" t="s">
        <v>757</v>
      </c>
      <c r="I829" s="260">
        <v>101</v>
      </c>
      <c r="J829" s="260">
        <v>8800</v>
      </c>
      <c r="K829" s="618">
        <v>888800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909"/>
      <c r="AB829" s="845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1008</v>
      </c>
      <c r="E830" s="184">
        <v>40723</v>
      </c>
      <c r="F830" s="192" t="s">
        <v>967</v>
      </c>
      <c r="G830" s="502" t="s">
        <v>951</v>
      </c>
      <c r="H830" s="7" t="s">
        <v>757</v>
      </c>
      <c r="I830" s="260">
        <v>103</v>
      </c>
      <c r="J830" s="260">
        <v>7630</v>
      </c>
      <c r="K830" s="618">
        <v>785890</v>
      </c>
      <c r="L830" s="194" t="s">
        <v>274</v>
      </c>
      <c r="M830" s="194" t="s">
        <v>181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909"/>
      <c r="AB830" s="845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1008</v>
      </c>
      <c r="E831" s="184">
        <v>40723</v>
      </c>
      <c r="F831" s="192" t="s">
        <v>843</v>
      </c>
      <c r="G831" s="502" t="s">
        <v>951</v>
      </c>
      <c r="H831" s="7" t="s">
        <v>757</v>
      </c>
      <c r="I831" s="260">
        <v>109</v>
      </c>
      <c r="J831" s="260">
        <v>18940</v>
      </c>
      <c r="K831" s="618">
        <v>2064460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909"/>
      <c r="AB831" s="845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1008</v>
      </c>
      <c r="E832" s="184">
        <v>40723</v>
      </c>
      <c r="F832" s="192" t="s">
        <v>969</v>
      </c>
      <c r="G832" s="502" t="s">
        <v>951</v>
      </c>
      <c r="H832" s="7" t="s">
        <v>757</v>
      </c>
      <c r="I832" s="258">
        <v>104</v>
      </c>
      <c r="J832" s="258">
        <v>23100</v>
      </c>
      <c r="K832" s="618">
        <v>2402400</v>
      </c>
      <c r="L832" s="194" t="s">
        <v>274</v>
      </c>
      <c r="M832" s="194" t="s">
        <v>181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909"/>
      <c r="AB832" s="845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1008</v>
      </c>
      <c r="E833" s="184">
        <v>40723</v>
      </c>
      <c r="F833" s="192" t="s">
        <v>872</v>
      </c>
      <c r="G833" s="502" t="s">
        <v>951</v>
      </c>
      <c r="H833" s="7" t="s">
        <v>757</v>
      </c>
      <c r="I833" s="260"/>
      <c r="J833" s="260"/>
      <c r="K833" s="618">
        <v>1657019</v>
      </c>
      <c r="L833" s="194" t="s">
        <v>274</v>
      </c>
      <c r="M833" s="194" t="s">
        <v>754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909"/>
      <c r="AB833" s="845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998</v>
      </c>
      <c r="E834" s="184">
        <v>40723</v>
      </c>
      <c r="F834" s="189" t="s">
        <v>935</v>
      </c>
      <c r="G834" s="502" t="s">
        <v>416</v>
      </c>
      <c r="H834" s="7" t="s">
        <v>756</v>
      </c>
      <c r="I834" s="260">
        <v>17</v>
      </c>
      <c r="J834" s="260">
        <v>22124.823529411766</v>
      </c>
      <c r="K834" s="618">
        <f t="shared" ref="K834:K865" si="62">ROUND(I834*J834,0)</f>
        <v>376122</v>
      </c>
      <c r="L834" s="869" t="s">
        <v>179</v>
      </c>
      <c r="M834" s="869" t="s">
        <v>169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909"/>
      <c r="AB834" s="845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998</v>
      </c>
      <c r="E835" s="184">
        <v>40723</v>
      </c>
      <c r="F835" s="189" t="s">
        <v>919</v>
      </c>
      <c r="G835" s="502" t="s">
        <v>416</v>
      </c>
      <c r="H835" s="7" t="s">
        <v>756</v>
      </c>
      <c r="I835" s="260">
        <v>8</v>
      </c>
      <c r="J835" s="260">
        <v>25265.5</v>
      </c>
      <c r="K835" s="618">
        <f t="shared" si="62"/>
        <v>202124</v>
      </c>
      <c r="L835" s="869" t="s">
        <v>179</v>
      </c>
      <c r="M835" s="869" t="s">
        <v>169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909"/>
      <c r="AB835" s="845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998</v>
      </c>
      <c r="E836" s="184">
        <v>40723</v>
      </c>
      <c r="F836" s="189" t="s">
        <v>909</v>
      </c>
      <c r="G836" s="502" t="s">
        <v>416</v>
      </c>
      <c r="H836" s="7" t="s">
        <v>756</v>
      </c>
      <c r="I836" s="260">
        <v>38</v>
      </c>
      <c r="J836" s="260">
        <v>25265.5</v>
      </c>
      <c r="K836" s="618">
        <f t="shared" si="62"/>
        <v>960089</v>
      </c>
      <c r="L836" s="869" t="s">
        <v>179</v>
      </c>
      <c r="M836" s="869" t="s">
        <v>169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909"/>
      <c r="AB836" s="845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998</v>
      </c>
      <c r="E837" s="184">
        <v>40723</v>
      </c>
      <c r="F837" s="189" t="s">
        <v>936</v>
      </c>
      <c r="G837" s="502" t="s">
        <v>416</v>
      </c>
      <c r="H837" s="7" t="s">
        <v>756</v>
      </c>
      <c r="I837" s="260">
        <v>47</v>
      </c>
      <c r="J837" s="260">
        <v>19142.510638297874</v>
      </c>
      <c r="K837" s="618">
        <f t="shared" si="62"/>
        <v>899698</v>
      </c>
      <c r="L837" s="869" t="s">
        <v>179</v>
      </c>
      <c r="M837" s="869" t="s">
        <v>169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909"/>
      <c r="AB837" s="845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998</v>
      </c>
      <c r="E838" s="184">
        <v>40723</v>
      </c>
      <c r="F838" s="189" t="s">
        <v>937</v>
      </c>
      <c r="G838" s="502" t="s">
        <v>416</v>
      </c>
      <c r="H838" s="7" t="s">
        <v>756</v>
      </c>
      <c r="I838" s="260">
        <v>830</v>
      </c>
      <c r="J838" s="260">
        <v>13362.013253012048</v>
      </c>
      <c r="K838" s="618">
        <f t="shared" si="62"/>
        <v>11090471</v>
      </c>
      <c r="L838" s="869" t="s">
        <v>179</v>
      </c>
      <c r="M838" s="869" t="s">
        <v>169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909"/>
      <c r="AB838" s="845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998</v>
      </c>
      <c r="E839" s="184">
        <v>40723</v>
      </c>
      <c r="F839" s="189" t="s">
        <v>774</v>
      </c>
      <c r="G839" s="502" t="s">
        <v>416</v>
      </c>
      <c r="H839" s="7" t="s">
        <v>756</v>
      </c>
      <c r="I839" s="260">
        <v>738</v>
      </c>
      <c r="J839" s="260">
        <v>13362.012195121952</v>
      </c>
      <c r="K839" s="618">
        <f t="shared" si="62"/>
        <v>9861165</v>
      </c>
      <c r="L839" s="869" t="s">
        <v>179</v>
      </c>
      <c r="M839" s="869" t="s">
        <v>169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909"/>
      <c r="AB839" s="845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998</v>
      </c>
      <c r="E840" s="184">
        <v>40723</v>
      </c>
      <c r="F840" s="189" t="s">
        <v>778</v>
      </c>
      <c r="G840" s="502" t="s">
        <v>416</v>
      </c>
      <c r="H840" s="7" t="s">
        <v>756</v>
      </c>
      <c r="I840" s="260">
        <v>2</v>
      </c>
      <c r="J840" s="260">
        <v>9590.5</v>
      </c>
      <c r="K840" s="618">
        <f t="shared" si="62"/>
        <v>19181</v>
      </c>
      <c r="L840" s="869" t="s">
        <v>179</v>
      </c>
      <c r="M840" s="869" t="s">
        <v>169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909"/>
      <c r="AB840" s="845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998</v>
      </c>
      <c r="E841" s="184">
        <v>40723</v>
      </c>
      <c r="F841" s="189" t="s">
        <v>938</v>
      </c>
      <c r="G841" s="502" t="s">
        <v>416</v>
      </c>
      <c r="H841" s="7" t="s">
        <v>756</v>
      </c>
      <c r="I841" s="260">
        <v>2</v>
      </c>
      <c r="J841" s="260">
        <v>10554.5</v>
      </c>
      <c r="K841" s="618">
        <f t="shared" si="62"/>
        <v>21109</v>
      </c>
      <c r="L841" s="869" t="s">
        <v>179</v>
      </c>
      <c r="M841" s="869" t="s">
        <v>169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909"/>
      <c r="AB841" s="845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999</v>
      </c>
      <c r="E842" s="184">
        <v>40723</v>
      </c>
      <c r="F842" s="189" t="s">
        <v>938</v>
      </c>
      <c r="G842" s="502" t="s">
        <v>905</v>
      </c>
      <c r="H842" s="7" t="s">
        <v>756</v>
      </c>
      <c r="I842" s="260">
        <v>21</v>
      </c>
      <c r="J842" s="260">
        <v>17305.523809523809</v>
      </c>
      <c r="K842" s="618">
        <f t="shared" si="62"/>
        <v>363416</v>
      </c>
      <c r="L842" s="869" t="s">
        <v>179</v>
      </c>
      <c r="M842" s="869" t="s">
        <v>169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909"/>
      <c r="AB842" s="845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999</v>
      </c>
      <c r="E843" s="184">
        <v>40723</v>
      </c>
      <c r="F843" s="189" t="s">
        <v>945</v>
      </c>
      <c r="G843" s="502" t="s">
        <v>905</v>
      </c>
      <c r="H843" s="7" t="s">
        <v>756</v>
      </c>
      <c r="I843" s="260">
        <v>33</v>
      </c>
      <c r="J843" s="260">
        <v>17305.515151515152</v>
      </c>
      <c r="K843" s="618">
        <f t="shared" si="62"/>
        <v>571082</v>
      </c>
      <c r="L843" s="869" t="s">
        <v>179</v>
      </c>
      <c r="M843" s="869" t="s">
        <v>169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909"/>
      <c r="AB843" s="845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999</v>
      </c>
      <c r="E844" s="184">
        <v>40723</v>
      </c>
      <c r="F844" s="189" t="s">
        <v>765</v>
      </c>
      <c r="G844" s="502" t="s">
        <v>905</v>
      </c>
      <c r="H844" s="7" t="s">
        <v>756</v>
      </c>
      <c r="I844" s="260">
        <v>390</v>
      </c>
      <c r="J844" s="260">
        <v>18233.102564102563</v>
      </c>
      <c r="K844" s="618">
        <f t="shared" si="62"/>
        <v>7110910</v>
      </c>
      <c r="L844" s="869" t="s">
        <v>179</v>
      </c>
      <c r="M844" s="869" t="s">
        <v>169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909"/>
      <c r="AB844" s="845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999</v>
      </c>
      <c r="E845" s="184">
        <v>40723</v>
      </c>
      <c r="F845" s="189" t="s">
        <v>769</v>
      </c>
      <c r="G845" s="502" t="s">
        <v>905</v>
      </c>
      <c r="H845" s="7" t="s">
        <v>756</v>
      </c>
      <c r="I845" s="260">
        <v>482</v>
      </c>
      <c r="J845" s="260">
        <v>8566.5124481327803</v>
      </c>
      <c r="K845" s="618">
        <f t="shared" si="62"/>
        <v>4129059</v>
      </c>
      <c r="L845" s="869" t="s">
        <v>179</v>
      </c>
      <c r="M845" s="869" t="s">
        <v>169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909"/>
      <c r="AB845" s="845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999</v>
      </c>
      <c r="E846" s="184">
        <v>40723</v>
      </c>
      <c r="F846" s="189" t="s">
        <v>938</v>
      </c>
      <c r="G846" s="502" t="s">
        <v>905</v>
      </c>
      <c r="H846" s="7" t="s">
        <v>756</v>
      </c>
      <c r="I846" s="260">
        <v>56</v>
      </c>
      <c r="J846" s="260">
        <v>15438.517857142857</v>
      </c>
      <c r="K846" s="618">
        <f t="shared" si="62"/>
        <v>864557</v>
      </c>
      <c r="L846" s="869" t="s">
        <v>179</v>
      </c>
      <c r="M846" s="869" t="s">
        <v>169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909"/>
      <c r="AB846" s="845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999</v>
      </c>
      <c r="E847" s="184">
        <v>40723</v>
      </c>
      <c r="F847" s="192" t="s">
        <v>946</v>
      </c>
      <c r="G847" s="502" t="s">
        <v>905</v>
      </c>
      <c r="H847" s="7" t="s">
        <v>756</v>
      </c>
      <c r="I847" s="260">
        <v>203</v>
      </c>
      <c r="J847" s="260">
        <v>7385.5123152709357</v>
      </c>
      <c r="K847" s="618">
        <f t="shared" si="62"/>
        <v>1499259</v>
      </c>
      <c r="L847" s="869" t="s">
        <v>179</v>
      </c>
      <c r="M847" s="869" t="s">
        <v>169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909"/>
      <c r="AB847" s="845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999</v>
      </c>
      <c r="E848" s="184">
        <v>40723</v>
      </c>
      <c r="F848" s="189" t="s">
        <v>947</v>
      </c>
      <c r="G848" s="502" t="s">
        <v>905</v>
      </c>
      <c r="H848" s="7" t="s">
        <v>756</v>
      </c>
      <c r="I848" s="260">
        <v>1</v>
      </c>
      <c r="J848" s="260">
        <v>5809</v>
      </c>
      <c r="K848" s="618">
        <f t="shared" si="62"/>
        <v>5809</v>
      </c>
      <c r="L848" s="869" t="s">
        <v>179</v>
      </c>
      <c r="M848" s="869" t="s">
        <v>169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909"/>
      <c r="AB848" s="845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999</v>
      </c>
      <c r="E849" s="184">
        <v>40723</v>
      </c>
      <c r="F849" s="189" t="s">
        <v>771</v>
      </c>
      <c r="G849" s="502" t="s">
        <v>905</v>
      </c>
      <c r="H849" s="7" t="s">
        <v>756</v>
      </c>
      <c r="I849" s="260">
        <v>1</v>
      </c>
      <c r="J849" s="260">
        <v>9591</v>
      </c>
      <c r="K849" s="618">
        <f t="shared" si="62"/>
        <v>9591</v>
      </c>
      <c r="L849" s="869" t="s">
        <v>179</v>
      </c>
      <c r="M849" s="869" t="s">
        <v>169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909"/>
      <c r="AB849" s="845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1000</v>
      </c>
      <c r="E850" s="184">
        <v>40723</v>
      </c>
      <c r="F850" s="189" t="s">
        <v>948</v>
      </c>
      <c r="G850" s="502" t="s">
        <v>912</v>
      </c>
      <c r="H850" s="7" t="s">
        <v>756</v>
      </c>
      <c r="I850" s="260">
        <v>2</v>
      </c>
      <c r="J850" s="260">
        <v>5951.5</v>
      </c>
      <c r="K850" s="618">
        <f t="shared" si="62"/>
        <v>11903</v>
      </c>
      <c r="L850" s="869" t="s">
        <v>179</v>
      </c>
      <c r="M850" s="869" t="s">
        <v>169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909"/>
      <c r="AB850" s="845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1000</v>
      </c>
      <c r="E851" s="184">
        <v>40723</v>
      </c>
      <c r="F851" s="189" t="s">
        <v>782</v>
      </c>
      <c r="G851" s="502" t="s">
        <v>912</v>
      </c>
      <c r="H851" s="7" t="s">
        <v>756</v>
      </c>
      <c r="I851" s="260">
        <v>1</v>
      </c>
      <c r="J851" s="260">
        <v>14807</v>
      </c>
      <c r="K851" s="618">
        <f t="shared" si="62"/>
        <v>14807</v>
      </c>
      <c r="L851" s="869" t="s">
        <v>179</v>
      </c>
      <c r="M851" s="869" t="s">
        <v>169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909"/>
      <c r="AB851" s="845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1000</v>
      </c>
      <c r="E852" s="184">
        <v>40723</v>
      </c>
      <c r="F852" s="189" t="s">
        <v>949</v>
      </c>
      <c r="G852" s="502" t="s">
        <v>912</v>
      </c>
      <c r="H852" s="7" t="s">
        <v>756</v>
      </c>
      <c r="I852" s="260">
        <v>9</v>
      </c>
      <c r="J852" s="260">
        <v>14806.555555555555</v>
      </c>
      <c r="K852" s="618">
        <f t="shared" si="62"/>
        <v>133259</v>
      </c>
      <c r="L852" s="869" t="s">
        <v>179</v>
      </c>
      <c r="M852" s="869" t="s">
        <v>169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909"/>
      <c r="AB852" s="845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1000</v>
      </c>
      <c r="E853" s="184">
        <v>40723</v>
      </c>
      <c r="F853" s="192" t="s">
        <v>950</v>
      </c>
      <c r="G853" s="502" t="s">
        <v>912</v>
      </c>
      <c r="H853" s="7" t="s">
        <v>756</v>
      </c>
      <c r="I853" s="260">
        <v>291</v>
      </c>
      <c r="J853" s="260">
        <v>7483.5120274914088</v>
      </c>
      <c r="K853" s="618">
        <f t="shared" si="62"/>
        <v>2177702</v>
      </c>
      <c r="L853" s="869" t="s">
        <v>179</v>
      </c>
      <c r="M853" s="869" t="s">
        <v>169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909"/>
      <c r="AB853" s="845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1000</v>
      </c>
      <c r="E854" s="184">
        <v>40723</v>
      </c>
      <c r="F854" s="189" t="s">
        <v>938</v>
      </c>
      <c r="G854" s="502" t="s">
        <v>912</v>
      </c>
      <c r="H854" s="7" t="s">
        <v>756</v>
      </c>
      <c r="I854" s="260">
        <v>1</v>
      </c>
      <c r="J854" s="260">
        <v>7484</v>
      </c>
      <c r="K854" s="618">
        <f t="shared" si="62"/>
        <v>7484</v>
      </c>
      <c r="L854" s="869" t="s">
        <v>179</v>
      </c>
      <c r="M854" s="869" t="s">
        <v>169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909"/>
      <c r="AB854" s="845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1000</v>
      </c>
      <c r="E855" s="184">
        <v>40723</v>
      </c>
      <c r="F855" s="189" t="s">
        <v>764</v>
      </c>
      <c r="G855" s="502" t="s">
        <v>912</v>
      </c>
      <c r="H855" s="7" t="s">
        <v>756</v>
      </c>
      <c r="I855" s="260">
        <v>119</v>
      </c>
      <c r="J855" s="260">
        <v>17439.512605042019</v>
      </c>
      <c r="K855" s="618">
        <f t="shared" si="62"/>
        <v>2075302</v>
      </c>
      <c r="L855" s="869" t="s">
        <v>179</v>
      </c>
      <c r="M855" s="869" t="s">
        <v>169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909"/>
      <c r="AB855" s="845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1000</v>
      </c>
      <c r="E856" s="184">
        <v>40723</v>
      </c>
      <c r="F856" s="189" t="s">
        <v>928</v>
      </c>
      <c r="G856" s="502" t="s">
        <v>912</v>
      </c>
      <c r="H856" s="7" t="s">
        <v>756</v>
      </c>
      <c r="I856" s="260">
        <v>304</v>
      </c>
      <c r="J856" s="260">
        <v>12545.513157894737</v>
      </c>
      <c r="K856" s="618">
        <f t="shared" si="62"/>
        <v>3813836</v>
      </c>
      <c r="L856" s="869" t="s">
        <v>179</v>
      </c>
      <c r="M856" s="869" t="s">
        <v>169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909"/>
      <c r="AB856" s="845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1000</v>
      </c>
      <c r="E857" s="184">
        <v>40723</v>
      </c>
      <c r="F857" s="189" t="s">
        <v>927</v>
      </c>
      <c r="G857" s="502" t="s">
        <v>912</v>
      </c>
      <c r="H857" s="7" t="s">
        <v>756</v>
      </c>
      <c r="I857" s="260">
        <v>65</v>
      </c>
      <c r="J857" s="260">
        <v>8499.5076923076922</v>
      </c>
      <c r="K857" s="618">
        <f t="shared" si="62"/>
        <v>552468</v>
      </c>
      <c r="L857" s="869" t="s">
        <v>179</v>
      </c>
      <c r="M857" s="869" t="s">
        <v>169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909"/>
      <c r="AB857" s="845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1001</v>
      </c>
      <c r="E858" s="184">
        <v>40723</v>
      </c>
      <c r="F858" s="189" t="s">
        <v>949</v>
      </c>
      <c r="G858" s="502" t="s">
        <v>918</v>
      </c>
      <c r="H858" s="7" t="s">
        <v>756</v>
      </c>
      <c r="I858" s="260">
        <v>32</v>
      </c>
      <c r="J858" s="260">
        <v>14806.5</v>
      </c>
      <c r="K858" s="618">
        <f t="shared" si="62"/>
        <v>473808</v>
      </c>
      <c r="L858" s="869" t="s">
        <v>179</v>
      </c>
      <c r="M858" s="869" t="s">
        <v>169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909"/>
      <c r="AB858" s="845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1001</v>
      </c>
      <c r="E859" s="184">
        <v>40723</v>
      </c>
      <c r="F859" s="189" t="s">
        <v>773</v>
      </c>
      <c r="G859" s="502" t="s">
        <v>918</v>
      </c>
      <c r="H859" s="7" t="s">
        <v>756</v>
      </c>
      <c r="I859" s="260">
        <v>5</v>
      </c>
      <c r="J859" s="260">
        <v>15586</v>
      </c>
      <c r="K859" s="618">
        <f t="shared" si="62"/>
        <v>77930</v>
      </c>
      <c r="L859" s="869" t="s">
        <v>179</v>
      </c>
      <c r="M859" s="869" t="s">
        <v>169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909"/>
      <c r="AB859" s="845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1001</v>
      </c>
      <c r="E860" s="184">
        <v>40723</v>
      </c>
      <c r="F860" s="189" t="s">
        <v>937</v>
      </c>
      <c r="G860" s="502" t="s">
        <v>918</v>
      </c>
      <c r="H860" s="7" t="s">
        <v>756</v>
      </c>
      <c r="I860" s="260">
        <v>80</v>
      </c>
      <c r="J860" s="260">
        <v>13362.012500000001</v>
      </c>
      <c r="K860" s="618">
        <f t="shared" si="62"/>
        <v>1068961</v>
      </c>
      <c r="L860" s="869" t="s">
        <v>179</v>
      </c>
      <c r="M860" s="869" t="s">
        <v>169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909"/>
      <c r="AB860" s="845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1001</v>
      </c>
      <c r="E861" s="184">
        <v>40723</v>
      </c>
      <c r="F861" s="189" t="s">
        <v>769</v>
      </c>
      <c r="G861" s="502" t="s">
        <v>918</v>
      </c>
      <c r="H861" s="7" t="s">
        <v>756</v>
      </c>
      <c r="I861" s="260">
        <v>49</v>
      </c>
      <c r="J861" s="260">
        <v>8499.5102040816328</v>
      </c>
      <c r="K861" s="618">
        <f t="shared" si="62"/>
        <v>416476</v>
      </c>
      <c r="L861" s="869" t="s">
        <v>179</v>
      </c>
      <c r="M861" s="869" t="s">
        <v>169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909"/>
      <c r="AB861" s="845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1001</v>
      </c>
      <c r="E862" s="184">
        <v>40723</v>
      </c>
      <c r="F862" s="189" t="s">
        <v>781</v>
      </c>
      <c r="G862" s="502" t="s">
        <v>918</v>
      </c>
      <c r="H862" s="7" t="s">
        <v>756</v>
      </c>
      <c r="I862" s="260">
        <v>2</v>
      </c>
      <c r="J862" s="260">
        <v>5951.5</v>
      </c>
      <c r="K862" s="618">
        <f t="shared" si="62"/>
        <v>11903</v>
      </c>
      <c r="L862" s="869" t="s">
        <v>179</v>
      </c>
      <c r="M862" s="869" t="s">
        <v>169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909"/>
      <c r="AB862" s="845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1001</v>
      </c>
      <c r="E863" s="184">
        <v>40723</v>
      </c>
      <c r="F863" s="189" t="s">
        <v>952</v>
      </c>
      <c r="G863" s="502" t="s">
        <v>918</v>
      </c>
      <c r="H863" s="7" t="s">
        <v>756</v>
      </c>
      <c r="I863" s="260">
        <v>2</v>
      </c>
      <c r="J863" s="260">
        <v>9590.5</v>
      </c>
      <c r="K863" s="618">
        <f t="shared" si="62"/>
        <v>19181</v>
      </c>
      <c r="L863" s="869" t="s">
        <v>179</v>
      </c>
      <c r="M863" s="869" t="s">
        <v>169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909"/>
      <c r="AB863" s="845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1001</v>
      </c>
      <c r="E864" s="184">
        <v>40723</v>
      </c>
      <c r="F864" s="192" t="s">
        <v>950</v>
      </c>
      <c r="G864" s="502" t="s">
        <v>918</v>
      </c>
      <c r="H864" s="7" t="s">
        <v>756</v>
      </c>
      <c r="I864" s="260">
        <v>5</v>
      </c>
      <c r="J864" s="260">
        <v>7483.6</v>
      </c>
      <c r="K864" s="618">
        <f t="shared" si="62"/>
        <v>37418</v>
      </c>
      <c r="L864" s="869" t="s">
        <v>179</v>
      </c>
      <c r="M864" s="869" t="s">
        <v>169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909"/>
      <c r="AB864" s="845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1001</v>
      </c>
      <c r="E865" s="184">
        <v>40723</v>
      </c>
      <c r="F865" s="189" t="s">
        <v>778</v>
      </c>
      <c r="G865" s="502" t="s">
        <v>918</v>
      </c>
      <c r="H865" s="7" t="s">
        <v>756</v>
      </c>
      <c r="I865" s="260">
        <v>1</v>
      </c>
      <c r="J865" s="260">
        <v>9591</v>
      </c>
      <c r="K865" s="618">
        <f t="shared" si="62"/>
        <v>9591</v>
      </c>
      <c r="L865" s="869" t="s">
        <v>179</v>
      </c>
      <c r="M865" s="869" t="s">
        <v>169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909"/>
      <c r="AB865" s="845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1002</v>
      </c>
      <c r="E866" s="184">
        <v>40723</v>
      </c>
      <c r="F866" s="189" t="s">
        <v>780</v>
      </c>
      <c r="G866" s="502" t="s">
        <v>939</v>
      </c>
      <c r="H866" s="7" t="s">
        <v>756</v>
      </c>
      <c r="I866" s="260">
        <v>1</v>
      </c>
      <c r="J866" s="260">
        <v>5809</v>
      </c>
      <c r="K866" s="618">
        <f t="shared" ref="K866:K897" si="64">ROUND(I866*J866,0)</f>
        <v>5809</v>
      </c>
      <c r="L866" s="869" t="s">
        <v>179</v>
      </c>
      <c r="M866" s="869" t="s">
        <v>169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909"/>
      <c r="AB866" s="845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1002</v>
      </c>
      <c r="E867" s="184">
        <v>40723</v>
      </c>
      <c r="F867" s="189" t="s">
        <v>776</v>
      </c>
      <c r="G867" s="502" t="s">
        <v>939</v>
      </c>
      <c r="H867" s="7" t="s">
        <v>756</v>
      </c>
      <c r="I867" s="260">
        <v>3</v>
      </c>
      <c r="J867" s="260">
        <v>15438.666666666666</v>
      </c>
      <c r="K867" s="618">
        <f t="shared" si="64"/>
        <v>46316</v>
      </c>
      <c r="L867" s="869" t="s">
        <v>179</v>
      </c>
      <c r="M867" s="869" t="s">
        <v>169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909"/>
      <c r="AB867" s="845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1002</v>
      </c>
      <c r="E868" s="184">
        <v>40723</v>
      </c>
      <c r="F868" s="189" t="s">
        <v>770</v>
      </c>
      <c r="G868" s="502" t="s">
        <v>939</v>
      </c>
      <c r="H868" s="7" t="s">
        <v>756</v>
      </c>
      <c r="I868" s="260">
        <v>2</v>
      </c>
      <c r="J868" s="260">
        <v>9590.5</v>
      </c>
      <c r="K868" s="618">
        <f t="shared" si="64"/>
        <v>19181</v>
      </c>
      <c r="L868" s="869" t="s">
        <v>179</v>
      </c>
      <c r="M868" s="869" t="s">
        <v>169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909"/>
      <c r="AB868" s="845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1002</v>
      </c>
      <c r="E869" s="184">
        <v>40723</v>
      </c>
      <c r="F869" s="192" t="s">
        <v>946</v>
      </c>
      <c r="G869" s="502" t="s">
        <v>939</v>
      </c>
      <c r="H869" s="7" t="s">
        <v>756</v>
      </c>
      <c r="I869" s="260">
        <v>8</v>
      </c>
      <c r="J869" s="260">
        <v>7385.5</v>
      </c>
      <c r="K869" s="618">
        <f t="shared" si="64"/>
        <v>59084</v>
      </c>
      <c r="L869" s="869" t="s">
        <v>179</v>
      </c>
      <c r="M869" s="869" t="s">
        <v>169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909"/>
      <c r="AB869" s="845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1002</v>
      </c>
      <c r="E870" s="184">
        <v>40723</v>
      </c>
      <c r="F870" s="189" t="s">
        <v>768</v>
      </c>
      <c r="G870" s="502" t="s">
        <v>939</v>
      </c>
      <c r="H870" s="7" t="s">
        <v>756</v>
      </c>
      <c r="I870" s="260">
        <v>1</v>
      </c>
      <c r="J870" s="260">
        <v>7484</v>
      </c>
      <c r="K870" s="618">
        <f t="shared" si="64"/>
        <v>7484</v>
      </c>
      <c r="L870" s="869" t="s">
        <v>179</v>
      </c>
      <c r="M870" s="869" t="s">
        <v>169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909"/>
      <c r="AB870" s="845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1002</v>
      </c>
      <c r="E871" s="184">
        <v>40723</v>
      </c>
      <c r="F871" s="189" t="s">
        <v>771</v>
      </c>
      <c r="G871" s="502" t="s">
        <v>939</v>
      </c>
      <c r="H871" s="7" t="s">
        <v>756</v>
      </c>
      <c r="I871" s="260">
        <v>1</v>
      </c>
      <c r="J871" s="260">
        <v>9591</v>
      </c>
      <c r="K871" s="618">
        <f t="shared" si="64"/>
        <v>9591</v>
      </c>
      <c r="L871" s="869" t="s">
        <v>179</v>
      </c>
      <c r="M871" s="869" t="s">
        <v>169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909"/>
      <c r="AB871" s="845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1002</v>
      </c>
      <c r="E872" s="184">
        <v>40723</v>
      </c>
      <c r="F872" s="189" t="s">
        <v>772</v>
      </c>
      <c r="G872" s="502" t="s">
        <v>939</v>
      </c>
      <c r="H872" s="7" t="s">
        <v>756</v>
      </c>
      <c r="I872" s="260">
        <v>4</v>
      </c>
      <c r="J872" s="260">
        <v>10554.5</v>
      </c>
      <c r="K872" s="618">
        <f t="shared" si="64"/>
        <v>42218</v>
      </c>
      <c r="L872" s="869" t="s">
        <v>179</v>
      </c>
      <c r="M872" s="869" t="s">
        <v>169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909"/>
      <c r="AB872" s="845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1002</v>
      </c>
      <c r="E873" s="184">
        <v>40723</v>
      </c>
      <c r="F873" s="189" t="s">
        <v>777</v>
      </c>
      <c r="G873" s="502" t="s">
        <v>939</v>
      </c>
      <c r="H873" s="7" t="s">
        <v>756</v>
      </c>
      <c r="I873" s="260">
        <v>1</v>
      </c>
      <c r="J873" s="260">
        <v>9591</v>
      </c>
      <c r="K873" s="618">
        <f t="shared" si="64"/>
        <v>9591</v>
      </c>
      <c r="L873" s="869" t="s">
        <v>179</v>
      </c>
      <c r="M873" s="869" t="s">
        <v>169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909"/>
      <c r="AB873" s="845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1003</v>
      </c>
      <c r="E874" s="184">
        <v>40723</v>
      </c>
      <c r="F874" s="189" t="s">
        <v>954</v>
      </c>
      <c r="G874" s="502" t="s">
        <v>940</v>
      </c>
      <c r="H874" s="7" t="s">
        <v>756</v>
      </c>
      <c r="I874" s="260">
        <v>2</v>
      </c>
      <c r="J874" s="260">
        <v>5808.5</v>
      </c>
      <c r="K874" s="618">
        <f t="shared" si="64"/>
        <v>11617</v>
      </c>
      <c r="L874" s="869" t="s">
        <v>179</v>
      </c>
      <c r="M874" s="869" t="s">
        <v>169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909"/>
      <c r="AB874" s="845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1003</v>
      </c>
      <c r="E875" s="184">
        <v>40723</v>
      </c>
      <c r="F875" s="189" t="s">
        <v>955</v>
      </c>
      <c r="G875" s="502" t="s">
        <v>940</v>
      </c>
      <c r="H875" s="7" t="s">
        <v>756</v>
      </c>
      <c r="I875" s="260">
        <v>2</v>
      </c>
      <c r="J875" s="260">
        <v>10554.5</v>
      </c>
      <c r="K875" s="618">
        <f t="shared" si="64"/>
        <v>21109</v>
      </c>
      <c r="L875" s="869" t="s">
        <v>179</v>
      </c>
      <c r="M875" s="869" t="s">
        <v>169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909"/>
      <c r="AB875" s="845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1003</v>
      </c>
      <c r="E876" s="184">
        <v>40723</v>
      </c>
      <c r="F876" s="189" t="s">
        <v>767</v>
      </c>
      <c r="G876" s="502" t="s">
        <v>940</v>
      </c>
      <c r="H876" s="7" t="s">
        <v>756</v>
      </c>
      <c r="I876" s="260">
        <v>37</v>
      </c>
      <c r="J876" s="260">
        <v>13362</v>
      </c>
      <c r="K876" s="618">
        <f t="shared" si="64"/>
        <v>494394</v>
      </c>
      <c r="L876" s="869" t="s">
        <v>179</v>
      </c>
      <c r="M876" s="869" t="s">
        <v>169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909"/>
      <c r="AB876" s="845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1003</v>
      </c>
      <c r="E877" s="184">
        <v>40723</v>
      </c>
      <c r="F877" s="189" t="s">
        <v>956</v>
      </c>
      <c r="G877" s="502" t="s">
        <v>940</v>
      </c>
      <c r="H877" s="7" t="s">
        <v>756</v>
      </c>
      <c r="I877" s="260">
        <v>897</v>
      </c>
      <c r="J877" s="260">
        <v>9361.1794871794864</v>
      </c>
      <c r="K877" s="618">
        <f t="shared" si="64"/>
        <v>8396978</v>
      </c>
      <c r="L877" s="869" t="s">
        <v>179</v>
      </c>
      <c r="M877" s="869" t="s">
        <v>169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909"/>
      <c r="AB877" s="845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1003</v>
      </c>
      <c r="E878" s="184">
        <v>40723</v>
      </c>
      <c r="F878" s="189" t="s">
        <v>953</v>
      </c>
      <c r="G878" s="502" t="s">
        <v>940</v>
      </c>
      <c r="H878" s="7" t="s">
        <v>756</v>
      </c>
      <c r="I878" s="260">
        <v>917</v>
      </c>
      <c r="J878" s="260">
        <v>2523.9182115594331</v>
      </c>
      <c r="K878" s="618">
        <f t="shared" si="64"/>
        <v>2314433</v>
      </c>
      <c r="L878" s="869" t="s">
        <v>179</v>
      </c>
      <c r="M878" s="869" t="s">
        <v>169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909"/>
      <c r="AB878" s="845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1003</v>
      </c>
      <c r="E879" s="184">
        <v>40723</v>
      </c>
      <c r="F879" s="189" t="s">
        <v>957</v>
      </c>
      <c r="G879" s="502" t="s">
        <v>940</v>
      </c>
      <c r="H879" s="7" t="s">
        <v>756</v>
      </c>
      <c r="I879" s="260">
        <v>169</v>
      </c>
      <c r="J879" s="260">
        <v>7385.5147928994083</v>
      </c>
      <c r="K879" s="618">
        <f t="shared" si="64"/>
        <v>1248152</v>
      </c>
      <c r="L879" s="869" t="s">
        <v>179</v>
      </c>
      <c r="M879" s="869" t="s">
        <v>169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909"/>
      <c r="AB879" s="845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1003</v>
      </c>
      <c r="E880" s="184">
        <v>40723</v>
      </c>
      <c r="F880" s="189" t="s">
        <v>953</v>
      </c>
      <c r="G880" s="502" t="s">
        <v>940</v>
      </c>
      <c r="H880" s="7" t="s">
        <v>756</v>
      </c>
      <c r="I880" s="260">
        <v>170</v>
      </c>
      <c r="J880" s="260">
        <v>2471.7647058823532</v>
      </c>
      <c r="K880" s="618">
        <f t="shared" si="64"/>
        <v>420200</v>
      </c>
      <c r="L880" s="869" t="s">
        <v>179</v>
      </c>
      <c r="M880" s="869" t="s">
        <v>169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909"/>
      <c r="AB880" s="845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1003</v>
      </c>
      <c r="E881" s="184">
        <v>40723</v>
      </c>
      <c r="F881" s="189" t="s">
        <v>765</v>
      </c>
      <c r="G881" s="502" t="s">
        <v>940</v>
      </c>
      <c r="H881" s="7" t="s">
        <v>756</v>
      </c>
      <c r="I881" s="260">
        <v>442</v>
      </c>
      <c r="J881" s="260">
        <v>18786.513574660632</v>
      </c>
      <c r="K881" s="618">
        <f t="shared" si="64"/>
        <v>8303639</v>
      </c>
      <c r="L881" s="869" t="s">
        <v>179</v>
      </c>
      <c r="M881" s="869" t="s">
        <v>169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909"/>
      <c r="AB881" s="845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1004</v>
      </c>
      <c r="E882" s="184">
        <v>40723</v>
      </c>
      <c r="F882" s="189" t="s">
        <v>958</v>
      </c>
      <c r="G882" s="502" t="s">
        <v>941</v>
      </c>
      <c r="H882" s="7" t="s">
        <v>756</v>
      </c>
      <c r="I882" s="260">
        <v>36</v>
      </c>
      <c r="J882" s="260">
        <v>17039.5</v>
      </c>
      <c r="K882" s="618">
        <f t="shared" si="64"/>
        <v>613422</v>
      </c>
      <c r="L882" s="869" t="s">
        <v>179</v>
      </c>
      <c r="M882" s="869" t="s">
        <v>169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909"/>
      <c r="AB882" s="845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1004</v>
      </c>
      <c r="E883" s="184">
        <v>40723</v>
      </c>
      <c r="F883" s="189" t="s">
        <v>953</v>
      </c>
      <c r="G883" s="502" t="s">
        <v>941</v>
      </c>
      <c r="H883" s="7" t="s">
        <v>756</v>
      </c>
      <c r="I883" s="260">
        <v>90</v>
      </c>
      <c r="J883" s="260">
        <v>2471.7666666666669</v>
      </c>
      <c r="K883" s="618">
        <f t="shared" si="64"/>
        <v>222459</v>
      </c>
      <c r="L883" s="869" t="s">
        <v>179</v>
      </c>
      <c r="M883" s="869" t="s">
        <v>169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909"/>
      <c r="AB883" s="845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1004</v>
      </c>
      <c r="E884" s="184">
        <v>40723</v>
      </c>
      <c r="F884" s="189" t="s">
        <v>953</v>
      </c>
      <c r="G884" s="502" t="s">
        <v>941</v>
      </c>
      <c r="H884" s="7" t="s">
        <v>756</v>
      </c>
      <c r="I884" s="260">
        <v>164</v>
      </c>
      <c r="J884" s="260">
        <v>2471.7621951219512</v>
      </c>
      <c r="K884" s="618">
        <f t="shared" si="64"/>
        <v>405369</v>
      </c>
      <c r="L884" s="869" t="s">
        <v>179</v>
      </c>
      <c r="M884" s="869" t="s">
        <v>169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909"/>
      <c r="AB884" s="845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1004</v>
      </c>
      <c r="E885" s="184">
        <v>40723</v>
      </c>
      <c r="F885" s="189" t="s">
        <v>766</v>
      </c>
      <c r="G885" s="502" t="s">
        <v>941</v>
      </c>
      <c r="H885" s="7" t="s">
        <v>756</v>
      </c>
      <c r="I885" s="260">
        <v>639</v>
      </c>
      <c r="J885" s="260">
        <v>18443.433489827858</v>
      </c>
      <c r="K885" s="618">
        <f t="shared" si="64"/>
        <v>11785354</v>
      </c>
      <c r="L885" s="869" t="s">
        <v>179</v>
      </c>
      <c r="M885" s="869" t="s">
        <v>169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909"/>
      <c r="AB885" s="845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1004</v>
      </c>
      <c r="E886" s="184">
        <v>40723</v>
      </c>
      <c r="F886" s="189" t="s">
        <v>953</v>
      </c>
      <c r="G886" s="502" t="s">
        <v>941</v>
      </c>
      <c r="H886" s="7" t="s">
        <v>756</v>
      </c>
      <c r="I886" s="260">
        <v>210</v>
      </c>
      <c r="J886" s="260">
        <v>5808.5142857142855</v>
      </c>
      <c r="K886" s="618">
        <f t="shared" si="64"/>
        <v>1219788</v>
      </c>
      <c r="L886" s="869" t="s">
        <v>179</v>
      </c>
      <c r="M886" s="869" t="s">
        <v>169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909"/>
      <c r="AB886" s="845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1004</v>
      </c>
      <c r="E887" s="184">
        <v>40723</v>
      </c>
      <c r="F887" s="189" t="s">
        <v>953</v>
      </c>
      <c r="G887" s="502" t="s">
        <v>941</v>
      </c>
      <c r="H887" s="7" t="s">
        <v>756</v>
      </c>
      <c r="I887" s="260">
        <v>422</v>
      </c>
      <c r="J887" s="260">
        <v>3584.0118483412321</v>
      </c>
      <c r="K887" s="618">
        <f t="shared" si="64"/>
        <v>1512453</v>
      </c>
      <c r="L887" s="869" t="s">
        <v>179</v>
      </c>
      <c r="M887" s="869" t="s">
        <v>169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909"/>
      <c r="AB887" s="845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1004</v>
      </c>
      <c r="E888" s="184">
        <v>40723</v>
      </c>
      <c r="F888" s="189" t="s">
        <v>764</v>
      </c>
      <c r="G888" s="502" t="s">
        <v>941</v>
      </c>
      <c r="H888" s="7" t="s">
        <v>756</v>
      </c>
      <c r="I888" s="260">
        <v>209</v>
      </c>
      <c r="J888" s="260">
        <v>17381.808612440193</v>
      </c>
      <c r="K888" s="618">
        <f t="shared" si="64"/>
        <v>3632798</v>
      </c>
      <c r="L888" s="869" t="s">
        <v>179</v>
      </c>
      <c r="M888" s="869" t="s">
        <v>169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909"/>
      <c r="AB888" s="845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1004</v>
      </c>
      <c r="E889" s="184">
        <v>40723</v>
      </c>
      <c r="F889" s="189" t="s">
        <v>959</v>
      </c>
      <c r="G889" s="502" t="s">
        <v>941</v>
      </c>
      <c r="H889" s="7" t="s">
        <v>756</v>
      </c>
      <c r="I889" s="260">
        <v>55</v>
      </c>
      <c r="J889" s="260">
        <v>17595.436363636363</v>
      </c>
      <c r="K889" s="618">
        <f t="shared" si="64"/>
        <v>967749</v>
      </c>
      <c r="L889" s="869" t="s">
        <v>179</v>
      </c>
      <c r="M889" s="869" t="s">
        <v>169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909"/>
      <c r="AB889" s="845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1005</v>
      </c>
      <c r="E890" s="184">
        <v>40723</v>
      </c>
      <c r="F890" s="189" t="s">
        <v>960</v>
      </c>
      <c r="G890" s="502" t="s">
        <v>942</v>
      </c>
      <c r="H890" s="7" t="s">
        <v>756</v>
      </c>
      <c r="I890" s="260">
        <v>40</v>
      </c>
      <c r="J890" s="260">
        <v>13362.025</v>
      </c>
      <c r="K890" s="618">
        <f t="shared" si="64"/>
        <v>534481</v>
      </c>
      <c r="L890" s="869" t="s">
        <v>179</v>
      </c>
      <c r="M890" s="869" t="s">
        <v>169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909"/>
      <c r="AB890" s="845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1005</v>
      </c>
      <c r="E891" s="184">
        <v>40723</v>
      </c>
      <c r="F891" s="189" t="s">
        <v>928</v>
      </c>
      <c r="G891" s="502" t="s">
        <v>942</v>
      </c>
      <c r="H891" s="7" t="s">
        <v>756</v>
      </c>
      <c r="I891" s="260">
        <v>2</v>
      </c>
      <c r="J891" s="260">
        <v>8566.5</v>
      </c>
      <c r="K891" s="618">
        <f t="shared" si="64"/>
        <v>17133</v>
      </c>
      <c r="L891" s="869" t="s">
        <v>179</v>
      </c>
      <c r="M891" s="869" t="s">
        <v>169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909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1005</v>
      </c>
      <c r="E892" s="184">
        <v>40723</v>
      </c>
      <c r="F892" s="189" t="s">
        <v>961</v>
      </c>
      <c r="G892" s="502" t="s">
        <v>942</v>
      </c>
      <c r="H892" s="7" t="s">
        <v>756</v>
      </c>
      <c r="I892" s="260">
        <v>207</v>
      </c>
      <c r="J892" s="260">
        <v>23151.830917874395</v>
      </c>
      <c r="K892" s="618">
        <f t="shared" si="64"/>
        <v>4792429</v>
      </c>
      <c r="L892" s="869" t="s">
        <v>179</v>
      </c>
      <c r="M892" s="869" t="s">
        <v>169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909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1005</v>
      </c>
      <c r="E893" s="184">
        <v>40723</v>
      </c>
      <c r="F893" s="189" t="s">
        <v>953</v>
      </c>
      <c r="G893" s="502" t="s">
        <v>942</v>
      </c>
      <c r="H893" s="7" t="s">
        <v>756</v>
      </c>
      <c r="I893" s="260">
        <v>203</v>
      </c>
      <c r="J893" s="260">
        <v>10599.807881773399</v>
      </c>
      <c r="K893" s="618">
        <f t="shared" si="64"/>
        <v>2151761</v>
      </c>
      <c r="L893" s="869" t="s">
        <v>179</v>
      </c>
      <c r="M893" s="869" t="s">
        <v>169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909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1005</v>
      </c>
      <c r="E894" s="184">
        <v>40723</v>
      </c>
      <c r="F894" s="189" t="s">
        <v>962</v>
      </c>
      <c r="G894" s="502" t="s">
        <v>942</v>
      </c>
      <c r="H894" s="7" t="s">
        <v>756</v>
      </c>
      <c r="I894" s="260">
        <v>9</v>
      </c>
      <c r="J894" s="260">
        <v>18786.555555555555</v>
      </c>
      <c r="K894" s="618">
        <f t="shared" si="64"/>
        <v>169079</v>
      </c>
      <c r="L894" s="869" t="s">
        <v>179</v>
      </c>
      <c r="M894" s="869" t="s">
        <v>169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909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1005</v>
      </c>
      <c r="E895" s="184">
        <v>40723</v>
      </c>
      <c r="F895" s="189" t="s">
        <v>775</v>
      </c>
      <c r="G895" s="502" t="s">
        <v>942</v>
      </c>
      <c r="H895" s="7" t="s">
        <v>756</v>
      </c>
      <c r="I895" s="260">
        <v>1</v>
      </c>
      <c r="J895" s="260">
        <v>15439</v>
      </c>
      <c r="K895" s="618">
        <f t="shared" si="64"/>
        <v>15439</v>
      </c>
      <c r="L895" s="869" t="s">
        <v>179</v>
      </c>
      <c r="M895" s="869" t="s">
        <v>169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909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1005</v>
      </c>
      <c r="E896" s="184">
        <v>40723</v>
      </c>
      <c r="F896" s="189" t="s">
        <v>963</v>
      </c>
      <c r="G896" s="502" t="s">
        <v>942</v>
      </c>
      <c r="H896" s="7" t="s">
        <v>756</v>
      </c>
      <c r="I896" s="260">
        <v>3</v>
      </c>
      <c r="J896" s="260">
        <v>19142.666666666668</v>
      </c>
      <c r="K896" s="618">
        <f t="shared" si="64"/>
        <v>57428</v>
      </c>
      <c r="L896" s="869" t="s">
        <v>179</v>
      </c>
      <c r="M896" s="869" t="s">
        <v>169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909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1005</v>
      </c>
      <c r="E897" s="184">
        <v>40723</v>
      </c>
      <c r="F897" s="189" t="s">
        <v>774</v>
      </c>
      <c r="G897" s="502" t="s">
        <v>942</v>
      </c>
      <c r="H897" s="7" t="s">
        <v>756</v>
      </c>
      <c r="I897" s="260">
        <v>11</v>
      </c>
      <c r="J897" s="260">
        <v>13362</v>
      </c>
      <c r="K897" s="618">
        <f t="shared" si="64"/>
        <v>146982</v>
      </c>
      <c r="L897" s="869" t="s">
        <v>179</v>
      </c>
      <c r="M897" s="869" t="s">
        <v>169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909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1006</v>
      </c>
      <c r="E898" s="184">
        <v>40723</v>
      </c>
      <c r="F898" s="189" t="s">
        <v>927</v>
      </c>
      <c r="G898" s="502" t="s">
        <v>943</v>
      </c>
      <c r="H898" s="7" t="s">
        <v>756</v>
      </c>
      <c r="I898" s="260">
        <v>26</v>
      </c>
      <c r="J898" s="260">
        <v>8566.5</v>
      </c>
      <c r="K898" s="618">
        <f t="shared" ref="K898:K929" si="65">ROUND(I898*J898,0)</f>
        <v>222729</v>
      </c>
      <c r="L898" s="869" t="s">
        <v>179</v>
      </c>
      <c r="M898" s="869" t="s">
        <v>169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909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1006</v>
      </c>
      <c r="E899" s="184">
        <v>40723</v>
      </c>
      <c r="F899" s="189" t="s">
        <v>964</v>
      </c>
      <c r="G899" s="502" t="s">
        <v>943</v>
      </c>
      <c r="H899" s="7" t="s">
        <v>756</v>
      </c>
      <c r="I899" s="260">
        <v>20</v>
      </c>
      <c r="J899" s="260">
        <v>18019.5</v>
      </c>
      <c r="K899" s="618">
        <f t="shared" si="65"/>
        <v>360390</v>
      </c>
      <c r="L899" s="869" t="s">
        <v>179</v>
      </c>
      <c r="M899" s="869" t="s">
        <v>169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909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1006</v>
      </c>
      <c r="E900" s="184">
        <v>40723</v>
      </c>
      <c r="F900" s="189" t="s">
        <v>965</v>
      </c>
      <c r="G900" s="502" t="s">
        <v>943</v>
      </c>
      <c r="H900" s="7" t="s">
        <v>756</v>
      </c>
      <c r="I900" s="260">
        <v>61</v>
      </c>
      <c r="J900" s="260">
        <v>19878.065573770491</v>
      </c>
      <c r="K900" s="618">
        <f t="shared" si="65"/>
        <v>1212562</v>
      </c>
      <c r="L900" s="869" t="s">
        <v>179</v>
      </c>
      <c r="M900" s="869" t="s">
        <v>169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909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1006</v>
      </c>
      <c r="E901" s="184">
        <v>40723</v>
      </c>
      <c r="F901" s="192" t="s">
        <v>779</v>
      </c>
      <c r="G901" s="502" t="s">
        <v>943</v>
      </c>
      <c r="H901" s="7" t="s">
        <v>756</v>
      </c>
      <c r="I901" s="260">
        <v>140</v>
      </c>
      <c r="J901" s="260">
        <v>2471.7642857142855</v>
      </c>
      <c r="K901" s="618">
        <f t="shared" si="65"/>
        <v>346047</v>
      </c>
      <c r="L901" s="869" t="s">
        <v>179</v>
      </c>
      <c r="M901" s="869" t="s">
        <v>169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909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1006</v>
      </c>
      <c r="E902" s="184">
        <v>40723</v>
      </c>
      <c r="F902" s="189" t="s">
        <v>958</v>
      </c>
      <c r="G902" s="502" t="s">
        <v>943</v>
      </c>
      <c r="H902" s="7" t="s">
        <v>756</v>
      </c>
      <c r="I902" s="260">
        <v>40</v>
      </c>
      <c r="J902" s="260">
        <v>17179.525000000001</v>
      </c>
      <c r="K902" s="618">
        <f t="shared" si="65"/>
        <v>687181</v>
      </c>
      <c r="L902" s="869" t="s">
        <v>179</v>
      </c>
      <c r="M902" s="869" t="s">
        <v>169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909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1006</v>
      </c>
      <c r="E903" s="184">
        <v>40723</v>
      </c>
      <c r="F903" s="189" t="s">
        <v>767</v>
      </c>
      <c r="G903" s="502" t="s">
        <v>943</v>
      </c>
      <c r="H903" s="7" t="s">
        <v>756</v>
      </c>
      <c r="I903" s="260">
        <v>95</v>
      </c>
      <c r="J903" s="260">
        <v>13488.357894736842</v>
      </c>
      <c r="K903" s="618">
        <f t="shared" si="65"/>
        <v>1281394</v>
      </c>
      <c r="L903" s="869" t="s">
        <v>179</v>
      </c>
      <c r="M903" s="869" t="s">
        <v>169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909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1007</v>
      </c>
      <c r="E904" s="184">
        <v>40723</v>
      </c>
      <c r="F904" s="192" t="s">
        <v>931</v>
      </c>
      <c r="G904" s="502" t="s">
        <v>944</v>
      </c>
      <c r="H904" s="210" t="s">
        <v>930</v>
      </c>
      <c r="I904" s="260">
        <v>2000</v>
      </c>
      <c r="J904" s="260">
        <v>5951.5129999999999</v>
      </c>
      <c r="K904" s="618">
        <f t="shared" si="65"/>
        <v>11903026</v>
      </c>
      <c r="L904" s="869" t="s">
        <v>179</v>
      </c>
      <c r="M904" s="869" t="s">
        <v>169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909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1008</v>
      </c>
      <c r="E905" s="184">
        <v>40723</v>
      </c>
      <c r="F905" s="192" t="s">
        <v>966</v>
      </c>
      <c r="G905" s="502" t="s">
        <v>951</v>
      </c>
      <c r="H905" s="7" t="s">
        <v>757</v>
      </c>
      <c r="I905" s="260">
        <v>306</v>
      </c>
      <c r="J905" s="260">
        <v>13362.013071895424</v>
      </c>
      <c r="K905" s="618">
        <f t="shared" si="65"/>
        <v>4088776</v>
      </c>
      <c r="L905" s="869" t="s">
        <v>179</v>
      </c>
      <c r="M905" s="869" t="s">
        <v>169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909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1008</v>
      </c>
      <c r="E906" s="184">
        <v>40723</v>
      </c>
      <c r="F906" s="192" t="s">
        <v>853</v>
      </c>
      <c r="G906" s="502" t="s">
        <v>951</v>
      </c>
      <c r="H906" s="7" t="s">
        <v>757</v>
      </c>
      <c r="I906" s="260">
        <v>391</v>
      </c>
      <c r="J906" s="260">
        <v>7483.5140664961637</v>
      </c>
      <c r="K906" s="618">
        <f t="shared" si="65"/>
        <v>2926054</v>
      </c>
      <c r="L906" s="869" t="s">
        <v>179</v>
      </c>
      <c r="M906" s="869" t="s">
        <v>169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909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1008</v>
      </c>
      <c r="E907" s="184">
        <v>40723</v>
      </c>
      <c r="F907" s="192" t="s">
        <v>846</v>
      </c>
      <c r="G907" s="502" t="s">
        <v>951</v>
      </c>
      <c r="H907" s="7" t="s">
        <v>757</v>
      </c>
      <c r="I907" s="260">
        <v>297</v>
      </c>
      <c r="J907" s="260">
        <v>7385.5117845117848</v>
      </c>
      <c r="K907" s="618">
        <f t="shared" si="65"/>
        <v>2193497</v>
      </c>
      <c r="L907" s="869" t="s">
        <v>179</v>
      </c>
      <c r="M907" s="869" t="s">
        <v>169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909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1008</v>
      </c>
      <c r="E908" s="184">
        <v>40723</v>
      </c>
      <c r="F908" s="192" t="s">
        <v>968</v>
      </c>
      <c r="G908" s="502" t="s">
        <v>951</v>
      </c>
      <c r="H908" s="7" t="s">
        <v>757</v>
      </c>
      <c r="I908" s="260">
        <v>101</v>
      </c>
      <c r="J908" s="260">
        <v>7385.5148514851489</v>
      </c>
      <c r="K908" s="618">
        <f t="shared" si="65"/>
        <v>745937</v>
      </c>
      <c r="L908" s="869" t="s">
        <v>179</v>
      </c>
      <c r="M908" s="869" t="s">
        <v>169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909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1008</v>
      </c>
      <c r="E909" s="184">
        <v>40723</v>
      </c>
      <c r="F909" s="192" t="s">
        <v>967</v>
      </c>
      <c r="G909" s="502" t="s">
        <v>951</v>
      </c>
      <c r="H909" s="7" t="s">
        <v>757</v>
      </c>
      <c r="I909" s="260">
        <v>103</v>
      </c>
      <c r="J909" s="260">
        <v>7385.5145631067962</v>
      </c>
      <c r="K909" s="618">
        <f t="shared" si="65"/>
        <v>760708</v>
      </c>
      <c r="L909" s="869" t="s">
        <v>179</v>
      </c>
      <c r="M909" s="869" t="s">
        <v>169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909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1008</v>
      </c>
      <c r="E910" s="184">
        <v>40723</v>
      </c>
      <c r="F910" s="192" t="s">
        <v>843</v>
      </c>
      <c r="G910" s="502" t="s">
        <v>951</v>
      </c>
      <c r="H910" s="7" t="s">
        <v>757</v>
      </c>
      <c r="I910" s="260">
        <v>109</v>
      </c>
      <c r="J910" s="260">
        <v>16526.394495412846</v>
      </c>
      <c r="K910" s="618">
        <f t="shared" si="65"/>
        <v>1801377</v>
      </c>
      <c r="L910" s="869" t="s">
        <v>179</v>
      </c>
      <c r="M910" s="869" t="s">
        <v>169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909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1008</v>
      </c>
      <c r="E911" s="184">
        <v>40723</v>
      </c>
      <c r="F911" s="192" t="s">
        <v>969</v>
      </c>
      <c r="G911" s="502" t="s">
        <v>951</v>
      </c>
      <c r="H911" s="7" t="s">
        <v>757</v>
      </c>
      <c r="I911" s="258">
        <v>104</v>
      </c>
      <c r="J911" s="258">
        <v>21595.509615384617</v>
      </c>
      <c r="K911" s="618">
        <f t="shared" si="65"/>
        <v>2245933</v>
      </c>
      <c r="L911" s="869" t="s">
        <v>179</v>
      </c>
      <c r="M911" s="869" t="s">
        <v>169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909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1147</v>
      </c>
      <c r="E912" s="191">
        <v>40723</v>
      </c>
      <c r="F912" s="192" t="s">
        <v>935</v>
      </c>
      <c r="G912" s="502"/>
      <c r="H912" s="632" t="s">
        <v>1116</v>
      </c>
      <c r="I912" s="260">
        <v>17</v>
      </c>
      <c r="J912" s="260">
        <v>22124.823529411766</v>
      </c>
      <c r="K912" s="618">
        <f t="shared" si="65"/>
        <v>376122</v>
      </c>
      <c r="L912" s="39" t="s">
        <v>169</v>
      </c>
      <c r="M912" s="731" t="s">
        <v>167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909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1147</v>
      </c>
      <c r="E913" s="191">
        <v>40723</v>
      </c>
      <c r="F913" s="192" t="s">
        <v>919</v>
      </c>
      <c r="G913" s="502"/>
      <c r="H913" s="632" t="s">
        <v>1116</v>
      </c>
      <c r="I913" s="260">
        <v>8</v>
      </c>
      <c r="J913" s="260">
        <v>25265.5</v>
      </c>
      <c r="K913" s="618">
        <f t="shared" si="65"/>
        <v>202124</v>
      </c>
      <c r="L913" s="39" t="s">
        <v>169</v>
      </c>
      <c r="M913" s="731" t="s">
        <v>167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909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1147</v>
      </c>
      <c r="E914" s="191">
        <v>40723</v>
      </c>
      <c r="F914" s="192" t="s">
        <v>909</v>
      </c>
      <c r="G914" s="502"/>
      <c r="H914" s="632" t="s">
        <v>1116</v>
      </c>
      <c r="I914" s="260">
        <v>38</v>
      </c>
      <c r="J914" s="260">
        <v>25265.5</v>
      </c>
      <c r="K914" s="618">
        <f t="shared" si="65"/>
        <v>960089</v>
      </c>
      <c r="L914" s="39" t="s">
        <v>169</v>
      </c>
      <c r="M914" s="731" t="s">
        <v>167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909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1147</v>
      </c>
      <c r="E915" s="191">
        <v>40723</v>
      </c>
      <c r="F915" s="192" t="s">
        <v>936</v>
      </c>
      <c r="G915" s="502"/>
      <c r="H915" s="632" t="s">
        <v>1116</v>
      </c>
      <c r="I915" s="260">
        <v>47</v>
      </c>
      <c r="J915" s="260">
        <v>19142.510638297874</v>
      </c>
      <c r="K915" s="618">
        <f t="shared" si="65"/>
        <v>899698</v>
      </c>
      <c r="L915" s="39" t="s">
        <v>169</v>
      </c>
      <c r="M915" s="731" t="s">
        <v>167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909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1147</v>
      </c>
      <c r="E916" s="191">
        <v>40723</v>
      </c>
      <c r="F916" s="192" t="s">
        <v>937</v>
      </c>
      <c r="G916" s="502"/>
      <c r="H916" s="632" t="s">
        <v>1116</v>
      </c>
      <c r="I916" s="260">
        <v>830</v>
      </c>
      <c r="J916" s="260">
        <v>13362.013253012048</v>
      </c>
      <c r="K916" s="618">
        <f t="shared" si="65"/>
        <v>11090471</v>
      </c>
      <c r="L916" s="39" t="s">
        <v>169</v>
      </c>
      <c r="M916" s="731" t="s">
        <v>167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909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1147</v>
      </c>
      <c r="E917" s="191">
        <v>40723</v>
      </c>
      <c r="F917" s="192" t="s">
        <v>774</v>
      </c>
      <c r="G917" s="502"/>
      <c r="H917" s="632" t="s">
        <v>1116</v>
      </c>
      <c r="I917" s="260">
        <v>738</v>
      </c>
      <c r="J917" s="260">
        <v>13362.012195121952</v>
      </c>
      <c r="K917" s="618">
        <f t="shared" si="65"/>
        <v>9861165</v>
      </c>
      <c r="L917" s="39" t="s">
        <v>169</v>
      </c>
      <c r="M917" s="731" t="s">
        <v>167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909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1147</v>
      </c>
      <c r="E918" s="191">
        <v>40723</v>
      </c>
      <c r="F918" s="192" t="s">
        <v>778</v>
      </c>
      <c r="G918" s="502"/>
      <c r="H918" s="632" t="s">
        <v>1116</v>
      </c>
      <c r="I918" s="260">
        <v>2</v>
      </c>
      <c r="J918" s="260">
        <v>9590.5</v>
      </c>
      <c r="K918" s="618">
        <f t="shared" si="65"/>
        <v>19181</v>
      </c>
      <c r="L918" s="39" t="s">
        <v>169</v>
      </c>
      <c r="M918" s="731" t="s">
        <v>167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909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1147</v>
      </c>
      <c r="E919" s="191">
        <v>40723</v>
      </c>
      <c r="F919" s="192" t="s">
        <v>938</v>
      </c>
      <c r="G919" s="502"/>
      <c r="H919" s="632" t="s">
        <v>1116</v>
      </c>
      <c r="I919" s="260">
        <v>2</v>
      </c>
      <c r="J919" s="260">
        <v>10554.5</v>
      </c>
      <c r="K919" s="618">
        <f t="shared" si="65"/>
        <v>21109</v>
      </c>
      <c r="L919" s="39" t="s">
        <v>169</v>
      </c>
      <c r="M919" s="731" t="s">
        <v>167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909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1147</v>
      </c>
      <c r="E920" s="191">
        <v>40723</v>
      </c>
      <c r="F920" s="192" t="s">
        <v>938</v>
      </c>
      <c r="G920" s="502"/>
      <c r="H920" s="632" t="s">
        <v>1116</v>
      </c>
      <c r="I920" s="260">
        <v>21</v>
      </c>
      <c r="J920" s="260">
        <v>17305.523809523809</v>
      </c>
      <c r="K920" s="618">
        <f t="shared" si="65"/>
        <v>363416</v>
      </c>
      <c r="L920" s="39" t="s">
        <v>169</v>
      </c>
      <c r="M920" s="731" t="s">
        <v>167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909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1148</v>
      </c>
      <c r="E921" s="191">
        <v>40723</v>
      </c>
      <c r="F921" s="192" t="s">
        <v>945</v>
      </c>
      <c r="G921" s="502"/>
      <c r="H921" s="632" t="s">
        <v>1116</v>
      </c>
      <c r="I921" s="260">
        <v>33</v>
      </c>
      <c r="J921" s="260">
        <v>17305.515151515152</v>
      </c>
      <c r="K921" s="618">
        <f t="shared" si="65"/>
        <v>571082</v>
      </c>
      <c r="L921" s="39" t="s">
        <v>169</v>
      </c>
      <c r="M921" s="731" t="s">
        <v>167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909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1148</v>
      </c>
      <c r="E922" s="191">
        <v>40723</v>
      </c>
      <c r="F922" s="192" t="s">
        <v>765</v>
      </c>
      <c r="G922" s="502"/>
      <c r="H922" s="632" t="s">
        <v>1116</v>
      </c>
      <c r="I922" s="260">
        <v>390</v>
      </c>
      <c r="J922" s="260">
        <v>18233.102564102563</v>
      </c>
      <c r="K922" s="618">
        <f t="shared" si="65"/>
        <v>7110910</v>
      </c>
      <c r="L922" s="39" t="s">
        <v>169</v>
      </c>
      <c r="M922" s="731" t="s">
        <v>167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909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1148</v>
      </c>
      <c r="E923" s="191">
        <v>40723</v>
      </c>
      <c r="F923" s="192" t="s">
        <v>769</v>
      </c>
      <c r="G923" s="502"/>
      <c r="H923" s="632" t="s">
        <v>1116</v>
      </c>
      <c r="I923" s="260">
        <v>482</v>
      </c>
      <c r="J923" s="260">
        <v>8566.5124481327803</v>
      </c>
      <c r="K923" s="618">
        <f t="shared" si="65"/>
        <v>4129059</v>
      </c>
      <c r="L923" s="39" t="s">
        <v>169</v>
      </c>
      <c r="M923" s="731" t="s">
        <v>167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909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1148</v>
      </c>
      <c r="E924" s="191">
        <v>40723</v>
      </c>
      <c r="F924" s="192" t="s">
        <v>938</v>
      </c>
      <c r="G924" s="502"/>
      <c r="H924" s="632" t="s">
        <v>1116</v>
      </c>
      <c r="I924" s="260">
        <v>56</v>
      </c>
      <c r="J924" s="260">
        <v>15438.517857142857</v>
      </c>
      <c r="K924" s="618">
        <f t="shared" si="65"/>
        <v>864557</v>
      </c>
      <c r="L924" s="39" t="s">
        <v>169</v>
      </c>
      <c r="M924" s="731" t="s">
        <v>167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909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1148</v>
      </c>
      <c r="E925" s="191">
        <v>40723</v>
      </c>
      <c r="F925" s="192" t="s">
        <v>946</v>
      </c>
      <c r="G925" s="502"/>
      <c r="H925" s="632" t="s">
        <v>1116</v>
      </c>
      <c r="I925" s="260">
        <v>203</v>
      </c>
      <c r="J925" s="260">
        <v>7385.5123152709357</v>
      </c>
      <c r="K925" s="618">
        <f t="shared" si="65"/>
        <v>1499259</v>
      </c>
      <c r="L925" s="39" t="s">
        <v>169</v>
      </c>
      <c r="M925" s="731" t="s">
        <v>167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909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1148</v>
      </c>
      <c r="E926" s="191">
        <v>40723</v>
      </c>
      <c r="F926" s="192" t="s">
        <v>947</v>
      </c>
      <c r="G926" s="502"/>
      <c r="H926" s="632" t="s">
        <v>1116</v>
      </c>
      <c r="I926" s="260">
        <v>1</v>
      </c>
      <c r="J926" s="260">
        <v>5809</v>
      </c>
      <c r="K926" s="618">
        <f t="shared" si="65"/>
        <v>5809</v>
      </c>
      <c r="L926" s="39" t="s">
        <v>169</v>
      </c>
      <c r="M926" s="731" t="s">
        <v>167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909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1148</v>
      </c>
      <c r="E927" s="191">
        <v>40723</v>
      </c>
      <c r="F927" s="192" t="s">
        <v>771</v>
      </c>
      <c r="G927" s="502"/>
      <c r="H927" s="632" t="s">
        <v>1116</v>
      </c>
      <c r="I927" s="260">
        <v>1</v>
      </c>
      <c r="J927" s="260">
        <v>9591</v>
      </c>
      <c r="K927" s="618">
        <f t="shared" si="65"/>
        <v>9591</v>
      </c>
      <c r="L927" s="39" t="s">
        <v>169</v>
      </c>
      <c r="M927" s="731" t="s">
        <v>167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909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1148</v>
      </c>
      <c r="E928" s="191">
        <v>40723</v>
      </c>
      <c r="F928" s="189" t="s">
        <v>948</v>
      </c>
      <c r="G928" s="502"/>
      <c r="H928" s="632" t="s">
        <v>1116</v>
      </c>
      <c r="I928" s="260">
        <v>2</v>
      </c>
      <c r="J928" s="260">
        <v>5951.5</v>
      </c>
      <c r="K928" s="618">
        <f t="shared" si="65"/>
        <v>11903</v>
      </c>
      <c r="L928" s="39" t="s">
        <v>169</v>
      </c>
      <c r="M928" s="731" t="s">
        <v>167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909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1148</v>
      </c>
      <c r="E929" s="191">
        <v>40723</v>
      </c>
      <c r="F929" s="192" t="s">
        <v>782</v>
      </c>
      <c r="G929" s="502"/>
      <c r="H929" s="632" t="s">
        <v>1116</v>
      </c>
      <c r="I929" s="260">
        <v>1</v>
      </c>
      <c r="J929" s="260">
        <v>14807</v>
      </c>
      <c r="K929" s="618">
        <f t="shared" si="65"/>
        <v>14807</v>
      </c>
      <c r="L929" s="39" t="s">
        <v>169</v>
      </c>
      <c r="M929" s="731" t="s">
        <v>167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909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1149</v>
      </c>
      <c r="E930" s="191">
        <v>40723</v>
      </c>
      <c r="F930" s="192" t="s">
        <v>949</v>
      </c>
      <c r="G930" s="502"/>
      <c r="H930" s="632" t="s">
        <v>1116</v>
      </c>
      <c r="I930" s="260">
        <v>9</v>
      </c>
      <c r="J930" s="260">
        <v>14806.555555555555</v>
      </c>
      <c r="K930" s="618">
        <f t="shared" ref="K930:K961" si="68">ROUND(I930*J930,0)</f>
        <v>133259</v>
      </c>
      <c r="L930" s="39" t="s">
        <v>169</v>
      </c>
      <c r="M930" s="731" t="s">
        <v>167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909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1149</v>
      </c>
      <c r="E931" s="37">
        <v>40723</v>
      </c>
      <c r="F931" s="192" t="s">
        <v>950</v>
      </c>
      <c r="G931" s="40"/>
      <c r="H931" s="632" t="s">
        <v>1116</v>
      </c>
      <c r="I931" s="855">
        <v>291</v>
      </c>
      <c r="J931" s="832">
        <v>7483.5120274914088</v>
      </c>
      <c r="K931" s="618">
        <f t="shared" si="68"/>
        <v>2177702</v>
      </c>
      <c r="L931" s="39" t="s">
        <v>169</v>
      </c>
      <c r="M931" s="731" t="s">
        <v>167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909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1149</v>
      </c>
      <c r="E932" s="37">
        <v>40723</v>
      </c>
      <c r="F932" s="40" t="s">
        <v>938</v>
      </c>
      <c r="G932" s="40"/>
      <c r="H932" s="632" t="s">
        <v>1116</v>
      </c>
      <c r="I932" s="855">
        <v>1</v>
      </c>
      <c r="J932" s="832">
        <v>7484</v>
      </c>
      <c r="K932" s="618">
        <f t="shared" si="68"/>
        <v>7484</v>
      </c>
      <c r="L932" s="39" t="s">
        <v>169</v>
      </c>
      <c r="M932" s="731" t="s">
        <v>167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909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1149</v>
      </c>
      <c r="E933" s="37">
        <v>40723</v>
      </c>
      <c r="F933" s="189" t="s">
        <v>764</v>
      </c>
      <c r="G933" s="40"/>
      <c r="H933" s="632" t="s">
        <v>1116</v>
      </c>
      <c r="I933" s="855">
        <v>119</v>
      </c>
      <c r="J933" s="832">
        <v>17439.512605042019</v>
      </c>
      <c r="K933" s="618">
        <f t="shared" si="68"/>
        <v>2075302</v>
      </c>
      <c r="L933" s="39" t="s">
        <v>169</v>
      </c>
      <c r="M933" s="731" t="s">
        <v>167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909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1149</v>
      </c>
      <c r="E934" s="37">
        <v>40723</v>
      </c>
      <c r="F934" s="302" t="s">
        <v>928</v>
      </c>
      <c r="G934" s="40"/>
      <c r="H934" s="632" t="s">
        <v>1116</v>
      </c>
      <c r="I934" s="855">
        <v>304</v>
      </c>
      <c r="J934" s="832">
        <v>12545.513157894737</v>
      </c>
      <c r="K934" s="618">
        <f t="shared" si="68"/>
        <v>3813836</v>
      </c>
      <c r="L934" s="39" t="s">
        <v>169</v>
      </c>
      <c r="M934" s="731" t="s">
        <v>167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909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1149</v>
      </c>
      <c r="E935" s="37">
        <v>40723</v>
      </c>
      <c r="F935" s="189" t="s">
        <v>927</v>
      </c>
      <c r="G935" s="40"/>
      <c r="H935" s="632" t="s">
        <v>1116</v>
      </c>
      <c r="I935" s="855">
        <v>65</v>
      </c>
      <c r="J935" s="832">
        <v>8499.5076923076922</v>
      </c>
      <c r="K935" s="618">
        <f t="shared" si="68"/>
        <v>552468</v>
      </c>
      <c r="L935" s="39" t="s">
        <v>169</v>
      </c>
      <c r="M935" s="731" t="s">
        <v>167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909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1149</v>
      </c>
      <c r="E936" s="37">
        <v>40723</v>
      </c>
      <c r="F936" s="302" t="s">
        <v>949</v>
      </c>
      <c r="G936" s="40"/>
      <c r="H936" s="632" t="s">
        <v>1116</v>
      </c>
      <c r="I936" s="855">
        <v>32</v>
      </c>
      <c r="J936" s="832">
        <v>14806.5</v>
      </c>
      <c r="K936" s="618">
        <f t="shared" si="68"/>
        <v>473808</v>
      </c>
      <c r="L936" s="39" t="s">
        <v>169</v>
      </c>
      <c r="M936" s="731" t="s">
        <v>167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909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1149</v>
      </c>
      <c r="E937" s="37">
        <v>40723</v>
      </c>
      <c r="F937" s="302" t="s">
        <v>773</v>
      </c>
      <c r="G937" s="40"/>
      <c r="H937" s="632" t="s">
        <v>1116</v>
      </c>
      <c r="I937" s="855">
        <v>5</v>
      </c>
      <c r="J937" s="832">
        <v>15586</v>
      </c>
      <c r="K937" s="618">
        <f t="shared" si="68"/>
        <v>77930</v>
      </c>
      <c r="L937" s="39" t="s">
        <v>169</v>
      </c>
      <c r="M937" s="731" t="s">
        <v>167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909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1149</v>
      </c>
      <c r="E938" s="37">
        <v>40723</v>
      </c>
      <c r="F938" s="302" t="s">
        <v>937</v>
      </c>
      <c r="G938" s="40"/>
      <c r="H938" s="632" t="s">
        <v>1116</v>
      </c>
      <c r="I938" s="855">
        <v>80</v>
      </c>
      <c r="J938" s="832">
        <v>13362.012500000001</v>
      </c>
      <c r="K938" s="618">
        <f t="shared" si="68"/>
        <v>1068961</v>
      </c>
      <c r="L938" s="39" t="s">
        <v>169</v>
      </c>
      <c r="M938" s="731" t="s">
        <v>167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909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1150</v>
      </c>
      <c r="E939" s="37">
        <v>40723</v>
      </c>
      <c r="F939" s="189" t="s">
        <v>769</v>
      </c>
      <c r="G939" s="40"/>
      <c r="H939" s="632" t="s">
        <v>1116</v>
      </c>
      <c r="I939" s="855">
        <v>49</v>
      </c>
      <c r="J939" s="832">
        <v>8499.5102040816328</v>
      </c>
      <c r="K939" s="618">
        <f t="shared" si="68"/>
        <v>416476</v>
      </c>
      <c r="L939" s="39" t="s">
        <v>169</v>
      </c>
      <c r="M939" s="731" t="s">
        <v>167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909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1150</v>
      </c>
      <c r="E940" s="37">
        <v>40723</v>
      </c>
      <c r="F940" s="189" t="s">
        <v>781</v>
      </c>
      <c r="G940" s="40"/>
      <c r="H940" s="632" t="s">
        <v>1116</v>
      </c>
      <c r="I940" s="855">
        <v>2</v>
      </c>
      <c r="J940" s="832">
        <v>5951.5</v>
      </c>
      <c r="K940" s="618">
        <f t="shared" si="68"/>
        <v>11903</v>
      </c>
      <c r="L940" s="39" t="s">
        <v>169</v>
      </c>
      <c r="M940" s="731" t="s">
        <v>167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909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1150</v>
      </c>
      <c r="E941" s="37">
        <v>40723</v>
      </c>
      <c r="F941" s="40" t="s">
        <v>952</v>
      </c>
      <c r="G941" s="40"/>
      <c r="H941" s="632" t="s">
        <v>1116</v>
      </c>
      <c r="I941" s="310">
        <v>2</v>
      </c>
      <c r="J941" s="834">
        <v>9590.5</v>
      </c>
      <c r="K941" s="618">
        <f t="shared" si="68"/>
        <v>19181</v>
      </c>
      <c r="L941" s="39" t="s">
        <v>169</v>
      </c>
      <c r="M941" s="731" t="s">
        <v>167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909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1150</v>
      </c>
      <c r="E942" s="37">
        <v>40723</v>
      </c>
      <c r="F942" s="192" t="s">
        <v>950</v>
      </c>
      <c r="G942" s="40"/>
      <c r="H942" s="632" t="s">
        <v>1116</v>
      </c>
      <c r="I942" s="310">
        <v>5</v>
      </c>
      <c r="J942" s="834">
        <v>7483.6</v>
      </c>
      <c r="K942" s="618">
        <f t="shared" si="68"/>
        <v>37418</v>
      </c>
      <c r="L942" s="39" t="s">
        <v>169</v>
      </c>
      <c r="M942" s="731" t="s">
        <v>167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909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1150</v>
      </c>
      <c r="E943" s="37">
        <v>40723</v>
      </c>
      <c r="F943" s="40" t="s">
        <v>778</v>
      </c>
      <c r="G943" s="40"/>
      <c r="H943" s="632" t="s">
        <v>1116</v>
      </c>
      <c r="I943" s="310">
        <v>1</v>
      </c>
      <c r="J943" s="834">
        <v>9591</v>
      </c>
      <c r="K943" s="618">
        <f t="shared" si="68"/>
        <v>9591</v>
      </c>
      <c r="L943" s="39" t="s">
        <v>169</v>
      </c>
      <c r="M943" s="731" t="s">
        <v>167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909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1150</v>
      </c>
      <c r="E944" s="37">
        <v>40723</v>
      </c>
      <c r="F944" s="189" t="s">
        <v>780</v>
      </c>
      <c r="G944" s="40"/>
      <c r="H944" s="632" t="s">
        <v>1116</v>
      </c>
      <c r="I944" s="310">
        <v>1</v>
      </c>
      <c r="J944" s="834">
        <v>5809</v>
      </c>
      <c r="K944" s="618">
        <f t="shared" si="68"/>
        <v>5809</v>
      </c>
      <c r="L944" s="39" t="s">
        <v>169</v>
      </c>
      <c r="M944" s="731" t="s">
        <v>167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909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1150</v>
      </c>
      <c r="E945" s="37">
        <v>40723</v>
      </c>
      <c r="F945" s="189" t="s">
        <v>776</v>
      </c>
      <c r="G945" s="40"/>
      <c r="H945" s="632" t="s">
        <v>1116</v>
      </c>
      <c r="I945" s="310">
        <v>3</v>
      </c>
      <c r="J945" s="834">
        <v>15438.666666666666</v>
      </c>
      <c r="K945" s="618">
        <f t="shared" si="68"/>
        <v>46316</v>
      </c>
      <c r="L945" s="39" t="s">
        <v>169</v>
      </c>
      <c r="M945" s="731" t="s">
        <v>167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909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1150</v>
      </c>
      <c r="E946" s="37">
        <v>40723</v>
      </c>
      <c r="F946" s="40" t="s">
        <v>770</v>
      </c>
      <c r="G946" s="40"/>
      <c r="H946" s="632" t="s">
        <v>1116</v>
      </c>
      <c r="I946" s="310">
        <v>2</v>
      </c>
      <c r="J946" s="834">
        <v>9590.5</v>
      </c>
      <c r="K946" s="618">
        <f t="shared" si="68"/>
        <v>19181</v>
      </c>
      <c r="L946" s="39" t="s">
        <v>169</v>
      </c>
      <c r="M946" s="731" t="s">
        <v>167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909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1150</v>
      </c>
      <c r="E947" s="37">
        <v>40723</v>
      </c>
      <c r="F947" s="192" t="s">
        <v>946</v>
      </c>
      <c r="G947" s="40"/>
      <c r="H947" s="632" t="s">
        <v>1116</v>
      </c>
      <c r="I947" s="310">
        <v>8</v>
      </c>
      <c r="J947" s="834">
        <v>7385.5</v>
      </c>
      <c r="K947" s="618">
        <f t="shared" si="68"/>
        <v>59084</v>
      </c>
      <c r="L947" s="39" t="s">
        <v>169</v>
      </c>
      <c r="M947" s="731" t="s">
        <v>167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909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1151</v>
      </c>
      <c r="E948" s="37">
        <v>40723</v>
      </c>
      <c r="F948" s="302" t="s">
        <v>768</v>
      </c>
      <c r="G948" s="40"/>
      <c r="H948" s="632" t="s">
        <v>1116</v>
      </c>
      <c r="I948" s="310">
        <v>1</v>
      </c>
      <c r="J948" s="834">
        <v>7484</v>
      </c>
      <c r="K948" s="618">
        <f t="shared" si="68"/>
        <v>7484</v>
      </c>
      <c r="L948" s="39" t="s">
        <v>169</v>
      </c>
      <c r="M948" s="731" t="s">
        <v>167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909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1151</v>
      </c>
      <c r="E949" s="37">
        <v>40723</v>
      </c>
      <c r="F949" s="302" t="s">
        <v>771</v>
      </c>
      <c r="G949" s="40"/>
      <c r="H949" s="632" t="s">
        <v>1116</v>
      </c>
      <c r="I949" s="310">
        <v>1</v>
      </c>
      <c r="J949" s="834">
        <v>9591</v>
      </c>
      <c r="K949" s="618">
        <f t="shared" si="68"/>
        <v>9591</v>
      </c>
      <c r="L949" s="39" t="s">
        <v>169</v>
      </c>
      <c r="M949" s="731" t="s">
        <v>167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909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1151</v>
      </c>
      <c r="E950" s="37">
        <v>40723</v>
      </c>
      <c r="F950" s="302" t="s">
        <v>772</v>
      </c>
      <c r="G950" s="40"/>
      <c r="H950" s="632" t="s">
        <v>1116</v>
      </c>
      <c r="I950" s="310">
        <v>4</v>
      </c>
      <c r="J950" s="834">
        <v>10554.5</v>
      </c>
      <c r="K950" s="618">
        <f t="shared" si="68"/>
        <v>42218</v>
      </c>
      <c r="L950" s="39" t="s">
        <v>169</v>
      </c>
      <c r="M950" s="731" t="s">
        <v>167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909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1151</v>
      </c>
      <c r="E951" s="37">
        <v>40723</v>
      </c>
      <c r="F951" s="302" t="s">
        <v>777</v>
      </c>
      <c r="G951" s="40"/>
      <c r="H951" s="632" t="s">
        <v>1116</v>
      </c>
      <c r="I951" s="310">
        <v>1</v>
      </c>
      <c r="J951" s="834">
        <v>9591</v>
      </c>
      <c r="K951" s="618">
        <f t="shared" si="68"/>
        <v>9591</v>
      </c>
      <c r="L951" s="39" t="s">
        <v>169</v>
      </c>
      <c r="M951" s="731" t="s">
        <v>167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909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1151</v>
      </c>
      <c r="E952" s="37">
        <v>40723</v>
      </c>
      <c r="F952" s="302" t="s">
        <v>954</v>
      </c>
      <c r="G952" s="40"/>
      <c r="H952" s="632" t="s">
        <v>1116</v>
      </c>
      <c r="I952" s="310">
        <v>2</v>
      </c>
      <c r="J952" s="834">
        <v>5808.5</v>
      </c>
      <c r="K952" s="618">
        <f t="shared" si="68"/>
        <v>11617</v>
      </c>
      <c r="L952" s="39" t="s">
        <v>169</v>
      </c>
      <c r="M952" s="731" t="s">
        <v>167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909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1151</v>
      </c>
      <c r="E953" s="37">
        <v>40723</v>
      </c>
      <c r="F953" s="302" t="s">
        <v>955</v>
      </c>
      <c r="G953" s="40"/>
      <c r="H953" s="632" t="s">
        <v>1116</v>
      </c>
      <c r="I953" s="310">
        <v>2</v>
      </c>
      <c r="J953" s="834">
        <v>10554.5</v>
      </c>
      <c r="K953" s="618">
        <f t="shared" si="68"/>
        <v>21109</v>
      </c>
      <c r="L953" s="39" t="s">
        <v>169</v>
      </c>
      <c r="M953" s="731" t="s">
        <v>167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909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1151</v>
      </c>
      <c r="E954" s="37">
        <v>40723</v>
      </c>
      <c r="F954" s="189" t="s">
        <v>767</v>
      </c>
      <c r="G954" s="40"/>
      <c r="H954" s="632" t="s">
        <v>1116</v>
      </c>
      <c r="I954" s="310">
        <v>37</v>
      </c>
      <c r="J954" s="779">
        <v>13362</v>
      </c>
      <c r="K954" s="618">
        <f t="shared" si="68"/>
        <v>494394</v>
      </c>
      <c r="L954" s="39" t="s">
        <v>169</v>
      </c>
      <c r="M954" s="731" t="s">
        <v>167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909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1151</v>
      </c>
      <c r="E955" s="37">
        <v>40723</v>
      </c>
      <c r="F955" s="40" t="s">
        <v>956</v>
      </c>
      <c r="G955" s="40"/>
      <c r="H955" s="632" t="s">
        <v>1116</v>
      </c>
      <c r="I955" s="310">
        <v>897</v>
      </c>
      <c r="J955" s="834">
        <v>9361.1794871794864</v>
      </c>
      <c r="K955" s="618">
        <f t="shared" si="68"/>
        <v>8396978</v>
      </c>
      <c r="L955" s="39" t="s">
        <v>169</v>
      </c>
      <c r="M955" s="731" t="s">
        <v>167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909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1151</v>
      </c>
      <c r="E956" s="37">
        <v>40723</v>
      </c>
      <c r="F956" s="189" t="s">
        <v>953</v>
      </c>
      <c r="G956" s="40"/>
      <c r="H956" s="632" t="s">
        <v>1116</v>
      </c>
      <c r="I956" s="310">
        <v>917</v>
      </c>
      <c r="J956" s="834">
        <v>2523.9182115594331</v>
      </c>
      <c r="K956" s="618">
        <f t="shared" si="68"/>
        <v>2314433</v>
      </c>
      <c r="L956" s="39" t="s">
        <v>169</v>
      </c>
      <c r="M956" s="731" t="s">
        <v>167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909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1152</v>
      </c>
      <c r="E957" s="37">
        <v>40723</v>
      </c>
      <c r="F957" s="189" t="s">
        <v>957</v>
      </c>
      <c r="G957" s="40"/>
      <c r="H957" s="632" t="s">
        <v>1116</v>
      </c>
      <c r="I957" s="310">
        <v>169</v>
      </c>
      <c r="J957" s="834">
        <v>7385.5147928994083</v>
      </c>
      <c r="K957" s="618">
        <f t="shared" si="68"/>
        <v>1248152</v>
      </c>
      <c r="L957" s="39" t="s">
        <v>169</v>
      </c>
      <c r="M957" s="731" t="s">
        <v>167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909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1152</v>
      </c>
      <c r="E958" s="37">
        <v>40723</v>
      </c>
      <c r="F958" s="40" t="s">
        <v>953</v>
      </c>
      <c r="G958" s="40"/>
      <c r="H958" s="632" t="s">
        <v>1116</v>
      </c>
      <c r="I958" s="310">
        <v>170</v>
      </c>
      <c r="J958" s="834">
        <v>2471.7647058823532</v>
      </c>
      <c r="K958" s="618">
        <f t="shared" si="68"/>
        <v>420200</v>
      </c>
      <c r="L958" s="39" t="s">
        <v>169</v>
      </c>
      <c r="M958" s="731" t="s">
        <v>167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909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1152</v>
      </c>
      <c r="E959" s="37">
        <v>40723</v>
      </c>
      <c r="F959" s="302" t="s">
        <v>765</v>
      </c>
      <c r="G959" s="40"/>
      <c r="H959" s="632" t="s">
        <v>1116</v>
      </c>
      <c r="I959" s="310">
        <v>442</v>
      </c>
      <c r="J959" s="779">
        <v>18786.513574660632</v>
      </c>
      <c r="K959" s="618">
        <f t="shared" si="68"/>
        <v>8303639</v>
      </c>
      <c r="L959" s="39" t="s">
        <v>169</v>
      </c>
      <c r="M959" s="731" t="s">
        <v>167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909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1152</v>
      </c>
      <c r="E960" s="37">
        <v>40723</v>
      </c>
      <c r="F960" s="189" t="s">
        <v>958</v>
      </c>
      <c r="G960" s="40"/>
      <c r="H960" s="632" t="s">
        <v>1116</v>
      </c>
      <c r="I960" s="310">
        <v>36</v>
      </c>
      <c r="J960" s="834">
        <v>17039.5</v>
      </c>
      <c r="K960" s="618">
        <f t="shared" si="68"/>
        <v>613422</v>
      </c>
      <c r="L960" s="39" t="s">
        <v>169</v>
      </c>
      <c r="M960" s="731" t="s">
        <v>167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909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1152</v>
      </c>
      <c r="E961" s="37">
        <v>40723</v>
      </c>
      <c r="F961" s="189" t="s">
        <v>953</v>
      </c>
      <c r="G961" s="40"/>
      <c r="H961" s="632" t="s">
        <v>1116</v>
      </c>
      <c r="I961" s="310">
        <v>90</v>
      </c>
      <c r="J961" s="834">
        <v>2471.7666666666669</v>
      </c>
      <c r="K961" s="618">
        <f t="shared" si="68"/>
        <v>222459</v>
      </c>
      <c r="L961" s="39" t="s">
        <v>169</v>
      </c>
      <c r="M961" s="731" t="s">
        <v>167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909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1152</v>
      </c>
      <c r="E962" s="37">
        <v>40723</v>
      </c>
      <c r="F962" s="40" t="s">
        <v>953</v>
      </c>
      <c r="G962" s="40"/>
      <c r="H962" s="632" t="s">
        <v>1116</v>
      </c>
      <c r="I962" s="310">
        <v>164</v>
      </c>
      <c r="J962" s="834">
        <v>2471.7621951219512</v>
      </c>
      <c r="K962" s="618">
        <f t="shared" ref="K962:K989" si="70">ROUND(I962*J962,0)</f>
        <v>405369</v>
      </c>
      <c r="L962" s="39" t="s">
        <v>169</v>
      </c>
      <c r="M962" s="731" t="s">
        <v>167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909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1152</v>
      </c>
      <c r="E963" s="37">
        <v>40723</v>
      </c>
      <c r="F963" s="302" t="s">
        <v>766</v>
      </c>
      <c r="G963" s="40"/>
      <c r="H963" s="632" t="s">
        <v>1116</v>
      </c>
      <c r="I963" s="310">
        <v>639</v>
      </c>
      <c r="J963" s="904">
        <v>18443.433489827858</v>
      </c>
      <c r="K963" s="618">
        <f t="shared" si="70"/>
        <v>11785354</v>
      </c>
      <c r="L963" s="39" t="s">
        <v>169</v>
      </c>
      <c r="M963" s="731" t="s">
        <v>167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909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1152</v>
      </c>
      <c r="E964" s="37">
        <v>40723</v>
      </c>
      <c r="F964" s="40" t="s">
        <v>953</v>
      </c>
      <c r="G964" s="40"/>
      <c r="H964" s="632" t="s">
        <v>1116</v>
      </c>
      <c r="I964" s="310">
        <v>210</v>
      </c>
      <c r="J964" s="832">
        <v>5808.5142857142855</v>
      </c>
      <c r="K964" s="618">
        <f t="shared" si="70"/>
        <v>1219788</v>
      </c>
      <c r="L964" s="39" t="s">
        <v>169</v>
      </c>
      <c r="M964" s="731" t="s">
        <v>167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909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1152</v>
      </c>
      <c r="E965" s="37">
        <v>40723</v>
      </c>
      <c r="F965" s="40" t="s">
        <v>953</v>
      </c>
      <c r="G965" s="40"/>
      <c r="H965" s="632" t="s">
        <v>1116</v>
      </c>
      <c r="I965" s="310">
        <v>422</v>
      </c>
      <c r="J965" s="834">
        <v>3584.0118483412321</v>
      </c>
      <c r="K965" s="618">
        <f t="shared" si="70"/>
        <v>1512453</v>
      </c>
      <c r="L965" s="39" t="s">
        <v>169</v>
      </c>
      <c r="M965" s="731" t="s">
        <v>167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909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1153</v>
      </c>
      <c r="E966" s="37">
        <v>40723</v>
      </c>
      <c r="F966" s="460" t="s">
        <v>764</v>
      </c>
      <c r="G966" s="40"/>
      <c r="H966" s="632" t="s">
        <v>1116</v>
      </c>
      <c r="I966" s="310">
        <v>209</v>
      </c>
      <c r="J966" s="834">
        <v>17381.808612440193</v>
      </c>
      <c r="K966" s="618">
        <f t="shared" si="70"/>
        <v>3632798</v>
      </c>
      <c r="L966" s="39" t="s">
        <v>169</v>
      </c>
      <c r="M966" s="731" t="s">
        <v>167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909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1153</v>
      </c>
      <c r="E967" s="37">
        <v>40723</v>
      </c>
      <c r="F967" s="302" t="s">
        <v>959</v>
      </c>
      <c r="G967" s="40"/>
      <c r="H967" s="632" t="s">
        <v>1116</v>
      </c>
      <c r="I967" s="310">
        <v>55</v>
      </c>
      <c r="J967" s="834">
        <v>17595.436363636363</v>
      </c>
      <c r="K967" s="618">
        <f t="shared" si="70"/>
        <v>967749</v>
      </c>
      <c r="L967" s="39" t="s">
        <v>169</v>
      </c>
      <c r="M967" s="731" t="s">
        <v>167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909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1153</v>
      </c>
      <c r="E968" s="37">
        <v>40723</v>
      </c>
      <c r="F968" s="40" t="s">
        <v>960</v>
      </c>
      <c r="G968" s="40"/>
      <c r="H968" s="632" t="s">
        <v>1116</v>
      </c>
      <c r="I968" s="310">
        <v>40</v>
      </c>
      <c r="J968" s="834">
        <v>13362.025</v>
      </c>
      <c r="K968" s="618">
        <f t="shared" si="70"/>
        <v>534481</v>
      </c>
      <c r="L968" s="39" t="s">
        <v>169</v>
      </c>
      <c r="M968" s="731" t="s">
        <v>167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909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1153</v>
      </c>
      <c r="E969" s="37">
        <v>40723</v>
      </c>
      <c r="F969" s="900" t="s">
        <v>928</v>
      </c>
      <c r="G969" s="40"/>
      <c r="H969" s="632" t="s">
        <v>1116</v>
      </c>
      <c r="I969" s="310">
        <v>2</v>
      </c>
      <c r="J969" s="832">
        <v>8566.5</v>
      </c>
      <c r="K969" s="618">
        <f t="shared" si="70"/>
        <v>17133</v>
      </c>
      <c r="L969" s="39" t="s">
        <v>169</v>
      </c>
      <c r="M969" s="731" t="s">
        <v>167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909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1153</v>
      </c>
      <c r="E970" s="37">
        <v>40723</v>
      </c>
      <c r="F970" s="40" t="s">
        <v>961</v>
      </c>
      <c r="G970" s="40"/>
      <c r="H970" s="632" t="s">
        <v>1116</v>
      </c>
      <c r="I970" s="310">
        <v>207</v>
      </c>
      <c r="J970" s="834">
        <v>23151.830917874395</v>
      </c>
      <c r="K970" s="618">
        <f t="shared" si="70"/>
        <v>4792429</v>
      </c>
      <c r="L970" s="39" t="s">
        <v>169</v>
      </c>
      <c r="M970" s="731" t="s">
        <v>167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909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1153</v>
      </c>
      <c r="E971" s="37">
        <v>40723</v>
      </c>
      <c r="F971" s="189" t="s">
        <v>953</v>
      </c>
      <c r="G971" s="40"/>
      <c r="H971" s="632" t="s">
        <v>1116</v>
      </c>
      <c r="I971" s="310">
        <v>203</v>
      </c>
      <c r="J971" s="834">
        <v>10599.807881773399</v>
      </c>
      <c r="K971" s="618">
        <f t="shared" si="70"/>
        <v>2151761</v>
      </c>
      <c r="L971" s="39" t="s">
        <v>169</v>
      </c>
      <c r="M971" s="731" t="s">
        <v>167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909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1153</v>
      </c>
      <c r="E972" s="37">
        <v>40723</v>
      </c>
      <c r="F972" s="40" t="s">
        <v>962</v>
      </c>
      <c r="G972" s="40"/>
      <c r="H972" s="632" t="s">
        <v>1116</v>
      </c>
      <c r="I972" s="310">
        <v>9</v>
      </c>
      <c r="J972" s="834">
        <v>18786.555555555555</v>
      </c>
      <c r="K972" s="618">
        <f t="shared" si="70"/>
        <v>169079</v>
      </c>
      <c r="L972" s="39" t="s">
        <v>169</v>
      </c>
      <c r="M972" s="731" t="s">
        <v>167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909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1153</v>
      </c>
      <c r="E973" s="37">
        <v>40723</v>
      </c>
      <c r="F973" s="300" t="s">
        <v>775</v>
      </c>
      <c r="G973" s="40"/>
      <c r="H973" s="632" t="s">
        <v>1116</v>
      </c>
      <c r="I973" s="310">
        <v>1</v>
      </c>
      <c r="J973" s="832">
        <v>15439</v>
      </c>
      <c r="K973" s="618">
        <f t="shared" si="70"/>
        <v>15439</v>
      </c>
      <c r="L973" s="39" t="s">
        <v>169</v>
      </c>
      <c r="M973" s="731" t="s">
        <v>167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909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1153</v>
      </c>
      <c r="E974" s="37">
        <v>40723</v>
      </c>
      <c r="F974" s="40" t="s">
        <v>963</v>
      </c>
      <c r="G974" s="40"/>
      <c r="H974" s="632" t="s">
        <v>1116</v>
      </c>
      <c r="I974" s="310">
        <v>3</v>
      </c>
      <c r="J974" s="834">
        <v>19142.666666666668</v>
      </c>
      <c r="K974" s="618">
        <f t="shared" si="70"/>
        <v>57428</v>
      </c>
      <c r="L974" s="39" t="s">
        <v>169</v>
      </c>
      <c r="M974" s="731" t="s">
        <v>167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909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1154</v>
      </c>
      <c r="E975" s="37">
        <v>40723</v>
      </c>
      <c r="F975" s="189" t="s">
        <v>774</v>
      </c>
      <c r="G975" s="40"/>
      <c r="H975" s="632" t="s">
        <v>1116</v>
      </c>
      <c r="I975" s="310">
        <v>11</v>
      </c>
      <c r="J975" s="834">
        <v>13362</v>
      </c>
      <c r="K975" s="618">
        <f t="shared" si="70"/>
        <v>146982</v>
      </c>
      <c r="L975" s="39" t="s">
        <v>169</v>
      </c>
      <c r="M975" s="731" t="s">
        <v>167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909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1154</v>
      </c>
      <c r="E976" s="37">
        <v>40723</v>
      </c>
      <c r="F976" s="189" t="s">
        <v>927</v>
      </c>
      <c r="G976" s="40"/>
      <c r="H976" s="632" t="s">
        <v>1116</v>
      </c>
      <c r="I976" s="310">
        <v>26</v>
      </c>
      <c r="J976" s="834">
        <v>8566.5</v>
      </c>
      <c r="K976" s="618">
        <f t="shared" si="70"/>
        <v>222729</v>
      </c>
      <c r="L976" s="39" t="s">
        <v>169</v>
      </c>
      <c r="M976" s="731" t="s">
        <v>167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909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1154</v>
      </c>
      <c r="E977" s="37">
        <v>40723</v>
      </c>
      <c r="F977" s="189" t="s">
        <v>964</v>
      </c>
      <c r="G977" s="40"/>
      <c r="H977" s="632" t="s">
        <v>1116</v>
      </c>
      <c r="I977" s="310">
        <v>20</v>
      </c>
      <c r="J977" s="834">
        <v>18019.5</v>
      </c>
      <c r="K977" s="618">
        <f t="shared" si="70"/>
        <v>360390</v>
      </c>
      <c r="L977" s="39" t="s">
        <v>169</v>
      </c>
      <c r="M977" s="731" t="s">
        <v>167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909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1154</v>
      </c>
      <c r="E978" s="37">
        <v>40723</v>
      </c>
      <c r="F978" s="189" t="s">
        <v>965</v>
      </c>
      <c r="G978" s="40"/>
      <c r="H978" s="632" t="s">
        <v>1116</v>
      </c>
      <c r="I978" s="310">
        <v>61</v>
      </c>
      <c r="J978" s="834">
        <v>19878.065573770491</v>
      </c>
      <c r="K978" s="618">
        <f t="shared" si="70"/>
        <v>1212562</v>
      </c>
      <c r="L978" s="39" t="s">
        <v>169</v>
      </c>
      <c r="M978" s="731" t="s">
        <v>167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909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1154</v>
      </c>
      <c r="E979" s="37">
        <v>40723</v>
      </c>
      <c r="F979" s="192" t="s">
        <v>779</v>
      </c>
      <c r="G979" s="40"/>
      <c r="H979" s="632" t="s">
        <v>1116</v>
      </c>
      <c r="I979" s="310">
        <v>140</v>
      </c>
      <c r="J979" s="904">
        <v>2471.7642857142855</v>
      </c>
      <c r="K979" s="618">
        <f t="shared" si="70"/>
        <v>346047</v>
      </c>
      <c r="L979" s="39" t="s">
        <v>169</v>
      </c>
      <c r="M979" s="731" t="s">
        <v>167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909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1154</v>
      </c>
      <c r="E980" s="37">
        <v>40723</v>
      </c>
      <c r="F980" s="189" t="s">
        <v>958</v>
      </c>
      <c r="G980" s="40"/>
      <c r="H980" s="632" t="s">
        <v>1116</v>
      </c>
      <c r="I980" s="310">
        <v>40</v>
      </c>
      <c r="J980" s="832">
        <v>17179.525000000001</v>
      </c>
      <c r="K980" s="618">
        <f t="shared" si="70"/>
        <v>687181</v>
      </c>
      <c r="L980" s="39" t="s">
        <v>169</v>
      </c>
      <c r="M980" s="731" t="s">
        <v>167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909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1154</v>
      </c>
      <c r="E981" s="37">
        <v>40723</v>
      </c>
      <c r="F981" s="302" t="s">
        <v>767</v>
      </c>
      <c r="G981" s="40"/>
      <c r="H981" s="632" t="s">
        <v>1116</v>
      </c>
      <c r="I981" s="310">
        <v>95</v>
      </c>
      <c r="J981" s="834">
        <v>13488.357894736842</v>
      </c>
      <c r="K981" s="618">
        <f t="shared" si="70"/>
        <v>1281394</v>
      </c>
      <c r="L981" s="39" t="s">
        <v>169</v>
      </c>
      <c r="M981" s="731" t="s">
        <v>167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909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1154</v>
      </c>
      <c r="E982" s="37">
        <v>40723</v>
      </c>
      <c r="F982" s="189" t="s">
        <v>931</v>
      </c>
      <c r="G982" s="40"/>
      <c r="H982" s="632" t="s">
        <v>1116</v>
      </c>
      <c r="I982" s="310">
        <v>2000</v>
      </c>
      <c r="J982" s="862">
        <v>5951.5129999999999</v>
      </c>
      <c r="K982" s="618">
        <f t="shared" si="70"/>
        <v>11903026</v>
      </c>
      <c r="L982" s="39" t="s">
        <v>169</v>
      </c>
      <c r="M982" s="731" t="s">
        <v>167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909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1154</v>
      </c>
      <c r="E983" s="37">
        <v>40723</v>
      </c>
      <c r="F983" s="302" t="s">
        <v>966</v>
      </c>
      <c r="G983" s="40"/>
      <c r="H983" s="632" t="s">
        <v>1116</v>
      </c>
      <c r="I983" s="310">
        <v>306</v>
      </c>
      <c r="J983" s="832">
        <v>13362.013071895424</v>
      </c>
      <c r="K983" s="618">
        <f t="shared" si="70"/>
        <v>4088776</v>
      </c>
      <c r="L983" s="39" t="s">
        <v>169</v>
      </c>
      <c r="M983" s="731" t="s">
        <v>167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909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1155</v>
      </c>
      <c r="E984" s="37">
        <v>40723</v>
      </c>
      <c r="F984" s="302" t="s">
        <v>853</v>
      </c>
      <c r="G984" s="40"/>
      <c r="H984" s="632" t="s">
        <v>1116</v>
      </c>
      <c r="I984" s="310">
        <v>391</v>
      </c>
      <c r="J984" s="834">
        <v>7483.5140664961637</v>
      </c>
      <c r="K984" s="618">
        <f t="shared" si="70"/>
        <v>2926054</v>
      </c>
      <c r="L984" s="39" t="s">
        <v>169</v>
      </c>
      <c r="M984" s="731" t="s">
        <v>167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909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1155</v>
      </c>
      <c r="E985" s="37">
        <v>40723</v>
      </c>
      <c r="F985" s="302" t="s">
        <v>846</v>
      </c>
      <c r="G985" s="40"/>
      <c r="H985" s="632" t="s">
        <v>1116</v>
      </c>
      <c r="I985" s="310">
        <v>297</v>
      </c>
      <c r="J985" s="834">
        <v>7385.5117845117848</v>
      </c>
      <c r="K985" s="618">
        <f t="shared" si="70"/>
        <v>2193497</v>
      </c>
      <c r="L985" s="39" t="s">
        <v>169</v>
      </c>
      <c r="M985" s="731" t="s">
        <v>167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909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1155</v>
      </c>
      <c r="E986" s="37">
        <v>40723</v>
      </c>
      <c r="F986" s="40" t="s">
        <v>968</v>
      </c>
      <c r="G986" s="40"/>
      <c r="H986" s="632" t="s">
        <v>1116</v>
      </c>
      <c r="I986" s="310">
        <v>101</v>
      </c>
      <c r="J986" s="834">
        <v>7385.5148514851489</v>
      </c>
      <c r="K986" s="618">
        <f t="shared" si="70"/>
        <v>745937</v>
      </c>
      <c r="L986" s="39" t="s">
        <v>169</v>
      </c>
      <c r="M986" s="731" t="s">
        <v>167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909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1155</v>
      </c>
      <c r="E987" s="37">
        <v>40723</v>
      </c>
      <c r="F987" s="302" t="s">
        <v>967</v>
      </c>
      <c r="G987" s="40"/>
      <c r="H987" s="632" t="s">
        <v>1116</v>
      </c>
      <c r="I987" s="310">
        <v>103</v>
      </c>
      <c r="J987" s="834">
        <v>7385.5145631067962</v>
      </c>
      <c r="K987" s="618">
        <f t="shared" si="70"/>
        <v>760708</v>
      </c>
      <c r="L987" s="39" t="s">
        <v>169</v>
      </c>
      <c r="M987" s="731" t="s">
        <v>167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909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1155</v>
      </c>
      <c r="E988" s="37">
        <v>40723</v>
      </c>
      <c r="F988" s="302" t="s">
        <v>843</v>
      </c>
      <c r="G988" s="40"/>
      <c r="H988" s="632" t="s">
        <v>1116</v>
      </c>
      <c r="I988" s="310">
        <v>109</v>
      </c>
      <c r="J988" s="779">
        <v>16526.394495412846</v>
      </c>
      <c r="K988" s="618">
        <f t="shared" si="70"/>
        <v>1801377</v>
      </c>
      <c r="L988" s="39" t="s">
        <v>169</v>
      </c>
      <c r="M988" s="731" t="s">
        <v>167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909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1155</v>
      </c>
      <c r="E989" s="37">
        <v>40723</v>
      </c>
      <c r="F989" s="189" t="s">
        <v>969</v>
      </c>
      <c r="G989" s="40"/>
      <c r="H989" s="632" t="s">
        <v>1116</v>
      </c>
      <c r="I989" s="310">
        <v>104</v>
      </c>
      <c r="J989" s="832">
        <v>21595.509615384617</v>
      </c>
      <c r="K989" s="618">
        <f t="shared" si="70"/>
        <v>2245933</v>
      </c>
      <c r="L989" s="39" t="s">
        <v>169</v>
      </c>
      <c r="M989" s="731" t="s">
        <v>167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909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7">
        <f t="shared" si="71"/>
        <v>40724</v>
      </c>
      <c r="D990" s="184" t="s">
        <v>1112</v>
      </c>
      <c r="E990" s="732">
        <v>40724</v>
      </c>
      <c r="F990" s="728" t="str">
        <f>"Thanh toán tiền lương tháng "&amp;MONTH(E990)&amp;"/"&amp;YEAR(E990)</f>
        <v>Thanh toán tiền lương tháng 6/2011</v>
      </c>
      <c r="G990" s="729"/>
      <c r="H990" s="632" t="s">
        <v>386</v>
      </c>
      <c r="I990" s="902"/>
      <c r="J990" s="902"/>
      <c r="K990" s="730">
        <v>13340000</v>
      </c>
      <c r="L990" s="731" t="s">
        <v>278</v>
      </c>
      <c r="M990" s="731" t="s">
        <v>47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909"/>
      <c r="AB990" s="610"/>
      <c r="AC990" s="610"/>
      <c r="AD990" s="610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1113</v>
      </c>
      <c r="E991" s="191">
        <v>40724</v>
      </c>
      <c r="F991" s="192" t="s">
        <v>491</v>
      </c>
      <c r="G991" s="499" t="s">
        <v>562</v>
      </c>
      <c r="H991" s="45" t="s">
        <v>495</v>
      </c>
      <c r="I991" s="785"/>
      <c r="J991" s="779"/>
      <c r="K991" s="38">
        <v>1127386</v>
      </c>
      <c r="L991" s="194" t="s">
        <v>83</v>
      </c>
      <c r="M991" s="619" t="s">
        <v>47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909"/>
      <c r="AB991" s="610"/>
      <c r="AC991" s="610"/>
      <c r="AD991" s="610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1113</v>
      </c>
      <c r="E992" s="191">
        <v>40724</v>
      </c>
      <c r="F992" s="192" t="s">
        <v>494</v>
      </c>
      <c r="G992" s="499" t="s">
        <v>562</v>
      </c>
      <c r="H992" s="45" t="s">
        <v>495</v>
      </c>
      <c r="I992" s="785"/>
      <c r="J992" s="779"/>
      <c r="K992" s="38">
        <v>112739</v>
      </c>
      <c r="L992" s="194" t="s">
        <v>9</v>
      </c>
      <c r="M992" s="619" t="s">
        <v>47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909"/>
      <c r="AB992" s="211">
        <v>6</v>
      </c>
      <c r="AC992" s="211"/>
      <c r="AD992" s="610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1114</v>
      </c>
      <c r="E993" s="191">
        <v>40724</v>
      </c>
      <c r="F993" s="192" t="s">
        <v>491</v>
      </c>
      <c r="G993" s="499" t="s">
        <v>563</v>
      </c>
      <c r="H993" s="45" t="s">
        <v>493</v>
      </c>
      <c r="I993" s="785"/>
      <c r="J993" s="779"/>
      <c r="K993" s="38">
        <v>234053</v>
      </c>
      <c r="L993" s="194" t="s">
        <v>83</v>
      </c>
      <c r="M993" s="619" t="s">
        <v>47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909"/>
      <c r="AB993" s="610"/>
      <c r="AC993" s="610"/>
      <c r="AD993" s="610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1114</v>
      </c>
      <c r="E994" s="191">
        <v>40724</v>
      </c>
      <c r="F994" s="192" t="s">
        <v>491</v>
      </c>
      <c r="G994" s="499" t="s">
        <v>563</v>
      </c>
      <c r="H994" s="45" t="s">
        <v>493</v>
      </c>
      <c r="I994" s="785"/>
      <c r="J994" s="779"/>
      <c r="K994" s="38">
        <v>23406</v>
      </c>
      <c r="L994" s="194" t="s">
        <v>9</v>
      </c>
      <c r="M994" s="619" t="s">
        <v>47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909"/>
      <c r="AB994" s="610">
        <v>6</v>
      </c>
      <c r="AC994" s="610"/>
      <c r="AD994" s="610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7">
        <f t="shared" si="71"/>
        <v>40724</v>
      </c>
      <c r="D995" s="727" t="s">
        <v>360</v>
      </c>
      <c r="E995" s="732">
        <v>40724</v>
      </c>
      <c r="F995" s="728" t="s">
        <v>971</v>
      </c>
      <c r="G995" s="729"/>
      <c r="H995" s="632"/>
      <c r="I995" s="902"/>
      <c r="J995" s="902"/>
      <c r="K995" s="730">
        <v>7070000</v>
      </c>
      <c r="L995" s="731" t="s">
        <v>83</v>
      </c>
      <c r="M995" s="731" t="s">
        <v>278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909"/>
      <c r="AB995" s="610"/>
      <c r="AC995" s="610"/>
      <c r="AD995" s="610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7">
        <f t="shared" si="71"/>
        <v>40724</v>
      </c>
      <c r="D996" s="727" t="s">
        <v>360</v>
      </c>
      <c r="E996" s="732">
        <v>40724</v>
      </c>
      <c r="F996" s="728" t="s">
        <v>809</v>
      </c>
      <c r="G996" s="729"/>
      <c r="H996" s="632"/>
      <c r="I996" s="902"/>
      <c r="J996" s="902"/>
      <c r="K996" s="730">
        <v>6270000</v>
      </c>
      <c r="L996" s="731" t="s">
        <v>167</v>
      </c>
      <c r="M996" s="731" t="s">
        <v>278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909"/>
      <c r="AB996" s="610"/>
      <c r="AC996" s="610"/>
      <c r="AD996" s="610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977</v>
      </c>
      <c r="E997" s="184">
        <v>40724</v>
      </c>
      <c r="F997" s="192" t="s">
        <v>931</v>
      </c>
      <c r="G997" s="502" t="s">
        <v>970</v>
      </c>
      <c r="H997" s="210" t="s">
        <v>930</v>
      </c>
      <c r="I997" s="779"/>
      <c r="J997" s="779"/>
      <c r="K997" s="618">
        <v>6186585</v>
      </c>
      <c r="L997" s="194" t="s">
        <v>47</v>
      </c>
      <c r="M997" s="194" t="s">
        <v>274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909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1225</v>
      </c>
      <c r="E998" s="184">
        <v>40724</v>
      </c>
      <c r="F998" s="192" t="s">
        <v>931</v>
      </c>
      <c r="G998" s="502" t="s">
        <v>970</v>
      </c>
      <c r="H998" s="210" t="s">
        <v>930</v>
      </c>
      <c r="I998" s="779">
        <v>778</v>
      </c>
      <c r="J998" s="779">
        <v>7229</v>
      </c>
      <c r="K998" s="618">
        <v>5624162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909"/>
      <c r="AB998" s="845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1225</v>
      </c>
      <c r="E999" s="184">
        <v>40724</v>
      </c>
      <c r="F999" s="873" t="s">
        <v>859</v>
      </c>
      <c r="G999" s="502" t="s">
        <v>970</v>
      </c>
      <c r="H999" s="210" t="s">
        <v>930</v>
      </c>
      <c r="I999" s="779"/>
      <c r="J999" s="260"/>
      <c r="K999" s="618">
        <f>562416+7</f>
        <v>562423</v>
      </c>
      <c r="L999" s="194" t="s">
        <v>274</v>
      </c>
      <c r="M999" s="194" t="s">
        <v>754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909"/>
      <c r="AB999" s="845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1225</v>
      </c>
      <c r="E1000" s="184">
        <v>40724</v>
      </c>
      <c r="F1000" s="192" t="s">
        <v>931</v>
      </c>
      <c r="G1000" s="502" t="s">
        <v>970</v>
      </c>
      <c r="H1000" s="210" t="s">
        <v>930</v>
      </c>
      <c r="I1000" s="779">
        <v>778</v>
      </c>
      <c r="J1000" s="904">
        <v>7385.5128534704372</v>
      </c>
      <c r="K1000" s="618">
        <f>ROUND(I1000*J1000,0)</f>
        <v>5745929</v>
      </c>
      <c r="L1000" s="869" t="s">
        <v>179</v>
      </c>
      <c r="M1000" s="869" t="s">
        <v>169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909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1156</v>
      </c>
      <c r="E1001" s="37">
        <v>40724</v>
      </c>
      <c r="F1001" s="302" t="s">
        <v>931</v>
      </c>
      <c r="G1001" s="40"/>
      <c r="H1001" s="632" t="s">
        <v>1116</v>
      </c>
      <c r="I1001" s="310">
        <v>778</v>
      </c>
      <c r="J1001" s="832">
        <v>7385.5128534704372</v>
      </c>
      <c r="K1001" s="618">
        <f>ROUND(I1001*J1001,0)</f>
        <v>5745929</v>
      </c>
      <c r="L1001" s="39" t="s">
        <v>169</v>
      </c>
      <c r="M1001" s="731" t="s">
        <v>167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909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7">
        <f t="shared" si="73"/>
        <v>40725</v>
      </c>
      <c r="D1002" s="727" t="s">
        <v>360</v>
      </c>
      <c r="E1002" s="847">
        <v>40725</v>
      </c>
      <c r="F1002" s="728" t="s">
        <v>806</v>
      </c>
      <c r="G1002" s="729"/>
      <c r="H1002" s="632"/>
      <c r="I1002" s="498"/>
      <c r="J1002" s="498"/>
      <c r="K1002" s="618">
        <v>18250000</v>
      </c>
      <c r="L1002" s="731" t="s">
        <v>167</v>
      </c>
      <c r="M1002" s="731" t="s">
        <v>276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909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7">
        <f t="shared" si="73"/>
        <v>40725</v>
      </c>
      <c r="D1003" s="727" t="s">
        <v>360</v>
      </c>
      <c r="E1003" s="847">
        <v>40725</v>
      </c>
      <c r="F1003" s="728" t="s">
        <v>807</v>
      </c>
      <c r="G1003" s="729"/>
      <c r="H1003" s="632"/>
      <c r="I1003" s="498"/>
      <c r="J1003" s="498"/>
      <c r="K1003" s="618">
        <v>3164845</v>
      </c>
      <c r="L1003" s="731" t="s">
        <v>167</v>
      </c>
      <c r="M1003" s="731" t="s">
        <v>791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909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979</v>
      </c>
      <c r="E1004" s="37">
        <v>40725</v>
      </c>
      <c r="F1004" s="40" t="s">
        <v>411</v>
      </c>
      <c r="G1004" s="40"/>
      <c r="H1004" s="632" t="s">
        <v>1116</v>
      </c>
      <c r="I1004" s="260">
        <v>50</v>
      </c>
      <c r="J1004" s="260">
        <v>23500</v>
      </c>
      <c r="K1004" s="618">
        <f>ROUND(I1004*J1004,0)</f>
        <v>1175000</v>
      </c>
      <c r="L1004" s="39" t="s">
        <v>167</v>
      </c>
      <c r="M1004" s="39" t="s">
        <v>161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909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979</v>
      </c>
      <c r="E1005" s="37">
        <v>40725</v>
      </c>
      <c r="F1005" s="40" t="s">
        <v>363</v>
      </c>
      <c r="G1005" s="40"/>
      <c r="H1005" s="632" t="s">
        <v>1116</v>
      </c>
      <c r="I1005" s="260">
        <v>28</v>
      </c>
      <c r="J1005" s="260">
        <v>42000</v>
      </c>
      <c r="K1005" s="618">
        <f>ROUND(I1005*J1005,0)</f>
        <v>1176000</v>
      </c>
      <c r="L1005" s="39" t="s">
        <v>167</v>
      </c>
      <c r="M1005" s="39" t="s">
        <v>161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909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979</v>
      </c>
      <c r="E1006" s="37">
        <v>40725</v>
      </c>
      <c r="F1006" s="40" t="s">
        <v>498</v>
      </c>
      <c r="G1006" s="40"/>
      <c r="H1006" s="632" t="s">
        <v>1116</v>
      </c>
      <c r="I1006" s="260">
        <v>6413.5</v>
      </c>
      <c r="J1006" s="260">
        <v>220</v>
      </c>
      <c r="K1006" s="618">
        <f>ROUND(I1006*J1006,0)</f>
        <v>1410970</v>
      </c>
      <c r="L1006" s="39" t="s">
        <v>167</v>
      </c>
      <c r="M1006" s="39" t="s">
        <v>161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909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457</v>
      </c>
      <c r="E1007" s="191">
        <v>40729</v>
      </c>
      <c r="F1007" s="302" t="s">
        <v>1160</v>
      </c>
      <c r="G1007" s="502" t="s">
        <v>1161</v>
      </c>
      <c r="H1007" s="7" t="s">
        <v>394</v>
      </c>
      <c r="I1007" s="260">
        <v>40</v>
      </c>
      <c r="J1007" s="260">
        <v>67000</v>
      </c>
      <c r="K1007" s="618">
        <v>2680000</v>
      </c>
      <c r="L1007" s="194" t="s">
        <v>167</v>
      </c>
      <c r="M1007" s="194" t="s">
        <v>47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909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457</v>
      </c>
      <c r="E1008" s="191">
        <v>40729</v>
      </c>
      <c r="F1008" s="302" t="s">
        <v>1162</v>
      </c>
      <c r="G1008" s="502" t="s">
        <v>1161</v>
      </c>
      <c r="H1008" s="7" t="s">
        <v>394</v>
      </c>
      <c r="I1008" s="260"/>
      <c r="J1008" s="260"/>
      <c r="K1008" s="38">
        <v>268000</v>
      </c>
      <c r="L1008" s="194" t="s">
        <v>9</v>
      </c>
      <c r="M1008" s="194" t="s">
        <v>47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909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1115</v>
      </c>
      <c r="E1009" s="802">
        <v>40729</v>
      </c>
      <c r="F1009" s="302" t="s">
        <v>502</v>
      </c>
      <c r="G1009" s="40"/>
      <c r="H1009" s="632" t="s">
        <v>1116</v>
      </c>
      <c r="I1009" s="260">
        <v>124</v>
      </c>
      <c r="J1009" s="260">
        <v>6026</v>
      </c>
      <c r="K1009" s="618">
        <f t="shared" ref="K1009:K1024" si="75">ROUND(I1009*J1009,0)</f>
        <v>747224</v>
      </c>
      <c r="L1009" s="39" t="s">
        <v>167</v>
      </c>
      <c r="M1009" s="39" t="s">
        <v>159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909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1115</v>
      </c>
      <c r="E1010" s="802">
        <v>40729</v>
      </c>
      <c r="F1010" s="40" t="s">
        <v>633</v>
      </c>
      <c r="G1010" s="40"/>
      <c r="H1010" s="632" t="s">
        <v>1116</v>
      </c>
      <c r="I1010" s="260">
        <v>487</v>
      </c>
      <c r="J1010" s="260">
        <v>22484</v>
      </c>
      <c r="K1010" s="618">
        <f t="shared" si="75"/>
        <v>10949708</v>
      </c>
      <c r="L1010" s="39" t="s">
        <v>167</v>
      </c>
      <c r="M1010" s="39" t="s">
        <v>159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909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1115</v>
      </c>
      <c r="E1011" s="802">
        <v>40729</v>
      </c>
      <c r="F1011" s="40" t="s">
        <v>651</v>
      </c>
      <c r="G1011" s="40"/>
      <c r="H1011" s="632" t="s">
        <v>1116</v>
      </c>
      <c r="I1011" s="851">
        <v>13</v>
      </c>
      <c r="J1011" s="260">
        <v>32985</v>
      </c>
      <c r="K1011" s="618">
        <f t="shared" si="75"/>
        <v>428805</v>
      </c>
      <c r="L1011" s="39" t="s">
        <v>167</v>
      </c>
      <c r="M1011" s="39" t="s">
        <v>159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909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1115</v>
      </c>
      <c r="E1012" s="802">
        <v>40729</v>
      </c>
      <c r="F1012" s="189" t="s">
        <v>410</v>
      </c>
      <c r="G1012" s="40"/>
      <c r="H1012" s="632" t="s">
        <v>1116</v>
      </c>
      <c r="I1012" s="851">
        <v>60</v>
      </c>
      <c r="J1012" s="260">
        <v>4449</v>
      </c>
      <c r="K1012" s="618">
        <f t="shared" si="75"/>
        <v>266940</v>
      </c>
      <c r="L1012" s="39" t="s">
        <v>167</v>
      </c>
      <c r="M1012" s="39" t="s">
        <v>159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909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1115</v>
      </c>
      <c r="E1013" s="802">
        <v>40729</v>
      </c>
      <c r="F1013" s="189" t="s">
        <v>410</v>
      </c>
      <c r="G1013" s="40"/>
      <c r="H1013" s="632" t="s">
        <v>1116</v>
      </c>
      <c r="I1013" s="851">
        <v>60</v>
      </c>
      <c r="J1013" s="260">
        <v>4449</v>
      </c>
      <c r="K1013" s="618">
        <f t="shared" si="75"/>
        <v>266940</v>
      </c>
      <c r="L1013" s="39" t="s">
        <v>167</v>
      </c>
      <c r="M1013" s="39" t="s">
        <v>159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909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1115</v>
      </c>
      <c r="E1014" s="802">
        <v>40729</v>
      </c>
      <c r="F1014" s="302" t="s">
        <v>501</v>
      </c>
      <c r="G1014" s="40"/>
      <c r="H1014" s="632" t="s">
        <v>1116</v>
      </c>
      <c r="I1014" s="260">
        <v>17</v>
      </c>
      <c r="J1014" s="260">
        <v>4592</v>
      </c>
      <c r="K1014" s="618">
        <f t="shared" si="75"/>
        <v>78064</v>
      </c>
      <c r="L1014" s="39" t="s">
        <v>167</v>
      </c>
      <c r="M1014" s="39" t="s">
        <v>159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909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1115</v>
      </c>
      <c r="E1015" s="802">
        <v>40729</v>
      </c>
      <c r="F1015" s="189" t="s">
        <v>410</v>
      </c>
      <c r="G1015" s="40"/>
      <c r="H1015" s="632" t="s">
        <v>1116</v>
      </c>
      <c r="I1015" s="851">
        <v>100</v>
      </c>
      <c r="J1015" s="260">
        <v>4448.97</v>
      </c>
      <c r="K1015" s="618">
        <f t="shared" si="75"/>
        <v>444897</v>
      </c>
      <c r="L1015" s="39" t="s">
        <v>167</v>
      </c>
      <c r="M1015" s="39" t="s">
        <v>159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909"/>
      <c r="AB1015" s="880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1115</v>
      </c>
      <c r="E1016" s="802">
        <v>40729</v>
      </c>
      <c r="F1016" s="189" t="s">
        <v>410</v>
      </c>
      <c r="G1016" s="40"/>
      <c r="H1016" s="632" t="s">
        <v>1116</v>
      </c>
      <c r="I1016" s="851">
        <v>6</v>
      </c>
      <c r="J1016" s="260">
        <v>4449</v>
      </c>
      <c r="K1016" s="618">
        <f t="shared" si="75"/>
        <v>26694</v>
      </c>
      <c r="L1016" s="39" t="s">
        <v>167</v>
      </c>
      <c r="M1016" s="39" t="s">
        <v>159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909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1117</v>
      </c>
      <c r="E1017" s="802">
        <v>40733</v>
      </c>
      <c r="F1017" s="40" t="s">
        <v>649</v>
      </c>
      <c r="G1017" s="40"/>
      <c r="H1017" s="632" t="s">
        <v>1116</v>
      </c>
      <c r="I1017" s="260">
        <v>3</v>
      </c>
      <c r="J1017" s="260">
        <v>23975</v>
      </c>
      <c r="K1017" s="618">
        <f t="shared" si="75"/>
        <v>71925</v>
      </c>
      <c r="L1017" s="39" t="s">
        <v>167</v>
      </c>
      <c r="M1017" s="39" t="s">
        <v>159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909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1117</v>
      </c>
      <c r="E1018" s="802">
        <v>40733</v>
      </c>
      <c r="F1018" s="189" t="s">
        <v>422</v>
      </c>
      <c r="G1018" s="40"/>
      <c r="H1018" s="632" t="s">
        <v>1116</v>
      </c>
      <c r="I1018" s="260">
        <v>50</v>
      </c>
      <c r="J1018" s="260">
        <v>15998</v>
      </c>
      <c r="K1018" s="618">
        <f t="shared" si="75"/>
        <v>799900</v>
      </c>
      <c r="L1018" s="39" t="s">
        <v>167</v>
      </c>
      <c r="M1018" s="39" t="s">
        <v>159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909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1117</v>
      </c>
      <c r="E1019" s="802">
        <v>40733</v>
      </c>
      <c r="F1019" s="40" t="s">
        <v>613</v>
      </c>
      <c r="G1019" s="40"/>
      <c r="H1019" s="632" t="s">
        <v>1116</v>
      </c>
      <c r="I1019" s="260">
        <v>60.5</v>
      </c>
      <c r="J1019" s="260">
        <v>35812</v>
      </c>
      <c r="K1019" s="618">
        <f t="shared" si="75"/>
        <v>2166626</v>
      </c>
      <c r="L1019" s="39" t="s">
        <v>167</v>
      </c>
      <c r="M1019" s="39" t="s">
        <v>159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909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1117</v>
      </c>
      <c r="E1020" s="802">
        <v>40733</v>
      </c>
      <c r="F1020" s="189" t="s">
        <v>511</v>
      </c>
      <c r="G1020" s="40"/>
      <c r="H1020" s="632" t="s">
        <v>1116</v>
      </c>
      <c r="I1020" s="260">
        <v>83</v>
      </c>
      <c r="J1020" s="260">
        <v>16172.963855421687</v>
      </c>
      <c r="K1020" s="618">
        <f t="shared" si="75"/>
        <v>1342356</v>
      </c>
      <c r="L1020" s="39" t="s">
        <v>167</v>
      </c>
      <c r="M1020" s="39" t="s">
        <v>159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909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1117</v>
      </c>
      <c r="E1021" s="802">
        <v>40733</v>
      </c>
      <c r="F1021" s="189" t="s">
        <v>511</v>
      </c>
      <c r="G1021" s="40"/>
      <c r="H1021" s="632" t="s">
        <v>1116</v>
      </c>
      <c r="I1021" s="260">
        <v>0.5</v>
      </c>
      <c r="J1021" s="260">
        <v>16173</v>
      </c>
      <c r="K1021" s="618">
        <f t="shared" si="75"/>
        <v>8087</v>
      </c>
      <c r="L1021" s="39" t="s">
        <v>167</v>
      </c>
      <c r="M1021" s="39" t="s">
        <v>159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909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1117</v>
      </c>
      <c r="E1022" s="802">
        <v>40733</v>
      </c>
      <c r="F1022" s="40" t="s">
        <v>613</v>
      </c>
      <c r="G1022" s="40"/>
      <c r="H1022" s="632" t="s">
        <v>1116</v>
      </c>
      <c r="I1022" s="260">
        <v>40</v>
      </c>
      <c r="J1022" s="260">
        <v>35812</v>
      </c>
      <c r="K1022" s="618">
        <f t="shared" si="75"/>
        <v>1432480</v>
      </c>
      <c r="L1022" s="39" t="s">
        <v>167</v>
      </c>
      <c r="M1022" s="39" t="s">
        <v>159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909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1117</v>
      </c>
      <c r="E1023" s="802">
        <v>40733</v>
      </c>
      <c r="F1023" s="189" t="s">
        <v>588</v>
      </c>
      <c r="G1023" s="40"/>
      <c r="H1023" s="632" t="s">
        <v>1116</v>
      </c>
      <c r="I1023" s="260">
        <v>78</v>
      </c>
      <c r="J1023" s="260">
        <v>29579</v>
      </c>
      <c r="K1023" s="618">
        <f t="shared" si="75"/>
        <v>2307162</v>
      </c>
      <c r="L1023" s="39" t="s">
        <v>167</v>
      </c>
      <c r="M1023" s="39" t="s">
        <v>159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909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1117</v>
      </c>
      <c r="E1024" s="802">
        <v>40733</v>
      </c>
      <c r="F1024" s="189" t="s">
        <v>542</v>
      </c>
      <c r="G1024" s="40"/>
      <c r="H1024" s="632" t="s">
        <v>1116</v>
      </c>
      <c r="I1024" s="260">
        <v>305</v>
      </c>
      <c r="J1024" s="260">
        <v>10603</v>
      </c>
      <c r="K1024" s="618">
        <f t="shared" si="75"/>
        <v>3233915</v>
      </c>
      <c r="L1024" s="39" t="s">
        <v>167</v>
      </c>
      <c r="M1024" s="39" t="s">
        <v>159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909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356</v>
      </c>
      <c r="E1025" s="184">
        <v>40735</v>
      </c>
      <c r="F1025" s="189" t="s">
        <v>358</v>
      </c>
      <c r="G1025" s="620" t="s">
        <v>353</v>
      </c>
      <c r="H1025" s="193" t="s">
        <v>756</v>
      </c>
      <c r="I1025" s="260"/>
      <c r="J1025" s="260"/>
      <c r="K1025" s="618">
        <v>109673711</v>
      </c>
      <c r="L1025" s="619" t="s">
        <v>24</v>
      </c>
      <c r="M1025" s="619" t="s">
        <v>274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909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458</v>
      </c>
      <c r="E1026" s="184">
        <v>40736</v>
      </c>
      <c r="F1026" s="189" t="s">
        <v>385</v>
      </c>
      <c r="G1026" s="620" t="s">
        <v>353</v>
      </c>
      <c r="H1026" s="193" t="s">
        <v>386</v>
      </c>
      <c r="I1026" s="260"/>
      <c r="J1026" s="260"/>
      <c r="K1026" s="618">
        <v>114504000</v>
      </c>
      <c r="L1026" s="619" t="s">
        <v>24</v>
      </c>
      <c r="M1026" s="619" t="s">
        <v>47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909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357</v>
      </c>
      <c r="E1027" s="184">
        <v>40736</v>
      </c>
      <c r="F1027" s="189" t="s">
        <v>390</v>
      </c>
      <c r="G1027" s="620" t="s">
        <v>353</v>
      </c>
      <c r="H1027" s="7" t="s">
        <v>582</v>
      </c>
      <c r="I1027" s="260"/>
      <c r="J1027" s="260"/>
      <c r="K1027" s="618">
        <v>114504000</v>
      </c>
      <c r="L1027" s="619" t="s">
        <v>8</v>
      </c>
      <c r="M1027" s="619" t="s">
        <v>24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909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357</v>
      </c>
      <c r="E1028" s="184">
        <v>40736</v>
      </c>
      <c r="F1028" s="189" t="s">
        <v>390</v>
      </c>
      <c r="G1028" s="620" t="s">
        <v>353</v>
      </c>
      <c r="H1028" s="7" t="s">
        <v>522</v>
      </c>
      <c r="I1028" s="260"/>
      <c r="J1028" s="260"/>
      <c r="K1028" s="618">
        <v>58400000</v>
      </c>
      <c r="L1028" s="619" t="s">
        <v>8</v>
      </c>
      <c r="M1028" s="619" t="s">
        <v>24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909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357</v>
      </c>
      <c r="E1029" s="184">
        <v>40736</v>
      </c>
      <c r="F1029" s="189" t="s">
        <v>393</v>
      </c>
      <c r="G1029" s="620" t="s">
        <v>353</v>
      </c>
      <c r="H1029" s="7"/>
      <c r="I1029" s="260"/>
      <c r="J1029" s="260"/>
      <c r="K1029" s="618">
        <v>18478</v>
      </c>
      <c r="L1029" s="619" t="s">
        <v>83</v>
      </c>
      <c r="M1029" s="619" t="s">
        <v>24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909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357</v>
      </c>
      <c r="E1030" s="184">
        <v>40736</v>
      </c>
      <c r="F1030" s="189" t="s">
        <v>359</v>
      </c>
      <c r="G1030" s="620" t="s">
        <v>353</v>
      </c>
      <c r="H1030" s="7"/>
      <c r="I1030" s="260"/>
      <c r="J1030" s="260"/>
      <c r="K1030" s="618">
        <v>10000</v>
      </c>
      <c r="L1030" s="619" t="s">
        <v>83</v>
      </c>
      <c r="M1030" s="619" t="s">
        <v>24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909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356</v>
      </c>
      <c r="E1031" s="184">
        <v>40737</v>
      </c>
      <c r="F1031" s="189" t="s">
        <v>358</v>
      </c>
      <c r="G1031" s="620" t="s">
        <v>353</v>
      </c>
      <c r="H1031" s="193" t="s">
        <v>756</v>
      </c>
      <c r="I1031" s="260"/>
      <c r="J1031" s="260"/>
      <c r="K1031" s="618">
        <v>14691258</v>
      </c>
      <c r="L1031" s="619" t="s">
        <v>24</v>
      </c>
      <c r="M1031" s="619" t="s">
        <v>274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909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1118</v>
      </c>
      <c r="E1032" s="802">
        <v>40737</v>
      </c>
      <c r="F1032" s="189" t="s">
        <v>601</v>
      </c>
      <c r="G1032" s="40"/>
      <c r="H1032" s="632" t="s">
        <v>1116</v>
      </c>
      <c r="I1032" s="260">
        <v>82</v>
      </c>
      <c r="J1032" s="260">
        <v>10344</v>
      </c>
      <c r="K1032" s="618">
        <f t="shared" ref="K1032:K1039" si="77">ROUND(I1032*J1032,0)</f>
        <v>848208</v>
      </c>
      <c r="L1032" s="39" t="s">
        <v>167</v>
      </c>
      <c r="M1032" s="39" t="s">
        <v>159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909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1118</v>
      </c>
      <c r="E1033" s="802">
        <v>40737</v>
      </c>
      <c r="F1033" s="189" t="s">
        <v>601</v>
      </c>
      <c r="G1033" s="40"/>
      <c r="H1033" s="632" t="s">
        <v>1116</v>
      </c>
      <c r="I1033" s="260">
        <v>0.5</v>
      </c>
      <c r="J1033" s="260">
        <v>10344</v>
      </c>
      <c r="K1033" s="618">
        <f t="shared" si="77"/>
        <v>5172</v>
      </c>
      <c r="L1033" s="39" t="s">
        <v>167</v>
      </c>
      <c r="M1033" s="39" t="s">
        <v>159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909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1118</v>
      </c>
      <c r="E1034" s="802">
        <v>40737</v>
      </c>
      <c r="F1034" s="189" t="s">
        <v>410</v>
      </c>
      <c r="G1034" s="40"/>
      <c r="H1034" s="632" t="s">
        <v>1116</v>
      </c>
      <c r="I1034" s="851">
        <v>0.5</v>
      </c>
      <c r="J1034" s="260">
        <v>4449</v>
      </c>
      <c r="K1034" s="618">
        <f t="shared" si="77"/>
        <v>2225</v>
      </c>
      <c r="L1034" s="39" t="s">
        <v>167</v>
      </c>
      <c r="M1034" s="39" t="s">
        <v>159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909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1118</v>
      </c>
      <c r="E1035" s="802">
        <v>40737</v>
      </c>
      <c r="F1035" s="189" t="s">
        <v>410</v>
      </c>
      <c r="G1035" s="40"/>
      <c r="H1035" s="632" t="s">
        <v>1116</v>
      </c>
      <c r="I1035" s="851">
        <v>1</v>
      </c>
      <c r="J1035" s="260">
        <v>4449</v>
      </c>
      <c r="K1035" s="618">
        <f t="shared" si="77"/>
        <v>4449</v>
      </c>
      <c r="L1035" s="39" t="s">
        <v>167</v>
      </c>
      <c r="M1035" s="39" t="s">
        <v>159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909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1118</v>
      </c>
      <c r="E1036" s="802">
        <v>40737</v>
      </c>
      <c r="F1036" s="189" t="s">
        <v>575</v>
      </c>
      <c r="G1036" s="40"/>
      <c r="H1036" s="632" t="s">
        <v>1116</v>
      </c>
      <c r="I1036" s="260">
        <v>3</v>
      </c>
      <c r="J1036" s="260">
        <v>11247</v>
      </c>
      <c r="K1036" s="618">
        <f t="shared" si="77"/>
        <v>33741</v>
      </c>
      <c r="L1036" s="39" t="s">
        <v>167</v>
      </c>
      <c r="M1036" s="39" t="s">
        <v>159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909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1118</v>
      </c>
      <c r="E1037" s="802">
        <v>40737</v>
      </c>
      <c r="F1037" s="189" t="s">
        <v>410</v>
      </c>
      <c r="G1037" s="40"/>
      <c r="H1037" s="632" t="s">
        <v>1116</v>
      </c>
      <c r="I1037" s="851">
        <v>1</v>
      </c>
      <c r="J1037" s="260">
        <v>4449</v>
      </c>
      <c r="K1037" s="618">
        <f t="shared" si="77"/>
        <v>4449</v>
      </c>
      <c r="L1037" s="39" t="s">
        <v>167</v>
      </c>
      <c r="M1037" s="39" t="s">
        <v>159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909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1118</v>
      </c>
      <c r="E1038" s="802">
        <v>40737</v>
      </c>
      <c r="F1038" s="302" t="s">
        <v>502</v>
      </c>
      <c r="G1038" s="40"/>
      <c r="H1038" s="632" t="s">
        <v>1116</v>
      </c>
      <c r="I1038" s="260">
        <v>3</v>
      </c>
      <c r="J1038" s="260">
        <v>6026</v>
      </c>
      <c r="K1038" s="618">
        <f t="shared" si="77"/>
        <v>18078</v>
      </c>
      <c r="L1038" s="39" t="s">
        <v>167</v>
      </c>
      <c r="M1038" s="39" t="s">
        <v>159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909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1118</v>
      </c>
      <c r="E1039" s="802">
        <v>40737</v>
      </c>
      <c r="F1039" s="40" t="s">
        <v>625</v>
      </c>
      <c r="G1039" s="40"/>
      <c r="H1039" s="632" t="s">
        <v>1116</v>
      </c>
      <c r="I1039" s="260">
        <v>6</v>
      </c>
      <c r="J1039" s="260">
        <v>13090</v>
      </c>
      <c r="K1039" s="618">
        <f t="shared" si="77"/>
        <v>78540</v>
      </c>
      <c r="L1039" s="39" t="s">
        <v>167</v>
      </c>
      <c r="M1039" s="39" t="s">
        <v>159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909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459</v>
      </c>
      <c r="E1040" s="191">
        <v>40738</v>
      </c>
      <c r="F1040" s="192" t="s">
        <v>1163</v>
      </c>
      <c r="G1040" s="502" t="s">
        <v>609</v>
      </c>
      <c r="H1040" s="848" t="s">
        <v>1164</v>
      </c>
      <c r="I1040" s="263"/>
      <c r="J1040" s="263"/>
      <c r="K1040" s="618">
        <v>1090909</v>
      </c>
      <c r="L1040" s="194" t="s">
        <v>167</v>
      </c>
      <c r="M1040" s="194" t="s">
        <v>47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909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459</v>
      </c>
      <c r="E1041" s="191">
        <v>40738</v>
      </c>
      <c r="F1041" s="192" t="s">
        <v>1165</v>
      </c>
      <c r="G1041" s="502" t="s">
        <v>609</v>
      </c>
      <c r="H1041" s="848" t="s">
        <v>1164</v>
      </c>
      <c r="I1041" s="263"/>
      <c r="J1041" s="263"/>
      <c r="K1041" s="38">
        <v>109091</v>
      </c>
      <c r="L1041" s="194" t="s">
        <v>9</v>
      </c>
      <c r="M1041" s="194" t="s">
        <v>47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909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356</v>
      </c>
      <c r="E1042" s="184">
        <v>40739</v>
      </c>
      <c r="F1042" s="189" t="s">
        <v>358</v>
      </c>
      <c r="G1042" s="620" t="s">
        <v>353</v>
      </c>
      <c r="H1042" s="193" t="s">
        <v>757</v>
      </c>
      <c r="I1042" s="260"/>
      <c r="J1042" s="260"/>
      <c r="K1042" s="618">
        <v>18227209</v>
      </c>
      <c r="L1042" s="619" t="s">
        <v>24</v>
      </c>
      <c r="M1042" s="619" t="s">
        <v>274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909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357</v>
      </c>
      <c r="E1043" s="184">
        <v>40739</v>
      </c>
      <c r="F1043" s="189" t="s">
        <v>390</v>
      </c>
      <c r="G1043" s="620" t="s">
        <v>353</v>
      </c>
      <c r="H1043" s="7" t="s">
        <v>571</v>
      </c>
      <c r="I1043" s="260"/>
      <c r="J1043" s="260"/>
      <c r="K1043" s="618">
        <v>23400000</v>
      </c>
      <c r="L1043" s="619" t="s">
        <v>8</v>
      </c>
      <c r="M1043" s="619" t="s">
        <v>24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909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981</v>
      </c>
      <c r="E1044" s="191">
        <v>40739</v>
      </c>
      <c r="F1044" s="192" t="s">
        <v>1009</v>
      </c>
      <c r="G1044" s="502" t="s">
        <v>1197</v>
      </c>
      <c r="H1044" s="193" t="s">
        <v>756</v>
      </c>
      <c r="I1044" s="260">
        <v>124</v>
      </c>
      <c r="J1044" s="260">
        <v>10748</v>
      </c>
      <c r="K1044" s="618">
        <v>1332752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909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981</v>
      </c>
      <c r="E1045" s="191">
        <v>40739</v>
      </c>
      <c r="F1045" s="192" t="s">
        <v>1010</v>
      </c>
      <c r="G1045" s="502" t="s">
        <v>1197</v>
      </c>
      <c r="H1045" s="193" t="s">
        <v>756</v>
      </c>
      <c r="I1045" s="260">
        <v>1292</v>
      </c>
      <c r="J1045" s="260">
        <v>14010</v>
      </c>
      <c r="K1045" s="618">
        <v>18100920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909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981</v>
      </c>
      <c r="E1046" s="191">
        <v>40739</v>
      </c>
      <c r="F1046" s="192" t="s">
        <v>1011</v>
      </c>
      <c r="G1046" s="502" t="s">
        <v>1197</v>
      </c>
      <c r="H1046" s="193" t="s">
        <v>756</v>
      </c>
      <c r="I1046" s="260">
        <v>27</v>
      </c>
      <c r="J1046" s="260">
        <v>18287</v>
      </c>
      <c r="K1046" s="618">
        <v>493749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909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981</v>
      </c>
      <c r="E1047" s="191">
        <v>40739</v>
      </c>
      <c r="F1047" s="192" t="s">
        <v>1012</v>
      </c>
      <c r="G1047" s="502" t="s">
        <v>1197</v>
      </c>
      <c r="H1047" s="193" t="s">
        <v>756</v>
      </c>
      <c r="I1047" s="260">
        <v>120</v>
      </c>
      <c r="J1047" s="260">
        <v>4504</v>
      </c>
      <c r="K1047" s="618">
        <v>540480</v>
      </c>
      <c r="L1047" s="194" t="s">
        <v>274</v>
      </c>
      <c r="M1047" s="194" t="s">
        <v>181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909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981</v>
      </c>
      <c r="E1048" s="191">
        <v>40739</v>
      </c>
      <c r="F1048" s="192" t="s">
        <v>1013</v>
      </c>
      <c r="G1048" s="502" t="s">
        <v>1197</v>
      </c>
      <c r="H1048" s="193" t="s">
        <v>756</v>
      </c>
      <c r="I1048" s="264">
        <v>600</v>
      </c>
      <c r="J1048" s="264">
        <v>2538</v>
      </c>
      <c r="K1048" s="618">
        <v>1522800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909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981</v>
      </c>
      <c r="E1049" s="191">
        <v>40739</v>
      </c>
      <c r="F1049" s="192" t="s">
        <v>1014</v>
      </c>
      <c r="G1049" s="502" t="s">
        <v>1197</v>
      </c>
      <c r="H1049" s="193" t="s">
        <v>756</v>
      </c>
      <c r="I1049" s="264">
        <v>170</v>
      </c>
      <c r="J1049" s="264">
        <v>2333</v>
      </c>
      <c r="K1049" s="618">
        <v>396610</v>
      </c>
      <c r="L1049" s="194" t="s">
        <v>274</v>
      </c>
      <c r="M1049" s="194" t="s">
        <v>181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909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981</v>
      </c>
      <c r="E1050" s="191">
        <v>40739</v>
      </c>
      <c r="F1050" s="192" t="s">
        <v>1015</v>
      </c>
      <c r="G1050" s="502" t="s">
        <v>1197</v>
      </c>
      <c r="H1050" s="193" t="s">
        <v>756</v>
      </c>
      <c r="I1050" s="260">
        <v>100</v>
      </c>
      <c r="J1050" s="260">
        <v>6577</v>
      </c>
      <c r="K1050" s="618">
        <v>657700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909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981</v>
      </c>
      <c r="E1051" s="191">
        <v>40739</v>
      </c>
      <c r="F1051" s="192" t="s">
        <v>1015</v>
      </c>
      <c r="G1051" s="502" t="s">
        <v>1197</v>
      </c>
      <c r="H1051" s="193" t="s">
        <v>756</v>
      </c>
      <c r="I1051" s="262">
        <v>60</v>
      </c>
      <c r="J1051" s="262">
        <v>2711</v>
      </c>
      <c r="K1051" s="618">
        <v>162660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909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981</v>
      </c>
      <c r="E1052" s="191">
        <v>40739</v>
      </c>
      <c r="F1052" s="192" t="s">
        <v>1198</v>
      </c>
      <c r="G1052" s="502" t="s">
        <v>1197</v>
      </c>
      <c r="H1052" s="193" t="s">
        <v>756</v>
      </c>
      <c r="I1052" s="260"/>
      <c r="J1052" s="260"/>
      <c r="K1052" s="618">
        <v>2320767</v>
      </c>
      <c r="L1052" s="194" t="s">
        <v>274</v>
      </c>
      <c r="M1052" s="194" t="s">
        <v>754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909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1119</v>
      </c>
      <c r="E1053" s="802">
        <v>40739</v>
      </c>
      <c r="F1053" s="40" t="s">
        <v>624</v>
      </c>
      <c r="G1053" s="40"/>
      <c r="H1053" s="632" t="s">
        <v>1116</v>
      </c>
      <c r="I1053" s="260">
        <v>2.5</v>
      </c>
      <c r="J1053" s="260">
        <v>16302.8</v>
      </c>
      <c r="K1053" s="618">
        <f t="shared" ref="K1053:K1078" si="80">ROUND(I1053*J1053,0)</f>
        <v>40757</v>
      </c>
      <c r="L1053" s="39" t="s">
        <v>167</v>
      </c>
      <c r="M1053" s="39" t="s">
        <v>159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909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1119</v>
      </c>
      <c r="E1054" s="802">
        <v>40739</v>
      </c>
      <c r="F1054" s="40" t="s">
        <v>624</v>
      </c>
      <c r="G1054" s="40"/>
      <c r="H1054" s="632" t="s">
        <v>1116</v>
      </c>
      <c r="I1054" s="260">
        <v>0.5</v>
      </c>
      <c r="J1054" s="260">
        <v>16303</v>
      </c>
      <c r="K1054" s="618">
        <f t="shared" si="80"/>
        <v>8152</v>
      </c>
      <c r="L1054" s="39" t="s">
        <v>167</v>
      </c>
      <c r="M1054" s="39" t="s">
        <v>159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909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1119</v>
      </c>
      <c r="E1055" s="802">
        <v>40739</v>
      </c>
      <c r="F1055" s="189" t="s">
        <v>511</v>
      </c>
      <c r="G1055" s="40"/>
      <c r="H1055" s="632" t="s">
        <v>1116</v>
      </c>
      <c r="I1055" s="260">
        <v>0.5</v>
      </c>
      <c r="J1055" s="260">
        <v>16173</v>
      </c>
      <c r="K1055" s="618">
        <f t="shared" si="80"/>
        <v>8087</v>
      </c>
      <c r="L1055" s="39" t="s">
        <v>167</v>
      </c>
      <c r="M1055" s="39" t="s">
        <v>159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909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1119</v>
      </c>
      <c r="E1056" s="802">
        <v>40739</v>
      </c>
      <c r="F1056" s="40" t="s">
        <v>645</v>
      </c>
      <c r="G1056" s="40"/>
      <c r="H1056" s="632" t="s">
        <v>1116</v>
      </c>
      <c r="I1056" s="260">
        <v>9</v>
      </c>
      <c r="J1056" s="260">
        <v>23906</v>
      </c>
      <c r="K1056" s="618">
        <f t="shared" si="80"/>
        <v>215154</v>
      </c>
      <c r="L1056" s="39" t="s">
        <v>167</v>
      </c>
      <c r="M1056" s="39" t="s">
        <v>159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909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1119</v>
      </c>
      <c r="E1057" s="802">
        <v>40739</v>
      </c>
      <c r="F1057" s="189" t="s">
        <v>516</v>
      </c>
      <c r="G1057" s="40"/>
      <c r="H1057" s="632" t="s">
        <v>1116</v>
      </c>
      <c r="I1057" s="260">
        <v>83</v>
      </c>
      <c r="J1057" s="260">
        <v>22806</v>
      </c>
      <c r="K1057" s="618">
        <f t="shared" si="80"/>
        <v>1892898</v>
      </c>
      <c r="L1057" s="39" t="s">
        <v>167</v>
      </c>
      <c r="M1057" s="39" t="s">
        <v>159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909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1119</v>
      </c>
      <c r="E1058" s="802">
        <v>40739</v>
      </c>
      <c r="F1058" s="40" t="s">
        <v>627</v>
      </c>
      <c r="G1058" s="40"/>
      <c r="H1058" s="632" t="s">
        <v>1116</v>
      </c>
      <c r="I1058" s="260">
        <v>1</v>
      </c>
      <c r="J1058" s="260">
        <v>14280</v>
      </c>
      <c r="K1058" s="618">
        <f t="shared" si="80"/>
        <v>14280</v>
      </c>
      <c r="L1058" s="39" t="s">
        <v>167</v>
      </c>
      <c r="M1058" s="39" t="s">
        <v>159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909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1119</v>
      </c>
      <c r="E1059" s="802">
        <v>40739</v>
      </c>
      <c r="F1059" s="40" t="s">
        <v>624</v>
      </c>
      <c r="G1059" s="40"/>
      <c r="H1059" s="632" t="s">
        <v>1116</v>
      </c>
      <c r="I1059" s="260">
        <v>0.5</v>
      </c>
      <c r="J1059" s="260">
        <v>16303</v>
      </c>
      <c r="K1059" s="618">
        <f t="shared" si="80"/>
        <v>8152</v>
      </c>
      <c r="L1059" s="39" t="s">
        <v>167</v>
      </c>
      <c r="M1059" s="39" t="s">
        <v>159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909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1119</v>
      </c>
      <c r="E1060" s="802">
        <v>40739</v>
      </c>
      <c r="F1060" s="189" t="s">
        <v>542</v>
      </c>
      <c r="G1060" s="40"/>
      <c r="H1060" s="632" t="s">
        <v>1116</v>
      </c>
      <c r="I1060" s="260">
        <v>4</v>
      </c>
      <c r="J1060" s="260">
        <v>10603</v>
      </c>
      <c r="K1060" s="618">
        <f t="shared" si="80"/>
        <v>42412</v>
      </c>
      <c r="L1060" s="39" t="s">
        <v>167</v>
      </c>
      <c r="M1060" s="39" t="s">
        <v>159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909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1119</v>
      </c>
      <c r="E1061" s="802">
        <v>40739</v>
      </c>
      <c r="F1061" s="189" t="s">
        <v>515</v>
      </c>
      <c r="G1061" s="40"/>
      <c r="H1061" s="632" t="s">
        <v>1116</v>
      </c>
      <c r="I1061" s="260">
        <v>1.5</v>
      </c>
      <c r="J1061" s="260">
        <v>23716</v>
      </c>
      <c r="K1061" s="618">
        <f t="shared" si="80"/>
        <v>35574</v>
      </c>
      <c r="L1061" s="39" t="s">
        <v>167</v>
      </c>
      <c r="M1061" s="39" t="s">
        <v>159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909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1119</v>
      </c>
      <c r="E1062" s="802">
        <v>40739</v>
      </c>
      <c r="F1062" s="189" t="s">
        <v>515</v>
      </c>
      <c r="G1062" s="40"/>
      <c r="H1062" s="632" t="s">
        <v>1116</v>
      </c>
      <c r="I1062" s="260">
        <v>1.5</v>
      </c>
      <c r="J1062" s="260">
        <v>23716</v>
      </c>
      <c r="K1062" s="618">
        <f t="shared" si="80"/>
        <v>35574</v>
      </c>
      <c r="L1062" s="39" t="s">
        <v>167</v>
      </c>
      <c r="M1062" s="39" t="s">
        <v>159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909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1136</v>
      </c>
      <c r="E1063" s="37">
        <v>40739</v>
      </c>
      <c r="F1063" s="40" t="s">
        <v>1009</v>
      </c>
      <c r="G1063" s="40"/>
      <c r="H1063" s="632" t="s">
        <v>1116</v>
      </c>
      <c r="I1063" s="260">
        <v>124</v>
      </c>
      <c r="J1063" s="260">
        <v>8248.4067996696067</v>
      </c>
      <c r="K1063" s="618">
        <f t="shared" si="80"/>
        <v>1022802</v>
      </c>
      <c r="L1063" s="39" t="s">
        <v>169</v>
      </c>
      <c r="M1063" s="39" t="s">
        <v>167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909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1136</v>
      </c>
      <c r="E1064" s="37">
        <v>40739</v>
      </c>
      <c r="F1064" s="40" t="s">
        <v>1010</v>
      </c>
      <c r="G1064" s="40"/>
      <c r="H1064" s="632" t="s">
        <v>1116</v>
      </c>
      <c r="I1064" s="260">
        <v>1292</v>
      </c>
      <c r="J1064" s="260">
        <v>10697.405701097752</v>
      </c>
      <c r="K1064" s="618">
        <f t="shared" si="80"/>
        <v>13821048</v>
      </c>
      <c r="L1064" s="39" t="s">
        <v>169</v>
      </c>
      <c r="M1064" s="39" t="s">
        <v>167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909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1136</v>
      </c>
      <c r="E1065" s="37">
        <v>40739</v>
      </c>
      <c r="F1065" s="40" t="s">
        <v>1011</v>
      </c>
      <c r="G1065" s="40"/>
      <c r="H1065" s="632" t="s">
        <v>1116</v>
      </c>
      <c r="I1065" s="260">
        <v>27</v>
      </c>
      <c r="J1065" s="260">
        <v>18104.102438857182</v>
      </c>
      <c r="K1065" s="618">
        <f t="shared" si="80"/>
        <v>488811</v>
      </c>
      <c r="L1065" s="39" t="s">
        <v>169</v>
      </c>
      <c r="M1065" s="39" t="s">
        <v>167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909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1136</v>
      </c>
      <c r="E1066" s="37">
        <v>40739</v>
      </c>
      <c r="F1066" s="40" t="s">
        <v>1012</v>
      </c>
      <c r="G1066" s="40"/>
      <c r="H1066" s="632" t="s">
        <v>1116</v>
      </c>
      <c r="I1066" s="260">
        <v>120</v>
      </c>
      <c r="J1066" s="260">
        <v>4446.9070684868111</v>
      </c>
      <c r="K1066" s="618">
        <f t="shared" si="80"/>
        <v>533629</v>
      </c>
      <c r="L1066" s="39" t="s">
        <v>169</v>
      </c>
      <c r="M1066" s="39" t="s">
        <v>167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909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1136</v>
      </c>
      <c r="E1067" s="37">
        <v>40739</v>
      </c>
      <c r="F1067" s="40" t="s">
        <v>1013</v>
      </c>
      <c r="G1067" s="40"/>
      <c r="H1067" s="632" t="s">
        <v>1116</v>
      </c>
      <c r="I1067" s="260">
        <v>600</v>
      </c>
      <c r="J1067" s="260">
        <v>2667.3004018201455</v>
      </c>
      <c r="K1067" s="618">
        <f t="shared" si="80"/>
        <v>1600380</v>
      </c>
      <c r="L1067" s="39" t="s">
        <v>169</v>
      </c>
      <c r="M1067" s="39" t="s">
        <v>167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909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1136</v>
      </c>
      <c r="E1068" s="37">
        <v>40739</v>
      </c>
      <c r="F1068" s="192" t="s">
        <v>1233</v>
      </c>
      <c r="G1068" s="40"/>
      <c r="H1068" s="632" t="s">
        <v>1116</v>
      </c>
      <c r="I1068" s="260">
        <v>170</v>
      </c>
      <c r="J1068" s="260">
        <v>2681.6046175064198</v>
      </c>
      <c r="K1068" s="618">
        <f t="shared" si="80"/>
        <v>455873</v>
      </c>
      <c r="L1068" s="39" t="s">
        <v>169</v>
      </c>
      <c r="M1068" s="39" t="s">
        <v>167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909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1136</v>
      </c>
      <c r="E1069" s="37">
        <v>40739</v>
      </c>
      <c r="F1069" s="192" t="s">
        <v>779</v>
      </c>
      <c r="G1069" s="40"/>
      <c r="H1069" s="632" t="s">
        <v>1116</v>
      </c>
      <c r="I1069" s="260">
        <v>100</v>
      </c>
      <c r="J1069" s="260">
        <v>6671.3787351534784</v>
      </c>
      <c r="K1069" s="618">
        <f t="shared" si="80"/>
        <v>667138</v>
      </c>
      <c r="L1069" s="39" t="s">
        <v>169</v>
      </c>
      <c r="M1069" s="39" t="s">
        <v>167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909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1136</v>
      </c>
      <c r="E1070" s="37">
        <v>40739</v>
      </c>
      <c r="F1070" s="192" t="s">
        <v>779</v>
      </c>
      <c r="G1070" s="40"/>
      <c r="H1070" s="632" t="s">
        <v>1116</v>
      </c>
      <c r="I1070" s="260">
        <v>60</v>
      </c>
      <c r="J1070" s="260">
        <v>2667.3154018201449</v>
      </c>
      <c r="K1070" s="618">
        <f t="shared" si="80"/>
        <v>160039</v>
      </c>
      <c r="L1070" s="39" t="s">
        <v>169</v>
      </c>
      <c r="M1070" s="39" t="s">
        <v>167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909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981</v>
      </c>
      <c r="E1071" s="37">
        <v>40739</v>
      </c>
      <c r="F1071" s="40" t="s">
        <v>1009</v>
      </c>
      <c r="G1071" s="40" t="s">
        <v>1197</v>
      </c>
      <c r="H1071" s="632" t="s">
        <v>756</v>
      </c>
      <c r="I1071" s="260">
        <v>124</v>
      </c>
      <c r="J1071" s="260">
        <v>8248.4067996696067</v>
      </c>
      <c r="K1071" s="618">
        <f t="shared" si="80"/>
        <v>1022802</v>
      </c>
      <c r="L1071" s="39" t="s">
        <v>179</v>
      </c>
      <c r="M1071" s="39" t="s">
        <v>169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909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981</v>
      </c>
      <c r="E1072" s="37">
        <v>40739</v>
      </c>
      <c r="F1072" s="40" t="s">
        <v>1010</v>
      </c>
      <c r="G1072" s="40" t="s">
        <v>1197</v>
      </c>
      <c r="H1072" s="632" t="s">
        <v>756</v>
      </c>
      <c r="I1072" s="260">
        <v>1292</v>
      </c>
      <c r="J1072" s="260">
        <v>10697.405701097752</v>
      </c>
      <c r="K1072" s="618">
        <f t="shared" si="80"/>
        <v>13821048</v>
      </c>
      <c r="L1072" s="39" t="s">
        <v>179</v>
      </c>
      <c r="M1072" s="39" t="s">
        <v>169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909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981</v>
      </c>
      <c r="E1073" s="37">
        <v>40739</v>
      </c>
      <c r="F1073" s="40" t="s">
        <v>1011</v>
      </c>
      <c r="G1073" s="40" t="s">
        <v>1197</v>
      </c>
      <c r="H1073" s="632" t="s">
        <v>756</v>
      </c>
      <c r="I1073" s="260">
        <v>27</v>
      </c>
      <c r="J1073" s="260">
        <v>18104.102438857182</v>
      </c>
      <c r="K1073" s="618">
        <f t="shared" si="80"/>
        <v>488811</v>
      </c>
      <c r="L1073" s="39" t="s">
        <v>179</v>
      </c>
      <c r="M1073" s="39" t="s">
        <v>169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909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981</v>
      </c>
      <c r="E1074" s="37">
        <v>40739</v>
      </c>
      <c r="F1074" s="40" t="s">
        <v>1012</v>
      </c>
      <c r="G1074" s="40" t="s">
        <v>1197</v>
      </c>
      <c r="H1074" s="632" t="s">
        <v>756</v>
      </c>
      <c r="I1074" s="260">
        <v>120</v>
      </c>
      <c r="J1074" s="260">
        <v>4446.9070684868111</v>
      </c>
      <c r="K1074" s="618">
        <f t="shared" si="80"/>
        <v>533629</v>
      </c>
      <c r="L1074" s="39" t="s">
        <v>179</v>
      </c>
      <c r="M1074" s="39" t="s">
        <v>169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909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981</v>
      </c>
      <c r="E1075" s="37">
        <v>40739</v>
      </c>
      <c r="F1075" s="40" t="s">
        <v>1013</v>
      </c>
      <c r="G1075" s="40" t="s">
        <v>1197</v>
      </c>
      <c r="H1075" s="632" t="s">
        <v>756</v>
      </c>
      <c r="I1075" s="260">
        <v>600</v>
      </c>
      <c r="J1075" s="260">
        <v>2667.3004018201455</v>
      </c>
      <c r="K1075" s="618">
        <f t="shared" si="80"/>
        <v>1600380</v>
      </c>
      <c r="L1075" s="39" t="s">
        <v>179</v>
      </c>
      <c r="M1075" s="39" t="s">
        <v>169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909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981</v>
      </c>
      <c r="E1076" s="37">
        <v>40739</v>
      </c>
      <c r="F1076" s="192" t="s">
        <v>1233</v>
      </c>
      <c r="G1076" s="40" t="s">
        <v>1197</v>
      </c>
      <c r="H1076" s="632" t="s">
        <v>756</v>
      </c>
      <c r="I1076" s="260">
        <v>170</v>
      </c>
      <c r="J1076" s="260">
        <v>2681.6046175064198</v>
      </c>
      <c r="K1076" s="618">
        <f t="shared" si="80"/>
        <v>455873</v>
      </c>
      <c r="L1076" s="39" t="s">
        <v>179</v>
      </c>
      <c r="M1076" s="39" t="s">
        <v>169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909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981</v>
      </c>
      <c r="E1077" s="37">
        <v>40739</v>
      </c>
      <c r="F1077" s="192" t="s">
        <v>779</v>
      </c>
      <c r="G1077" s="40" t="s">
        <v>1197</v>
      </c>
      <c r="H1077" s="632" t="s">
        <v>756</v>
      </c>
      <c r="I1077" s="260">
        <v>100</v>
      </c>
      <c r="J1077" s="260">
        <v>6671.3787351534784</v>
      </c>
      <c r="K1077" s="618">
        <f t="shared" si="80"/>
        <v>667138</v>
      </c>
      <c r="L1077" s="39" t="s">
        <v>179</v>
      </c>
      <c r="M1077" s="39" t="s">
        <v>169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909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981</v>
      </c>
      <c r="E1078" s="37">
        <v>40739</v>
      </c>
      <c r="F1078" s="192" t="s">
        <v>779</v>
      </c>
      <c r="G1078" s="40" t="s">
        <v>1197</v>
      </c>
      <c r="H1078" s="632" t="s">
        <v>756</v>
      </c>
      <c r="I1078" s="260">
        <v>60</v>
      </c>
      <c r="J1078" s="260">
        <v>2667.3154018201449</v>
      </c>
      <c r="K1078" s="618">
        <f t="shared" si="80"/>
        <v>160039</v>
      </c>
      <c r="L1078" s="39" t="s">
        <v>179</v>
      </c>
      <c r="M1078" s="39" t="s">
        <v>169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909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455</v>
      </c>
      <c r="E1079" s="184">
        <v>40740</v>
      </c>
      <c r="F1079" s="189" t="s">
        <v>389</v>
      </c>
      <c r="G1079" s="620" t="s">
        <v>353</v>
      </c>
      <c r="H1079" s="193" t="s">
        <v>386</v>
      </c>
      <c r="I1079" s="260"/>
      <c r="J1079" s="260"/>
      <c r="K1079" s="618">
        <v>62000000</v>
      </c>
      <c r="L1079" s="619" t="s">
        <v>47</v>
      </c>
      <c r="M1079" s="619" t="s">
        <v>24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909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982</v>
      </c>
      <c r="E1080" s="191">
        <v>40741</v>
      </c>
      <c r="F1080" s="192" t="s">
        <v>764</v>
      </c>
      <c r="G1080" s="502" t="s">
        <v>1199</v>
      </c>
      <c r="H1080" s="193" t="s">
        <v>756</v>
      </c>
      <c r="I1080" s="260">
        <v>6</v>
      </c>
      <c r="J1080" s="260">
        <v>17330</v>
      </c>
      <c r="K1080" s="618">
        <v>103980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909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982</v>
      </c>
      <c r="E1081" s="191">
        <v>40741</v>
      </c>
      <c r="F1081" s="192" t="s">
        <v>765</v>
      </c>
      <c r="G1081" s="502" t="s">
        <v>1199</v>
      </c>
      <c r="H1081" s="193" t="s">
        <v>756</v>
      </c>
      <c r="I1081" s="260">
        <v>50</v>
      </c>
      <c r="J1081" s="260">
        <v>19814</v>
      </c>
      <c r="K1081" s="618">
        <v>990700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909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982</v>
      </c>
      <c r="E1082" s="191">
        <v>40741</v>
      </c>
      <c r="F1082" s="192" t="s">
        <v>1016</v>
      </c>
      <c r="G1082" s="502" t="s">
        <v>1199</v>
      </c>
      <c r="H1082" s="193" t="s">
        <v>756</v>
      </c>
      <c r="I1082" s="260">
        <v>121</v>
      </c>
      <c r="J1082" s="260">
        <v>21646</v>
      </c>
      <c r="K1082" s="618">
        <v>2619166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909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982</v>
      </c>
      <c r="E1083" s="191">
        <v>40741</v>
      </c>
      <c r="F1083" s="192" t="s">
        <v>766</v>
      </c>
      <c r="G1083" s="502" t="s">
        <v>1199</v>
      </c>
      <c r="H1083" s="193" t="s">
        <v>756</v>
      </c>
      <c r="I1083" s="260">
        <v>83</v>
      </c>
      <c r="J1083" s="260">
        <v>19248</v>
      </c>
      <c r="K1083" s="618">
        <v>1597584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909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982</v>
      </c>
      <c r="E1084" s="191">
        <v>40741</v>
      </c>
      <c r="F1084" s="192" t="s">
        <v>767</v>
      </c>
      <c r="G1084" s="502" t="s">
        <v>1199</v>
      </c>
      <c r="H1084" s="193" t="s">
        <v>756</v>
      </c>
      <c r="I1084" s="260">
        <v>1</v>
      </c>
      <c r="J1084" s="260">
        <v>14591</v>
      </c>
      <c r="K1084" s="618">
        <v>14591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909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982</v>
      </c>
      <c r="E1085" s="191">
        <v>40741</v>
      </c>
      <c r="F1085" s="192" t="s">
        <v>1017</v>
      </c>
      <c r="G1085" s="502" t="s">
        <v>1199</v>
      </c>
      <c r="H1085" s="193" t="s">
        <v>756</v>
      </c>
      <c r="I1085" s="262">
        <v>80</v>
      </c>
      <c r="J1085" s="262">
        <v>20979</v>
      </c>
      <c r="K1085" s="618">
        <v>1678320</v>
      </c>
      <c r="L1085" s="194" t="s">
        <v>274</v>
      </c>
      <c r="M1085" s="194" t="s">
        <v>181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909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982</v>
      </c>
      <c r="E1086" s="191">
        <v>40741</v>
      </c>
      <c r="F1086" s="192" t="s">
        <v>1018</v>
      </c>
      <c r="G1086" s="502" t="s">
        <v>1199</v>
      </c>
      <c r="H1086" s="193" t="s">
        <v>756</v>
      </c>
      <c r="I1086" s="260">
        <v>156</v>
      </c>
      <c r="J1086" s="260">
        <v>18287</v>
      </c>
      <c r="K1086" s="618">
        <v>2852772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909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982</v>
      </c>
      <c r="E1087" s="191">
        <v>40741</v>
      </c>
      <c r="F1087" s="192" t="s">
        <v>1019</v>
      </c>
      <c r="G1087" s="502" t="s">
        <v>1199</v>
      </c>
      <c r="H1087" s="193" t="s">
        <v>756</v>
      </c>
      <c r="I1087" s="260">
        <v>610</v>
      </c>
      <c r="J1087" s="260">
        <v>9338</v>
      </c>
      <c r="K1087" s="618">
        <v>5696180</v>
      </c>
      <c r="L1087" s="194" t="s">
        <v>274</v>
      </c>
      <c r="M1087" s="194" t="s">
        <v>181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909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982</v>
      </c>
      <c r="E1088" s="191">
        <v>40741</v>
      </c>
      <c r="F1088" s="192" t="s">
        <v>1200</v>
      </c>
      <c r="G1088" s="502" t="s">
        <v>1199</v>
      </c>
      <c r="H1088" s="193" t="s">
        <v>756</v>
      </c>
      <c r="I1088" s="260"/>
      <c r="J1088" s="260"/>
      <c r="K1088" s="618">
        <v>1555329</v>
      </c>
      <c r="L1088" s="194" t="s">
        <v>274</v>
      </c>
      <c r="M1088" s="194" t="s">
        <v>754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909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1120</v>
      </c>
      <c r="E1089" s="802">
        <v>40741</v>
      </c>
      <c r="F1089" s="189" t="s">
        <v>516</v>
      </c>
      <c r="G1089" s="40"/>
      <c r="H1089" s="632" t="s">
        <v>1116</v>
      </c>
      <c r="I1089" s="260">
        <v>54</v>
      </c>
      <c r="J1089" s="260">
        <v>22806</v>
      </c>
      <c r="K1089" s="618">
        <f t="shared" ref="K1089:K1110" si="82">ROUND(I1089*J1089,0)</f>
        <v>1231524</v>
      </c>
      <c r="L1089" s="39" t="s">
        <v>167</v>
      </c>
      <c r="M1089" s="39" t="s">
        <v>159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909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1120</v>
      </c>
      <c r="E1090" s="802">
        <v>40741</v>
      </c>
      <c r="F1090" s="189" t="s">
        <v>574</v>
      </c>
      <c r="G1090" s="40"/>
      <c r="H1090" s="632" t="s">
        <v>1116</v>
      </c>
      <c r="I1090" s="260">
        <v>41</v>
      </c>
      <c r="J1090" s="260">
        <v>16973</v>
      </c>
      <c r="K1090" s="618">
        <f t="shared" si="82"/>
        <v>695893</v>
      </c>
      <c r="L1090" s="39" t="s">
        <v>167</v>
      </c>
      <c r="M1090" s="39" t="s">
        <v>159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909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1120</v>
      </c>
      <c r="E1091" s="802">
        <v>40741</v>
      </c>
      <c r="F1091" s="189" t="s">
        <v>601</v>
      </c>
      <c r="G1091" s="40"/>
      <c r="H1091" s="632" t="s">
        <v>1116</v>
      </c>
      <c r="I1091" s="260">
        <v>25.5</v>
      </c>
      <c r="J1091" s="260">
        <v>10344</v>
      </c>
      <c r="K1091" s="618">
        <f t="shared" si="82"/>
        <v>263772</v>
      </c>
      <c r="L1091" s="39" t="s">
        <v>167</v>
      </c>
      <c r="M1091" s="39" t="s">
        <v>159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909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1120</v>
      </c>
      <c r="E1092" s="802">
        <v>40741</v>
      </c>
      <c r="F1092" s="302" t="s">
        <v>502</v>
      </c>
      <c r="G1092" s="40"/>
      <c r="H1092" s="632" t="s">
        <v>1116</v>
      </c>
      <c r="I1092" s="260">
        <v>90</v>
      </c>
      <c r="J1092" s="260">
        <v>6026</v>
      </c>
      <c r="K1092" s="618">
        <f t="shared" si="82"/>
        <v>542340</v>
      </c>
      <c r="L1092" s="39" t="s">
        <v>167</v>
      </c>
      <c r="M1092" s="39" t="s">
        <v>159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909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1120</v>
      </c>
      <c r="E1093" s="802">
        <v>40741</v>
      </c>
      <c r="F1093" s="189" t="s">
        <v>654</v>
      </c>
      <c r="G1093" s="40"/>
      <c r="H1093" s="632" t="s">
        <v>1116</v>
      </c>
      <c r="I1093" s="260">
        <v>335</v>
      </c>
      <c r="J1093" s="260">
        <v>21455</v>
      </c>
      <c r="K1093" s="618">
        <f t="shared" si="82"/>
        <v>7187425</v>
      </c>
      <c r="L1093" s="39" t="s">
        <v>167</v>
      </c>
      <c r="M1093" s="39" t="s">
        <v>159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909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1120</v>
      </c>
      <c r="E1094" s="802">
        <v>40741</v>
      </c>
      <c r="F1094" s="302" t="s">
        <v>502</v>
      </c>
      <c r="G1094" s="40"/>
      <c r="H1094" s="632" t="s">
        <v>1116</v>
      </c>
      <c r="I1094" s="260">
        <v>176</v>
      </c>
      <c r="J1094" s="260">
        <v>6026</v>
      </c>
      <c r="K1094" s="618">
        <f t="shared" si="82"/>
        <v>1060576</v>
      </c>
      <c r="L1094" s="39" t="s">
        <v>167</v>
      </c>
      <c r="M1094" s="39" t="s">
        <v>159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909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1137</v>
      </c>
      <c r="E1095" s="37">
        <v>40741</v>
      </c>
      <c r="F1095" s="40" t="s">
        <v>764</v>
      </c>
      <c r="G1095" s="40"/>
      <c r="H1095" s="632" t="s">
        <v>1116</v>
      </c>
      <c r="I1095" s="260">
        <v>6</v>
      </c>
      <c r="J1095" s="260">
        <v>14210.065401820144</v>
      </c>
      <c r="K1095" s="618">
        <f t="shared" si="82"/>
        <v>85260</v>
      </c>
      <c r="L1095" s="39" t="s">
        <v>169</v>
      </c>
      <c r="M1095" s="39" t="s">
        <v>167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909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1137</v>
      </c>
      <c r="E1096" s="37">
        <v>40741</v>
      </c>
      <c r="F1096" s="40" t="s">
        <v>765</v>
      </c>
      <c r="G1096" s="40"/>
      <c r="H1096" s="632" t="s">
        <v>1116</v>
      </c>
      <c r="I1096" s="260">
        <v>50</v>
      </c>
      <c r="J1096" s="260">
        <v>18220.418735153478</v>
      </c>
      <c r="K1096" s="618">
        <f t="shared" si="82"/>
        <v>911021</v>
      </c>
      <c r="L1096" s="39" t="s">
        <v>169</v>
      </c>
      <c r="M1096" s="39" t="s">
        <v>167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909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1137</v>
      </c>
      <c r="E1097" s="37">
        <v>40741</v>
      </c>
      <c r="F1097" s="40" t="s">
        <v>1016</v>
      </c>
      <c r="G1097" s="40"/>
      <c r="H1097" s="632" t="s">
        <v>1116</v>
      </c>
      <c r="I1097" s="260">
        <v>121</v>
      </c>
      <c r="J1097" s="260">
        <v>20128.398735153478</v>
      </c>
      <c r="K1097" s="618">
        <f t="shared" si="82"/>
        <v>2435536</v>
      </c>
      <c r="L1097" s="39" t="s">
        <v>169</v>
      </c>
      <c r="M1097" s="39" t="s">
        <v>167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909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1137</v>
      </c>
      <c r="E1098" s="37">
        <v>40741</v>
      </c>
      <c r="F1098" s="40" t="s">
        <v>766</v>
      </c>
      <c r="G1098" s="40"/>
      <c r="H1098" s="632" t="s">
        <v>1116</v>
      </c>
      <c r="I1098" s="260">
        <v>83</v>
      </c>
      <c r="J1098" s="260">
        <v>18395.362590575161</v>
      </c>
      <c r="K1098" s="618">
        <f t="shared" si="82"/>
        <v>1526815</v>
      </c>
      <c r="L1098" s="39" t="s">
        <v>169</v>
      </c>
      <c r="M1098" s="39" t="s">
        <v>167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909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1137</v>
      </c>
      <c r="E1099" s="37">
        <v>40741</v>
      </c>
      <c r="F1099" s="40" t="s">
        <v>767</v>
      </c>
      <c r="G1099" s="40"/>
      <c r="H1099" s="632" t="s">
        <v>1116</v>
      </c>
      <c r="I1099" s="260">
        <v>1</v>
      </c>
      <c r="J1099" s="260">
        <v>10309.398735153478</v>
      </c>
      <c r="K1099" s="618">
        <f t="shared" si="82"/>
        <v>10309</v>
      </c>
      <c r="L1099" s="39" t="s">
        <v>169</v>
      </c>
      <c r="M1099" s="39" t="s">
        <v>167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909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1137</v>
      </c>
      <c r="E1100" s="37">
        <v>40741</v>
      </c>
      <c r="F1100" s="40" t="s">
        <v>1017</v>
      </c>
      <c r="G1100" s="40"/>
      <c r="H1100" s="632" t="s">
        <v>1116</v>
      </c>
      <c r="I1100" s="260">
        <v>80</v>
      </c>
      <c r="J1100" s="260">
        <v>20128.398735153474</v>
      </c>
      <c r="K1100" s="618">
        <f t="shared" si="82"/>
        <v>1610272</v>
      </c>
      <c r="L1100" s="39" t="s">
        <v>169</v>
      </c>
      <c r="M1100" s="39" t="s">
        <v>167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909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1137</v>
      </c>
      <c r="E1101" s="37">
        <v>40741</v>
      </c>
      <c r="F1101" s="40" t="s">
        <v>1018</v>
      </c>
      <c r="G1101" s="40"/>
      <c r="H1101" s="632" t="s">
        <v>1116</v>
      </c>
      <c r="I1101" s="260">
        <v>156</v>
      </c>
      <c r="J1101" s="260">
        <v>17011.898735153478</v>
      </c>
      <c r="K1101" s="618">
        <f t="shared" si="82"/>
        <v>2653856</v>
      </c>
      <c r="L1101" s="39" t="s">
        <v>169</v>
      </c>
      <c r="M1101" s="39" t="s">
        <v>167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909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1137</v>
      </c>
      <c r="E1102" s="37">
        <v>40741</v>
      </c>
      <c r="F1102" s="40" t="s">
        <v>1019</v>
      </c>
      <c r="G1102" s="40"/>
      <c r="H1102" s="632" t="s">
        <v>1116</v>
      </c>
      <c r="I1102" s="260">
        <v>610</v>
      </c>
      <c r="J1102" s="260">
        <v>7523.8987351534797</v>
      </c>
      <c r="K1102" s="618">
        <f t="shared" si="82"/>
        <v>4589578</v>
      </c>
      <c r="L1102" s="39" t="s">
        <v>169</v>
      </c>
      <c r="M1102" s="39" t="s">
        <v>167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909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982</v>
      </c>
      <c r="E1103" s="37">
        <v>40741</v>
      </c>
      <c r="F1103" s="40" t="s">
        <v>764</v>
      </c>
      <c r="G1103" s="40" t="s">
        <v>1199</v>
      </c>
      <c r="H1103" s="632" t="s">
        <v>756</v>
      </c>
      <c r="I1103" s="260">
        <v>6</v>
      </c>
      <c r="J1103" s="260">
        <v>14210.065401820144</v>
      </c>
      <c r="K1103" s="618">
        <f t="shared" si="82"/>
        <v>85260</v>
      </c>
      <c r="L1103" s="39" t="s">
        <v>179</v>
      </c>
      <c r="M1103" s="39" t="s">
        <v>169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909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982</v>
      </c>
      <c r="E1104" s="37">
        <v>40741</v>
      </c>
      <c r="F1104" s="40" t="s">
        <v>765</v>
      </c>
      <c r="G1104" s="40" t="s">
        <v>1199</v>
      </c>
      <c r="H1104" s="632" t="s">
        <v>756</v>
      </c>
      <c r="I1104" s="260">
        <v>50</v>
      </c>
      <c r="J1104" s="260">
        <v>18220.418735153478</v>
      </c>
      <c r="K1104" s="618">
        <f t="shared" si="82"/>
        <v>911021</v>
      </c>
      <c r="L1104" s="39" t="s">
        <v>179</v>
      </c>
      <c r="M1104" s="39" t="s">
        <v>169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909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982</v>
      </c>
      <c r="E1105" s="37">
        <v>40741</v>
      </c>
      <c r="F1105" s="40" t="s">
        <v>1016</v>
      </c>
      <c r="G1105" s="40" t="s">
        <v>1199</v>
      </c>
      <c r="H1105" s="632" t="s">
        <v>756</v>
      </c>
      <c r="I1105" s="260">
        <v>121</v>
      </c>
      <c r="J1105" s="260">
        <v>20128.398735153478</v>
      </c>
      <c r="K1105" s="618">
        <f t="shared" si="82"/>
        <v>2435536</v>
      </c>
      <c r="L1105" s="39" t="s">
        <v>179</v>
      </c>
      <c r="M1105" s="39" t="s">
        <v>169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909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982</v>
      </c>
      <c r="E1106" s="37">
        <v>40741</v>
      </c>
      <c r="F1106" s="40" t="s">
        <v>766</v>
      </c>
      <c r="G1106" s="40" t="s">
        <v>1199</v>
      </c>
      <c r="H1106" s="632" t="s">
        <v>756</v>
      </c>
      <c r="I1106" s="260">
        <v>83</v>
      </c>
      <c r="J1106" s="260">
        <v>18395.362590575161</v>
      </c>
      <c r="K1106" s="618">
        <f t="shared" si="82"/>
        <v>1526815</v>
      </c>
      <c r="L1106" s="39" t="s">
        <v>179</v>
      </c>
      <c r="M1106" s="39" t="s">
        <v>169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909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982</v>
      </c>
      <c r="E1107" s="37">
        <v>40741</v>
      </c>
      <c r="F1107" s="40" t="s">
        <v>767</v>
      </c>
      <c r="G1107" s="40" t="s">
        <v>1199</v>
      </c>
      <c r="H1107" s="632" t="s">
        <v>756</v>
      </c>
      <c r="I1107" s="260">
        <v>1</v>
      </c>
      <c r="J1107" s="260">
        <v>10309.398735153478</v>
      </c>
      <c r="K1107" s="618">
        <f t="shared" si="82"/>
        <v>10309</v>
      </c>
      <c r="L1107" s="39" t="s">
        <v>179</v>
      </c>
      <c r="M1107" s="39" t="s">
        <v>169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909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982</v>
      </c>
      <c r="E1108" s="37">
        <v>40741</v>
      </c>
      <c r="F1108" s="40" t="s">
        <v>1017</v>
      </c>
      <c r="G1108" s="40" t="s">
        <v>1199</v>
      </c>
      <c r="H1108" s="632" t="s">
        <v>756</v>
      </c>
      <c r="I1108" s="260">
        <v>80</v>
      </c>
      <c r="J1108" s="260">
        <v>20128.398735153474</v>
      </c>
      <c r="K1108" s="618">
        <f t="shared" si="82"/>
        <v>1610272</v>
      </c>
      <c r="L1108" s="39" t="s">
        <v>179</v>
      </c>
      <c r="M1108" s="39" t="s">
        <v>169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909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982</v>
      </c>
      <c r="E1109" s="37">
        <v>40741</v>
      </c>
      <c r="F1109" s="40" t="s">
        <v>1018</v>
      </c>
      <c r="G1109" s="40" t="s">
        <v>1199</v>
      </c>
      <c r="H1109" s="632" t="s">
        <v>756</v>
      </c>
      <c r="I1109" s="260">
        <v>156</v>
      </c>
      <c r="J1109" s="260">
        <v>17011.898735153478</v>
      </c>
      <c r="K1109" s="618">
        <f t="shared" si="82"/>
        <v>2653856</v>
      </c>
      <c r="L1109" s="39" t="s">
        <v>179</v>
      </c>
      <c r="M1109" s="39" t="s">
        <v>169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909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982</v>
      </c>
      <c r="E1110" s="37">
        <v>40741</v>
      </c>
      <c r="F1110" s="40" t="s">
        <v>1019</v>
      </c>
      <c r="G1110" s="40" t="s">
        <v>1199</v>
      </c>
      <c r="H1110" s="632" t="s">
        <v>756</v>
      </c>
      <c r="I1110" s="260">
        <v>610</v>
      </c>
      <c r="J1110" s="260">
        <v>7523.8987351534797</v>
      </c>
      <c r="K1110" s="618">
        <f t="shared" si="82"/>
        <v>4589578</v>
      </c>
      <c r="L1110" s="39" t="s">
        <v>179</v>
      </c>
      <c r="M1110" s="39" t="s">
        <v>169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909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460</v>
      </c>
      <c r="E1111" s="191">
        <v>40742</v>
      </c>
      <c r="F1111" s="192" t="s">
        <v>471</v>
      </c>
      <c r="G1111" s="502" t="s">
        <v>1166</v>
      </c>
      <c r="H1111" s="45" t="s">
        <v>474</v>
      </c>
      <c r="I1111" s="260"/>
      <c r="J1111" s="260"/>
      <c r="K1111" s="618">
        <v>1093440</v>
      </c>
      <c r="L1111" s="194" t="s">
        <v>167</v>
      </c>
      <c r="M1111" s="194" t="s">
        <v>47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909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460</v>
      </c>
      <c r="E1112" s="191">
        <v>40742</v>
      </c>
      <c r="F1112" s="192" t="s">
        <v>472</v>
      </c>
      <c r="G1112" s="502" t="s">
        <v>1166</v>
      </c>
      <c r="H1112" s="45" t="s">
        <v>474</v>
      </c>
      <c r="I1112" s="260"/>
      <c r="J1112" s="260"/>
      <c r="K1112" s="38">
        <v>109344</v>
      </c>
      <c r="L1112" s="194" t="s">
        <v>9</v>
      </c>
      <c r="M1112" s="194" t="s">
        <v>47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909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1121</v>
      </c>
      <c r="E1113" s="802">
        <v>40743</v>
      </c>
      <c r="F1113" s="302" t="s">
        <v>502</v>
      </c>
      <c r="G1113" s="40"/>
      <c r="H1113" s="632" t="s">
        <v>1116</v>
      </c>
      <c r="I1113" s="260">
        <v>50</v>
      </c>
      <c r="J1113" s="260">
        <v>6026</v>
      </c>
      <c r="K1113" s="618">
        <f t="shared" ref="K1113:K1120" si="85">ROUND(I1113*J1113,0)</f>
        <v>301300</v>
      </c>
      <c r="L1113" s="39" t="s">
        <v>167</v>
      </c>
      <c r="M1113" s="39" t="s">
        <v>159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909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1121</v>
      </c>
      <c r="E1114" s="802">
        <v>40743</v>
      </c>
      <c r="F1114" s="40" t="s">
        <v>647</v>
      </c>
      <c r="G1114" s="40"/>
      <c r="H1114" s="632" t="s">
        <v>1116</v>
      </c>
      <c r="I1114" s="260">
        <v>23</v>
      </c>
      <c r="J1114" s="260">
        <v>23688</v>
      </c>
      <c r="K1114" s="618">
        <f t="shared" si="85"/>
        <v>544824</v>
      </c>
      <c r="L1114" s="39" t="s">
        <v>167</v>
      </c>
      <c r="M1114" s="39" t="s">
        <v>159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909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1121</v>
      </c>
      <c r="E1115" s="802">
        <v>40743</v>
      </c>
      <c r="F1115" s="189" t="s">
        <v>574</v>
      </c>
      <c r="G1115" s="40"/>
      <c r="H1115" s="632" t="s">
        <v>1116</v>
      </c>
      <c r="I1115" s="260">
        <v>34</v>
      </c>
      <c r="J1115" s="260">
        <v>16973</v>
      </c>
      <c r="K1115" s="618">
        <f t="shared" si="85"/>
        <v>577082</v>
      </c>
      <c r="L1115" s="39" t="s">
        <v>167</v>
      </c>
      <c r="M1115" s="39" t="s">
        <v>159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909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1121</v>
      </c>
      <c r="E1116" s="802">
        <v>40743</v>
      </c>
      <c r="F1116" s="189" t="s">
        <v>516</v>
      </c>
      <c r="G1116" s="40"/>
      <c r="H1116" s="632" t="s">
        <v>1116</v>
      </c>
      <c r="I1116" s="260">
        <v>25</v>
      </c>
      <c r="J1116" s="260">
        <v>22806</v>
      </c>
      <c r="K1116" s="618">
        <f t="shared" si="85"/>
        <v>570150</v>
      </c>
      <c r="L1116" s="39" t="s">
        <v>167</v>
      </c>
      <c r="M1116" s="39" t="s">
        <v>159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909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1121</v>
      </c>
      <c r="E1117" s="802">
        <v>40743</v>
      </c>
      <c r="F1117" s="40" t="s">
        <v>624</v>
      </c>
      <c r="G1117" s="40"/>
      <c r="H1117" s="632" t="s">
        <v>1116</v>
      </c>
      <c r="I1117" s="260">
        <v>1</v>
      </c>
      <c r="J1117" s="260">
        <v>16303</v>
      </c>
      <c r="K1117" s="618">
        <f t="shared" si="85"/>
        <v>16303</v>
      </c>
      <c r="L1117" s="39" t="s">
        <v>167</v>
      </c>
      <c r="M1117" s="39" t="s">
        <v>159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909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1121</v>
      </c>
      <c r="E1118" s="802">
        <v>40743</v>
      </c>
      <c r="F1118" s="189" t="s">
        <v>515</v>
      </c>
      <c r="G1118" s="40"/>
      <c r="H1118" s="632" t="s">
        <v>1116</v>
      </c>
      <c r="I1118" s="260">
        <v>0.5</v>
      </c>
      <c r="J1118" s="260">
        <v>23716</v>
      </c>
      <c r="K1118" s="618">
        <f t="shared" si="85"/>
        <v>11858</v>
      </c>
      <c r="L1118" s="39" t="s">
        <v>167</v>
      </c>
      <c r="M1118" s="39" t="s">
        <v>159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909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1121</v>
      </c>
      <c r="E1119" s="802">
        <v>40743</v>
      </c>
      <c r="F1119" s="40" t="s">
        <v>624</v>
      </c>
      <c r="G1119" s="40"/>
      <c r="H1119" s="632" t="s">
        <v>1116</v>
      </c>
      <c r="I1119" s="260">
        <v>2.5</v>
      </c>
      <c r="J1119" s="260">
        <v>16302.8</v>
      </c>
      <c r="K1119" s="618">
        <f t="shared" si="85"/>
        <v>40757</v>
      </c>
      <c r="L1119" s="39" t="s">
        <v>167</v>
      </c>
      <c r="M1119" s="39" t="s">
        <v>159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909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1121</v>
      </c>
      <c r="E1120" s="802">
        <v>40743</v>
      </c>
      <c r="F1120" s="189" t="s">
        <v>546</v>
      </c>
      <c r="G1120" s="40"/>
      <c r="H1120" s="632" t="s">
        <v>1116</v>
      </c>
      <c r="I1120" s="260">
        <v>6</v>
      </c>
      <c r="J1120" s="260">
        <v>7268</v>
      </c>
      <c r="K1120" s="618">
        <f t="shared" si="85"/>
        <v>43608</v>
      </c>
      <c r="L1120" s="39" t="s">
        <v>167</v>
      </c>
      <c r="M1120" s="39" t="s">
        <v>159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909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983</v>
      </c>
      <c r="E1121" s="191">
        <v>40744</v>
      </c>
      <c r="F1121" s="192" t="s">
        <v>1020</v>
      </c>
      <c r="G1121" s="502" t="s">
        <v>1201</v>
      </c>
      <c r="H1121" s="193" t="s">
        <v>756</v>
      </c>
      <c r="I1121" s="260">
        <v>164</v>
      </c>
      <c r="J1121" s="260">
        <v>7868</v>
      </c>
      <c r="K1121" s="618">
        <v>1290352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909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983</v>
      </c>
      <c r="E1122" s="191">
        <v>40744</v>
      </c>
      <c r="F1122" s="192" t="s">
        <v>946</v>
      </c>
      <c r="G1122" s="502" t="s">
        <v>1201</v>
      </c>
      <c r="H1122" s="193" t="s">
        <v>756</v>
      </c>
      <c r="I1122" s="260">
        <v>1</v>
      </c>
      <c r="J1122" s="260">
        <v>8450</v>
      </c>
      <c r="K1122" s="618">
        <v>8450</v>
      </c>
      <c r="L1122" s="194" t="s">
        <v>274</v>
      </c>
      <c r="M1122" s="194" t="s">
        <v>181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909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983</v>
      </c>
      <c r="E1123" s="191">
        <v>40744</v>
      </c>
      <c r="F1123" s="192" t="s">
        <v>1022</v>
      </c>
      <c r="G1123" s="502" t="s">
        <v>1201</v>
      </c>
      <c r="H1123" s="193" t="s">
        <v>756</v>
      </c>
      <c r="I1123" s="260">
        <v>1</v>
      </c>
      <c r="J1123" s="260">
        <v>4751</v>
      </c>
      <c r="K1123" s="618">
        <v>4751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909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983</v>
      </c>
      <c r="E1124" s="191">
        <v>40744</v>
      </c>
      <c r="F1124" s="192" t="s">
        <v>1023</v>
      </c>
      <c r="G1124" s="502" t="s">
        <v>1201</v>
      </c>
      <c r="H1124" s="193" t="s">
        <v>756</v>
      </c>
      <c r="I1124" s="260">
        <v>1</v>
      </c>
      <c r="J1124" s="260">
        <v>6560</v>
      </c>
      <c r="K1124" s="618">
        <v>6560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909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983</v>
      </c>
      <c r="E1125" s="191">
        <v>40744</v>
      </c>
      <c r="F1125" s="192" t="s">
        <v>950</v>
      </c>
      <c r="G1125" s="502" t="s">
        <v>1201</v>
      </c>
      <c r="H1125" s="193" t="s">
        <v>756</v>
      </c>
      <c r="I1125" s="260">
        <v>6</v>
      </c>
      <c r="J1125" s="260">
        <v>9594</v>
      </c>
      <c r="K1125" s="618">
        <v>57564</v>
      </c>
      <c r="L1125" s="194" t="s">
        <v>274</v>
      </c>
      <c r="M1125" s="194" t="s">
        <v>181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909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983</v>
      </c>
      <c r="E1126" s="191">
        <v>40744</v>
      </c>
      <c r="F1126" s="189" t="s">
        <v>948</v>
      </c>
      <c r="G1126" s="502" t="s">
        <v>1201</v>
      </c>
      <c r="H1126" s="193" t="s">
        <v>756</v>
      </c>
      <c r="I1126" s="260">
        <v>1</v>
      </c>
      <c r="J1126" s="260">
        <v>7094</v>
      </c>
      <c r="K1126" s="618">
        <v>7094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909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983</v>
      </c>
      <c r="E1127" s="191">
        <v>40744</v>
      </c>
      <c r="F1127" s="192" t="s">
        <v>768</v>
      </c>
      <c r="G1127" s="502" t="s">
        <v>1201</v>
      </c>
      <c r="H1127" s="193" t="s">
        <v>756</v>
      </c>
      <c r="I1127" s="260">
        <v>3</v>
      </c>
      <c r="J1127" s="260">
        <v>9263</v>
      </c>
      <c r="K1127" s="618">
        <v>27789</v>
      </c>
      <c r="L1127" s="194" t="s">
        <v>274</v>
      </c>
      <c r="M1127" s="194" t="s">
        <v>181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909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983</v>
      </c>
      <c r="E1128" s="191">
        <v>40744</v>
      </c>
      <c r="F1128" s="192" t="s">
        <v>769</v>
      </c>
      <c r="G1128" s="502" t="s">
        <v>1201</v>
      </c>
      <c r="H1128" s="193" t="s">
        <v>756</v>
      </c>
      <c r="I1128" s="260">
        <v>12</v>
      </c>
      <c r="J1128" s="260">
        <v>10595</v>
      </c>
      <c r="K1128" s="618">
        <v>127140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909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983</v>
      </c>
      <c r="E1129" s="191">
        <v>40744</v>
      </c>
      <c r="F1129" s="192" t="s">
        <v>1200</v>
      </c>
      <c r="G1129" s="502" t="s">
        <v>1201</v>
      </c>
      <c r="H1129" s="193" t="s">
        <v>756</v>
      </c>
      <c r="I1129" s="260"/>
      <c r="J1129" s="260"/>
      <c r="K1129" s="618">
        <v>152970</v>
      </c>
      <c r="L1129" s="194" t="s">
        <v>274</v>
      </c>
      <c r="M1129" s="194" t="s">
        <v>754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909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1122</v>
      </c>
      <c r="E1130" s="802">
        <v>40744</v>
      </c>
      <c r="F1130" s="189" t="s">
        <v>516</v>
      </c>
      <c r="G1130" s="40"/>
      <c r="H1130" s="632" t="s">
        <v>1116</v>
      </c>
      <c r="I1130" s="260">
        <v>5</v>
      </c>
      <c r="J1130" s="260">
        <v>22806</v>
      </c>
      <c r="K1130" s="618">
        <f t="shared" ref="K1130:K1153" si="87">ROUND(I1130*J1130,0)</f>
        <v>114030</v>
      </c>
      <c r="L1130" s="39" t="s">
        <v>167</v>
      </c>
      <c r="M1130" s="39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909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1122</v>
      </c>
      <c r="E1131" s="802">
        <v>40744</v>
      </c>
      <c r="F1131" s="40" t="s">
        <v>650</v>
      </c>
      <c r="G1131" s="40"/>
      <c r="H1131" s="632" t="s">
        <v>1116</v>
      </c>
      <c r="I1131" s="260">
        <v>160</v>
      </c>
      <c r="J1131" s="260">
        <v>16703</v>
      </c>
      <c r="K1131" s="618">
        <f t="shared" si="87"/>
        <v>2672480</v>
      </c>
      <c r="L1131" s="39" t="s">
        <v>167</v>
      </c>
      <c r="M1131" s="39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909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1122</v>
      </c>
      <c r="E1132" s="802">
        <v>40744</v>
      </c>
      <c r="F1132" s="189" t="s">
        <v>410</v>
      </c>
      <c r="G1132" s="40"/>
      <c r="H1132" s="632" t="s">
        <v>1116</v>
      </c>
      <c r="I1132" s="851">
        <v>28</v>
      </c>
      <c r="J1132" s="260">
        <v>4449</v>
      </c>
      <c r="K1132" s="618">
        <f t="shared" si="87"/>
        <v>124572</v>
      </c>
      <c r="L1132" s="39" t="s">
        <v>167</v>
      </c>
      <c r="M1132" s="39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909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1122</v>
      </c>
      <c r="E1133" s="802">
        <v>40744</v>
      </c>
      <c r="F1133" s="40" t="s">
        <v>624</v>
      </c>
      <c r="G1133" s="40"/>
      <c r="H1133" s="632" t="s">
        <v>1116</v>
      </c>
      <c r="I1133" s="260">
        <v>4</v>
      </c>
      <c r="J1133" s="260">
        <v>16302.5</v>
      </c>
      <c r="K1133" s="618">
        <f t="shared" si="87"/>
        <v>65210</v>
      </c>
      <c r="L1133" s="39" t="s">
        <v>167</v>
      </c>
      <c r="M1133" s="39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909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1122</v>
      </c>
      <c r="E1134" s="802">
        <v>40744</v>
      </c>
      <c r="F1134" s="189" t="s">
        <v>410</v>
      </c>
      <c r="G1134" s="40"/>
      <c r="H1134" s="632" t="s">
        <v>1116</v>
      </c>
      <c r="I1134" s="851">
        <v>0.5</v>
      </c>
      <c r="J1134" s="260">
        <v>4449</v>
      </c>
      <c r="K1134" s="618">
        <f t="shared" si="87"/>
        <v>2225</v>
      </c>
      <c r="L1134" s="39" t="s">
        <v>167</v>
      </c>
      <c r="M1134" s="39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909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1122</v>
      </c>
      <c r="E1135" s="802">
        <v>40744</v>
      </c>
      <c r="F1135" s="189" t="s">
        <v>410</v>
      </c>
      <c r="G1135" s="40"/>
      <c r="H1135" s="632" t="s">
        <v>1116</v>
      </c>
      <c r="I1135" s="851">
        <v>1</v>
      </c>
      <c r="J1135" s="260">
        <v>4449</v>
      </c>
      <c r="K1135" s="618">
        <f t="shared" si="87"/>
        <v>4449</v>
      </c>
      <c r="L1135" s="39" t="s">
        <v>167</v>
      </c>
      <c r="M1135" s="39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909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1122</v>
      </c>
      <c r="E1136" s="802">
        <v>40744</v>
      </c>
      <c r="F1136" s="302" t="s">
        <v>502</v>
      </c>
      <c r="G1136" s="40"/>
      <c r="H1136" s="632" t="s">
        <v>1116</v>
      </c>
      <c r="I1136" s="260">
        <v>2</v>
      </c>
      <c r="J1136" s="260">
        <v>6026</v>
      </c>
      <c r="K1136" s="618">
        <f t="shared" si="87"/>
        <v>12052</v>
      </c>
      <c r="L1136" s="39" t="s">
        <v>167</v>
      </c>
      <c r="M1136" s="39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909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1122</v>
      </c>
      <c r="E1137" s="802">
        <v>40744</v>
      </c>
      <c r="F1137" s="40" t="s">
        <v>624</v>
      </c>
      <c r="G1137" s="40"/>
      <c r="H1137" s="632" t="s">
        <v>1116</v>
      </c>
      <c r="I1137" s="260">
        <v>1</v>
      </c>
      <c r="J1137" s="260">
        <v>16303</v>
      </c>
      <c r="K1137" s="618">
        <f t="shared" si="87"/>
        <v>16303</v>
      </c>
      <c r="L1137" s="39" t="s">
        <v>167</v>
      </c>
      <c r="M1137" s="39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909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1138</v>
      </c>
      <c r="E1138" s="37">
        <v>40744</v>
      </c>
      <c r="F1138" s="40" t="s">
        <v>1020</v>
      </c>
      <c r="G1138" s="40"/>
      <c r="H1138" s="632" t="s">
        <v>1116</v>
      </c>
      <c r="I1138" s="260">
        <v>164</v>
      </c>
      <c r="J1138" s="260">
        <v>7394.3987351534788</v>
      </c>
      <c r="K1138" s="618">
        <f t="shared" si="87"/>
        <v>1212681</v>
      </c>
      <c r="L1138" s="39" t="s">
        <v>169</v>
      </c>
      <c r="M1138" s="39" t="s">
        <v>167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909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1138</v>
      </c>
      <c r="E1139" s="37">
        <v>40744</v>
      </c>
      <c r="F1139" s="192" t="s">
        <v>946</v>
      </c>
      <c r="G1139" s="40"/>
      <c r="H1139" s="632" t="s">
        <v>1116</v>
      </c>
      <c r="I1139" s="260">
        <v>1</v>
      </c>
      <c r="J1139" s="260">
        <v>7394.3987351534788</v>
      </c>
      <c r="K1139" s="618">
        <f t="shared" si="87"/>
        <v>7394</v>
      </c>
      <c r="L1139" s="39" t="s">
        <v>169</v>
      </c>
      <c r="M1139" s="39" t="s">
        <v>167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909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1138</v>
      </c>
      <c r="E1140" s="37">
        <v>40744</v>
      </c>
      <c r="F1140" s="40" t="s">
        <v>1022</v>
      </c>
      <c r="G1140" s="40"/>
      <c r="H1140" s="632" t="s">
        <v>1116</v>
      </c>
      <c r="I1140" s="260">
        <v>1</v>
      </c>
      <c r="J1140" s="260">
        <v>4447.3987351534788</v>
      </c>
      <c r="K1140" s="618">
        <f t="shared" si="87"/>
        <v>4447</v>
      </c>
      <c r="L1140" s="39" t="s">
        <v>169</v>
      </c>
      <c r="M1140" s="39" t="s">
        <v>167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909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1138</v>
      </c>
      <c r="E1141" s="37">
        <v>40744</v>
      </c>
      <c r="F1141" s="40" t="s">
        <v>1023</v>
      </c>
      <c r="G1141" s="40"/>
      <c r="H1141" s="632" t="s">
        <v>1116</v>
      </c>
      <c r="I1141" s="260">
        <v>1</v>
      </c>
      <c r="J1141" s="260">
        <v>6671.3987351534788</v>
      </c>
      <c r="K1141" s="618">
        <f t="shared" si="87"/>
        <v>6671</v>
      </c>
      <c r="L1141" s="39" t="s">
        <v>169</v>
      </c>
      <c r="M1141" s="39" t="s">
        <v>167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909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1138</v>
      </c>
      <c r="E1142" s="37">
        <v>40744</v>
      </c>
      <c r="F1142" s="192" t="s">
        <v>950</v>
      </c>
      <c r="G1142" s="40"/>
      <c r="H1142" s="632" t="s">
        <v>1116</v>
      </c>
      <c r="I1142" s="260">
        <v>6</v>
      </c>
      <c r="J1142" s="260">
        <v>7845.8987351534788</v>
      </c>
      <c r="K1142" s="618">
        <f t="shared" si="87"/>
        <v>47075</v>
      </c>
      <c r="L1142" s="39" t="s">
        <v>169</v>
      </c>
      <c r="M1142" s="39" t="s">
        <v>167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909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1138</v>
      </c>
      <c r="E1143" s="37">
        <v>40744</v>
      </c>
      <c r="F1143" s="189" t="s">
        <v>948</v>
      </c>
      <c r="G1143" s="40"/>
      <c r="H1143" s="632" t="s">
        <v>1116</v>
      </c>
      <c r="I1143" s="260">
        <v>1</v>
      </c>
      <c r="J1143" s="260">
        <v>6671.3987351534788</v>
      </c>
      <c r="K1143" s="618">
        <f t="shared" si="87"/>
        <v>6671</v>
      </c>
      <c r="L1143" s="39" t="s">
        <v>169</v>
      </c>
      <c r="M1143" s="39" t="s">
        <v>167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909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1138</v>
      </c>
      <c r="E1144" s="37">
        <v>40744</v>
      </c>
      <c r="F1144" s="40" t="s">
        <v>768</v>
      </c>
      <c r="G1144" s="40"/>
      <c r="H1144" s="632" t="s">
        <v>1116</v>
      </c>
      <c r="I1144" s="260">
        <v>3</v>
      </c>
      <c r="J1144" s="260">
        <v>8248.3987351534797</v>
      </c>
      <c r="K1144" s="618">
        <f t="shared" si="87"/>
        <v>24745</v>
      </c>
      <c r="L1144" s="39" t="s">
        <v>169</v>
      </c>
      <c r="M1144" s="39" t="s">
        <v>167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909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1138</v>
      </c>
      <c r="E1145" s="37">
        <v>40744</v>
      </c>
      <c r="F1145" s="40" t="s">
        <v>769</v>
      </c>
      <c r="G1145" s="40"/>
      <c r="H1145" s="632" t="s">
        <v>1116</v>
      </c>
      <c r="I1145" s="260">
        <v>12</v>
      </c>
      <c r="J1145" s="260">
        <v>8767.3987351534797</v>
      </c>
      <c r="K1145" s="618">
        <f t="shared" si="87"/>
        <v>105209</v>
      </c>
      <c r="L1145" s="39" t="s">
        <v>169</v>
      </c>
      <c r="M1145" s="39" t="s">
        <v>167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909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983</v>
      </c>
      <c r="E1146" s="37">
        <v>40744</v>
      </c>
      <c r="F1146" s="40" t="s">
        <v>1020</v>
      </c>
      <c r="G1146" s="40" t="s">
        <v>1201</v>
      </c>
      <c r="H1146" s="632" t="s">
        <v>756</v>
      </c>
      <c r="I1146" s="260">
        <v>164</v>
      </c>
      <c r="J1146" s="260">
        <v>7394.3987351534788</v>
      </c>
      <c r="K1146" s="618">
        <f t="shared" si="87"/>
        <v>1212681</v>
      </c>
      <c r="L1146" s="39" t="s">
        <v>179</v>
      </c>
      <c r="M1146" s="39" t="s">
        <v>169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909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983</v>
      </c>
      <c r="E1147" s="37">
        <v>40744</v>
      </c>
      <c r="F1147" s="192" t="s">
        <v>946</v>
      </c>
      <c r="G1147" s="40" t="s">
        <v>1201</v>
      </c>
      <c r="H1147" s="632" t="s">
        <v>756</v>
      </c>
      <c r="I1147" s="260">
        <v>1</v>
      </c>
      <c r="J1147" s="260">
        <v>7394.3987351534788</v>
      </c>
      <c r="K1147" s="618">
        <f t="shared" si="87"/>
        <v>7394</v>
      </c>
      <c r="L1147" s="39" t="s">
        <v>179</v>
      </c>
      <c r="M1147" s="39" t="s">
        <v>169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909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983</v>
      </c>
      <c r="E1148" s="37">
        <v>40744</v>
      </c>
      <c r="F1148" s="40" t="s">
        <v>1022</v>
      </c>
      <c r="G1148" s="40" t="s">
        <v>1201</v>
      </c>
      <c r="H1148" s="632" t="s">
        <v>756</v>
      </c>
      <c r="I1148" s="260">
        <v>1</v>
      </c>
      <c r="J1148" s="260">
        <v>4447.3987351534788</v>
      </c>
      <c r="K1148" s="618">
        <f t="shared" si="87"/>
        <v>4447</v>
      </c>
      <c r="L1148" s="39" t="s">
        <v>179</v>
      </c>
      <c r="M1148" s="39" t="s">
        <v>169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909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983</v>
      </c>
      <c r="E1149" s="37">
        <v>40744</v>
      </c>
      <c r="F1149" s="40" t="s">
        <v>1023</v>
      </c>
      <c r="G1149" s="40" t="s">
        <v>1201</v>
      </c>
      <c r="H1149" s="632" t="s">
        <v>756</v>
      </c>
      <c r="I1149" s="260">
        <v>1</v>
      </c>
      <c r="J1149" s="260">
        <v>6671.3987351534788</v>
      </c>
      <c r="K1149" s="618">
        <f t="shared" si="87"/>
        <v>6671</v>
      </c>
      <c r="L1149" s="39" t="s">
        <v>179</v>
      </c>
      <c r="M1149" s="39" t="s">
        <v>169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909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983</v>
      </c>
      <c r="E1150" s="37">
        <v>40744</v>
      </c>
      <c r="F1150" s="192" t="s">
        <v>950</v>
      </c>
      <c r="G1150" s="40" t="s">
        <v>1201</v>
      </c>
      <c r="H1150" s="632" t="s">
        <v>756</v>
      </c>
      <c r="I1150" s="260">
        <v>6</v>
      </c>
      <c r="J1150" s="260">
        <v>7845.8987351534788</v>
      </c>
      <c r="K1150" s="618">
        <f t="shared" si="87"/>
        <v>47075</v>
      </c>
      <c r="L1150" s="39" t="s">
        <v>179</v>
      </c>
      <c r="M1150" s="39" t="s">
        <v>169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909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983</v>
      </c>
      <c r="E1151" s="37">
        <v>40744</v>
      </c>
      <c r="F1151" s="189" t="s">
        <v>948</v>
      </c>
      <c r="G1151" s="40" t="s">
        <v>1201</v>
      </c>
      <c r="H1151" s="632" t="s">
        <v>756</v>
      </c>
      <c r="I1151" s="260">
        <v>1</v>
      </c>
      <c r="J1151" s="260">
        <v>6671.3987351534788</v>
      </c>
      <c r="K1151" s="618">
        <f t="shared" si="87"/>
        <v>6671</v>
      </c>
      <c r="L1151" s="39" t="s">
        <v>179</v>
      </c>
      <c r="M1151" s="39" t="s">
        <v>169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909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983</v>
      </c>
      <c r="E1152" s="37">
        <v>40744</v>
      </c>
      <c r="F1152" s="40" t="s">
        <v>768</v>
      </c>
      <c r="G1152" s="40" t="s">
        <v>1201</v>
      </c>
      <c r="H1152" s="632" t="s">
        <v>756</v>
      </c>
      <c r="I1152" s="260">
        <v>3</v>
      </c>
      <c r="J1152" s="260">
        <v>8248.3987351534797</v>
      </c>
      <c r="K1152" s="618">
        <f t="shared" si="87"/>
        <v>24745</v>
      </c>
      <c r="L1152" s="39" t="s">
        <v>179</v>
      </c>
      <c r="M1152" s="39" t="s">
        <v>169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909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983</v>
      </c>
      <c r="E1153" s="37">
        <v>40744</v>
      </c>
      <c r="F1153" s="40" t="s">
        <v>769</v>
      </c>
      <c r="G1153" s="40" t="s">
        <v>1201</v>
      </c>
      <c r="H1153" s="632" t="s">
        <v>756</v>
      </c>
      <c r="I1153" s="260">
        <v>12</v>
      </c>
      <c r="J1153" s="260">
        <v>8767.3987351534797</v>
      </c>
      <c r="K1153" s="618">
        <f t="shared" si="87"/>
        <v>105209</v>
      </c>
      <c r="L1153" s="39" t="s">
        <v>179</v>
      </c>
      <c r="M1153" s="39" t="s">
        <v>169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909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461</v>
      </c>
      <c r="E1154" s="824">
        <v>40745</v>
      </c>
      <c r="F1154" s="192" t="s">
        <v>660</v>
      </c>
      <c r="G1154" s="502" t="s">
        <v>1167</v>
      </c>
      <c r="H1154" s="7" t="s">
        <v>414</v>
      </c>
      <c r="I1154" s="262"/>
      <c r="J1154" s="262"/>
      <c r="K1154" s="38">
        <v>1320000</v>
      </c>
      <c r="L1154" s="194" t="s">
        <v>8</v>
      </c>
      <c r="M1154" s="194" t="s">
        <v>47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909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717</v>
      </c>
      <c r="E1155" s="824">
        <v>40745</v>
      </c>
      <c r="F1155" s="189" t="s">
        <v>411</v>
      </c>
      <c r="G1155" s="502" t="s">
        <v>1167</v>
      </c>
      <c r="H1155" s="7" t="s">
        <v>414</v>
      </c>
      <c r="I1155" s="260">
        <v>50</v>
      </c>
      <c r="J1155" s="260">
        <v>24000</v>
      </c>
      <c r="K1155" s="618">
        <v>1200000</v>
      </c>
      <c r="L1155" s="194" t="s">
        <v>161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909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717</v>
      </c>
      <c r="E1156" s="824">
        <v>40745</v>
      </c>
      <c r="F1156" s="189" t="s">
        <v>412</v>
      </c>
      <c r="G1156" s="502" t="s">
        <v>1167</v>
      </c>
      <c r="H1156" s="7" t="s">
        <v>414</v>
      </c>
      <c r="I1156" s="260"/>
      <c r="J1156" s="260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909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984</v>
      </c>
      <c r="E1157" s="191">
        <v>40745</v>
      </c>
      <c r="F1157" s="192" t="s">
        <v>770</v>
      </c>
      <c r="G1157" s="502" t="s">
        <v>1202</v>
      </c>
      <c r="H1157" s="193" t="s">
        <v>756</v>
      </c>
      <c r="I1157" s="260">
        <v>5</v>
      </c>
      <c r="J1157" s="260">
        <v>11321</v>
      </c>
      <c r="K1157" s="618">
        <v>56605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909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984</v>
      </c>
      <c r="E1158" s="191">
        <v>40745</v>
      </c>
      <c r="F1158" s="192" t="s">
        <v>771</v>
      </c>
      <c r="G1158" s="502" t="s">
        <v>1202</v>
      </c>
      <c r="H1158" s="193" t="s">
        <v>756</v>
      </c>
      <c r="I1158" s="260">
        <v>1</v>
      </c>
      <c r="J1158" s="260">
        <v>10253</v>
      </c>
      <c r="K1158" s="618">
        <v>10253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909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984</v>
      </c>
      <c r="E1159" s="191">
        <v>40745</v>
      </c>
      <c r="F1159" s="192" t="s">
        <v>772</v>
      </c>
      <c r="G1159" s="502" t="s">
        <v>1202</v>
      </c>
      <c r="H1159" s="193" t="s">
        <v>756</v>
      </c>
      <c r="I1159" s="260">
        <v>1</v>
      </c>
      <c r="J1159" s="260">
        <v>12564</v>
      </c>
      <c r="K1159" s="618">
        <v>12564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909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984</v>
      </c>
      <c r="E1160" s="191">
        <v>40745</v>
      </c>
      <c r="F1160" s="192" t="s">
        <v>1026</v>
      </c>
      <c r="G1160" s="502" t="s">
        <v>1202</v>
      </c>
      <c r="H1160" s="193" t="s">
        <v>756</v>
      </c>
      <c r="I1160" s="260">
        <v>18</v>
      </c>
      <c r="J1160" s="260">
        <v>14438</v>
      </c>
      <c r="K1160" s="618">
        <v>259884</v>
      </c>
      <c r="L1160" s="194" t="s">
        <v>274</v>
      </c>
      <c r="M1160" s="194" t="s">
        <v>181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909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984</v>
      </c>
      <c r="E1161" s="191">
        <v>40745</v>
      </c>
      <c r="F1161" s="192" t="s">
        <v>773</v>
      </c>
      <c r="G1161" s="502" t="s">
        <v>1202</v>
      </c>
      <c r="H1161" s="193" t="s">
        <v>756</v>
      </c>
      <c r="I1161" s="260">
        <v>166</v>
      </c>
      <c r="J1161" s="260">
        <v>15618</v>
      </c>
      <c r="K1161" s="618">
        <v>2592588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909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984</v>
      </c>
      <c r="E1162" s="191">
        <v>40745</v>
      </c>
      <c r="F1162" s="192" t="s">
        <v>1321</v>
      </c>
      <c r="G1162" s="502" t="s">
        <v>1202</v>
      </c>
      <c r="H1162" s="193" t="s">
        <v>756</v>
      </c>
      <c r="I1162" s="260">
        <v>2</v>
      </c>
      <c r="J1162" s="260">
        <v>10026</v>
      </c>
      <c r="K1162" s="618">
        <v>20052</v>
      </c>
      <c r="L1162" s="194" t="s">
        <v>274</v>
      </c>
      <c r="M1162" s="194" t="s">
        <v>181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909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984</v>
      </c>
      <c r="E1163" s="191">
        <v>40745</v>
      </c>
      <c r="F1163" s="192" t="s">
        <v>1028</v>
      </c>
      <c r="G1163" s="502" t="s">
        <v>1202</v>
      </c>
      <c r="H1163" s="193" t="s">
        <v>756</v>
      </c>
      <c r="I1163" s="260">
        <v>1</v>
      </c>
      <c r="J1163" s="260">
        <v>10723</v>
      </c>
      <c r="K1163" s="618">
        <v>10723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909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984</v>
      </c>
      <c r="E1164" s="191">
        <v>40745</v>
      </c>
      <c r="F1164" s="192" t="s">
        <v>774</v>
      </c>
      <c r="G1164" s="502" t="s">
        <v>1202</v>
      </c>
      <c r="H1164" s="193" t="s">
        <v>756</v>
      </c>
      <c r="I1164" s="260">
        <v>4</v>
      </c>
      <c r="J1164" s="260">
        <v>14010</v>
      </c>
      <c r="K1164" s="618">
        <v>56040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909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984</v>
      </c>
      <c r="E1165" s="191">
        <v>40745</v>
      </c>
      <c r="F1165" s="192" t="s">
        <v>1200</v>
      </c>
      <c r="G1165" s="502" t="s">
        <v>1202</v>
      </c>
      <c r="H1165" s="193" t="s">
        <v>756</v>
      </c>
      <c r="I1165" s="260"/>
      <c r="J1165" s="260"/>
      <c r="K1165" s="618">
        <f>301871-1</f>
        <v>301870</v>
      </c>
      <c r="L1165" s="194" t="s">
        <v>274</v>
      </c>
      <c r="M1165" s="194" t="s">
        <v>754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909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985</v>
      </c>
      <c r="E1166" s="191">
        <v>40745</v>
      </c>
      <c r="F1166" s="192" t="s">
        <v>1029</v>
      </c>
      <c r="G1166" s="502" t="s">
        <v>1203</v>
      </c>
      <c r="H1166" s="193" t="s">
        <v>756</v>
      </c>
      <c r="I1166" s="260">
        <v>3</v>
      </c>
      <c r="J1166" s="260">
        <v>15054</v>
      </c>
      <c r="K1166" s="618">
        <v>45162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909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985</v>
      </c>
      <c r="E1167" s="191">
        <v>40745</v>
      </c>
      <c r="F1167" s="192" t="s">
        <v>775</v>
      </c>
      <c r="G1167" s="502" t="s">
        <v>1203</v>
      </c>
      <c r="H1167" s="193" t="s">
        <v>756</v>
      </c>
      <c r="I1167" s="260">
        <v>3</v>
      </c>
      <c r="J1167" s="260">
        <v>16284</v>
      </c>
      <c r="K1167" s="618">
        <v>48852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909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985</v>
      </c>
      <c r="E1168" s="191">
        <v>40745</v>
      </c>
      <c r="F1168" s="192" t="s">
        <v>1030</v>
      </c>
      <c r="G1168" s="502" t="s">
        <v>1203</v>
      </c>
      <c r="H1168" s="193" t="s">
        <v>756</v>
      </c>
      <c r="I1168" s="260">
        <v>107</v>
      </c>
      <c r="J1168" s="260">
        <v>16832</v>
      </c>
      <c r="K1168" s="618">
        <v>1801024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909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985</v>
      </c>
      <c r="E1169" s="191">
        <v>40745</v>
      </c>
      <c r="F1169" s="192" t="s">
        <v>1031</v>
      </c>
      <c r="G1169" s="502" t="s">
        <v>1203</v>
      </c>
      <c r="H1169" s="193" t="s">
        <v>756</v>
      </c>
      <c r="I1169" s="260">
        <v>83</v>
      </c>
      <c r="J1169" s="260">
        <v>11079</v>
      </c>
      <c r="K1169" s="618">
        <v>919557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909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985</v>
      </c>
      <c r="E1170" s="191">
        <v>40745</v>
      </c>
      <c r="F1170" s="192" t="s">
        <v>946</v>
      </c>
      <c r="G1170" s="502" t="s">
        <v>1203</v>
      </c>
      <c r="H1170" s="193" t="s">
        <v>756</v>
      </c>
      <c r="I1170" s="260">
        <v>51</v>
      </c>
      <c r="J1170" s="260">
        <v>8450</v>
      </c>
      <c r="K1170" s="618">
        <v>430950</v>
      </c>
      <c r="L1170" s="194" t="s">
        <v>274</v>
      </c>
      <c r="M1170" s="194" t="s">
        <v>181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909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985</v>
      </c>
      <c r="E1171" s="191">
        <v>40745</v>
      </c>
      <c r="F1171" s="192" t="s">
        <v>950</v>
      </c>
      <c r="G1171" s="502" t="s">
        <v>1203</v>
      </c>
      <c r="H1171" s="193" t="s">
        <v>756</v>
      </c>
      <c r="I1171" s="260">
        <v>90</v>
      </c>
      <c r="J1171" s="260">
        <v>9594</v>
      </c>
      <c r="K1171" s="618">
        <v>863460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909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985</v>
      </c>
      <c r="E1172" s="191">
        <v>40745</v>
      </c>
      <c r="F1172" s="192" t="s">
        <v>1026</v>
      </c>
      <c r="G1172" s="502" t="s">
        <v>1203</v>
      </c>
      <c r="H1172" s="193" t="s">
        <v>756</v>
      </c>
      <c r="I1172" s="260">
        <v>669</v>
      </c>
      <c r="J1172" s="260">
        <v>14438</v>
      </c>
      <c r="K1172" s="618">
        <v>9659022</v>
      </c>
      <c r="L1172" s="194" t="s">
        <v>274</v>
      </c>
      <c r="M1172" s="194" t="s">
        <v>181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909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985</v>
      </c>
      <c r="E1173" s="191">
        <v>40745</v>
      </c>
      <c r="F1173" s="192" t="s">
        <v>769</v>
      </c>
      <c r="G1173" s="502" t="s">
        <v>1203</v>
      </c>
      <c r="H1173" s="193" t="s">
        <v>756</v>
      </c>
      <c r="I1173" s="260">
        <v>176</v>
      </c>
      <c r="J1173" s="260">
        <v>10595</v>
      </c>
      <c r="K1173" s="618">
        <v>1864720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909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985</v>
      </c>
      <c r="E1174" s="191">
        <v>40745</v>
      </c>
      <c r="F1174" s="192" t="s">
        <v>1200</v>
      </c>
      <c r="G1174" s="502" t="s">
        <v>1203</v>
      </c>
      <c r="H1174" s="193" t="s">
        <v>756</v>
      </c>
      <c r="I1174" s="260"/>
      <c r="J1174" s="260"/>
      <c r="K1174" s="618">
        <v>1563275</v>
      </c>
      <c r="L1174" s="194" t="s">
        <v>274</v>
      </c>
      <c r="M1174" s="194" t="s">
        <v>754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909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980</v>
      </c>
      <c r="E1175" s="37">
        <v>40745</v>
      </c>
      <c r="F1175" s="40" t="s">
        <v>411</v>
      </c>
      <c r="G1175" s="40"/>
      <c r="H1175" s="632" t="s">
        <v>1116</v>
      </c>
      <c r="I1175" s="260">
        <v>50</v>
      </c>
      <c r="J1175" s="260">
        <v>24000</v>
      </c>
      <c r="K1175" s="618">
        <f t="shared" ref="K1175:K1207" si="89">ROUND(I1175*J1175,0)</f>
        <v>1200000</v>
      </c>
      <c r="L1175" s="39" t="s">
        <v>167</v>
      </c>
      <c r="M1175" s="39" t="s">
        <v>161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909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1139</v>
      </c>
      <c r="E1176" s="37">
        <v>40745</v>
      </c>
      <c r="F1176" s="40" t="s">
        <v>770</v>
      </c>
      <c r="G1176" s="40"/>
      <c r="H1176" s="632" t="s">
        <v>1116</v>
      </c>
      <c r="I1176" s="260">
        <v>5</v>
      </c>
      <c r="J1176" s="260">
        <v>10373.798735153479</v>
      </c>
      <c r="K1176" s="618">
        <f t="shared" si="89"/>
        <v>51869</v>
      </c>
      <c r="L1176" s="39" t="s">
        <v>169</v>
      </c>
      <c r="M1176" s="39" t="s">
        <v>167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909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1139</v>
      </c>
      <c r="E1177" s="37">
        <v>40745</v>
      </c>
      <c r="F1177" s="40" t="s">
        <v>771</v>
      </c>
      <c r="G1177" s="40"/>
      <c r="H1177" s="632" t="s">
        <v>1116</v>
      </c>
      <c r="I1177" s="260">
        <v>1</v>
      </c>
      <c r="J1177" s="260">
        <v>10374.398735153478</v>
      </c>
      <c r="K1177" s="618">
        <f t="shared" si="89"/>
        <v>10374</v>
      </c>
      <c r="L1177" s="39" t="s">
        <v>169</v>
      </c>
      <c r="M1177" s="39" t="s">
        <v>167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909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1139</v>
      </c>
      <c r="E1178" s="37">
        <v>40745</v>
      </c>
      <c r="F1178" s="40" t="s">
        <v>772</v>
      </c>
      <c r="G1178" s="40"/>
      <c r="H1178" s="632" t="s">
        <v>1116</v>
      </c>
      <c r="I1178" s="260">
        <v>1</v>
      </c>
      <c r="J1178" s="260">
        <v>10309.398735153478</v>
      </c>
      <c r="K1178" s="618">
        <f t="shared" si="89"/>
        <v>10309</v>
      </c>
      <c r="L1178" s="39" t="s">
        <v>169</v>
      </c>
      <c r="M1178" s="39" t="s">
        <v>167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909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1139</v>
      </c>
      <c r="E1179" s="37">
        <v>40745</v>
      </c>
      <c r="F1179" s="40" t="s">
        <v>1026</v>
      </c>
      <c r="G1179" s="40"/>
      <c r="H1179" s="632" t="s">
        <v>1116</v>
      </c>
      <c r="I1179" s="260">
        <v>18</v>
      </c>
      <c r="J1179" s="260">
        <v>14175.39873515348</v>
      </c>
      <c r="K1179" s="618">
        <f t="shared" si="89"/>
        <v>255157</v>
      </c>
      <c r="L1179" s="39" t="s">
        <v>169</v>
      </c>
      <c r="M1179" s="39" t="s">
        <v>167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909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1139</v>
      </c>
      <c r="E1180" s="37">
        <v>40745</v>
      </c>
      <c r="F1180" s="40" t="s">
        <v>773</v>
      </c>
      <c r="G1180" s="40"/>
      <c r="H1180" s="632" t="s">
        <v>1116</v>
      </c>
      <c r="I1180" s="260">
        <v>166</v>
      </c>
      <c r="J1180" s="260">
        <v>13625.398735153478</v>
      </c>
      <c r="K1180" s="618">
        <f t="shared" si="89"/>
        <v>2261816</v>
      </c>
      <c r="L1180" s="39" t="s">
        <v>169</v>
      </c>
      <c r="M1180" s="39" t="s">
        <v>167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909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1139</v>
      </c>
      <c r="E1181" s="37">
        <v>40745</v>
      </c>
      <c r="F1181" s="192" t="s">
        <v>1321</v>
      </c>
      <c r="G1181" s="40"/>
      <c r="H1181" s="632" t="s">
        <v>1116</v>
      </c>
      <c r="I1181" s="260">
        <v>2</v>
      </c>
      <c r="J1181" s="260">
        <v>9362.3987351534779</v>
      </c>
      <c r="K1181" s="618">
        <f t="shared" si="89"/>
        <v>18725</v>
      </c>
      <c r="L1181" s="39" t="s">
        <v>169</v>
      </c>
      <c r="M1181" s="39" t="s">
        <v>167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909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1139</v>
      </c>
      <c r="E1182" s="37">
        <v>40745</v>
      </c>
      <c r="F1182" s="40" t="s">
        <v>1028</v>
      </c>
      <c r="G1182" s="40"/>
      <c r="H1182" s="632" t="s">
        <v>1116</v>
      </c>
      <c r="I1182" s="260">
        <v>1</v>
      </c>
      <c r="J1182" s="260">
        <v>10374.398735153478</v>
      </c>
      <c r="K1182" s="618">
        <f t="shared" si="89"/>
        <v>10374</v>
      </c>
      <c r="L1182" s="39" t="s">
        <v>169</v>
      </c>
      <c r="M1182" s="39" t="s">
        <v>167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909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1139</v>
      </c>
      <c r="E1183" s="37">
        <v>40745</v>
      </c>
      <c r="F1183" s="40" t="s">
        <v>774</v>
      </c>
      <c r="G1183" s="40"/>
      <c r="H1183" s="632" t="s">
        <v>1116</v>
      </c>
      <c r="I1183" s="260">
        <v>4</v>
      </c>
      <c r="J1183" s="260">
        <v>12825.398735153478</v>
      </c>
      <c r="K1183" s="618">
        <f t="shared" si="89"/>
        <v>51302</v>
      </c>
      <c r="L1183" s="39" t="s">
        <v>169</v>
      </c>
      <c r="M1183" s="39" t="s">
        <v>167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909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1139</v>
      </c>
      <c r="E1184" s="37">
        <v>40745</v>
      </c>
      <c r="F1184" s="40" t="s">
        <v>1029</v>
      </c>
      <c r="G1184" s="40"/>
      <c r="H1184" s="632" t="s">
        <v>1116</v>
      </c>
      <c r="I1184" s="260">
        <v>3</v>
      </c>
      <c r="J1184" s="260">
        <v>14080.398735153476</v>
      </c>
      <c r="K1184" s="618">
        <f t="shared" si="89"/>
        <v>42241</v>
      </c>
      <c r="L1184" s="39" t="s">
        <v>169</v>
      </c>
      <c r="M1184" s="39" t="s">
        <v>167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909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1140</v>
      </c>
      <c r="E1185" s="37">
        <v>40745</v>
      </c>
      <c r="F1185" s="40" t="s">
        <v>775</v>
      </c>
      <c r="G1185" s="40"/>
      <c r="H1185" s="632" t="s">
        <v>1116</v>
      </c>
      <c r="I1185" s="260">
        <v>3</v>
      </c>
      <c r="J1185" s="260">
        <v>14080.398735153476</v>
      </c>
      <c r="K1185" s="618">
        <f t="shared" si="89"/>
        <v>42241</v>
      </c>
      <c r="L1185" s="39" t="s">
        <v>169</v>
      </c>
      <c r="M1185" s="39" t="s">
        <v>167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909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1140</v>
      </c>
      <c r="E1186" s="37">
        <v>40745</v>
      </c>
      <c r="F1186" s="40" t="s">
        <v>1030</v>
      </c>
      <c r="G1186" s="40"/>
      <c r="H1186" s="632" t="s">
        <v>1116</v>
      </c>
      <c r="I1186" s="260">
        <v>107</v>
      </c>
      <c r="J1186" s="260">
        <v>13731.968828611421</v>
      </c>
      <c r="K1186" s="618">
        <f t="shared" si="89"/>
        <v>1469321</v>
      </c>
      <c r="L1186" s="39" t="s">
        <v>169</v>
      </c>
      <c r="M1186" s="39" t="s">
        <v>167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909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1140</v>
      </c>
      <c r="E1187" s="37">
        <v>40745</v>
      </c>
      <c r="F1187" s="40" t="s">
        <v>1031</v>
      </c>
      <c r="G1187" s="40"/>
      <c r="H1187" s="632" t="s">
        <v>1116</v>
      </c>
      <c r="I1187" s="260">
        <v>83</v>
      </c>
      <c r="J1187" s="260">
        <v>10606.651747201671</v>
      </c>
      <c r="K1187" s="618">
        <f t="shared" si="89"/>
        <v>880352</v>
      </c>
      <c r="L1187" s="39" t="s">
        <v>169</v>
      </c>
      <c r="M1187" s="39" t="s">
        <v>167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909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1140</v>
      </c>
      <c r="E1188" s="37">
        <v>40745</v>
      </c>
      <c r="F1188" s="192" t="s">
        <v>946</v>
      </c>
      <c r="G1188" s="40"/>
      <c r="H1188" s="632" t="s">
        <v>1116</v>
      </c>
      <c r="I1188" s="260">
        <v>51</v>
      </c>
      <c r="J1188" s="260">
        <v>7394.3987351534797</v>
      </c>
      <c r="K1188" s="618">
        <f t="shared" si="89"/>
        <v>377114</v>
      </c>
      <c r="L1188" s="39" t="s">
        <v>169</v>
      </c>
      <c r="M1188" s="39" t="s">
        <v>167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909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1140</v>
      </c>
      <c r="E1189" s="37">
        <v>40745</v>
      </c>
      <c r="F1189" s="192" t="s">
        <v>950</v>
      </c>
      <c r="G1189" s="40"/>
      <c r="H1189" s="632" t="s">
        <v>1116</v>
      </c>
      <c r="I1189" s="260">
        <v>90</v>
      </c>
      <c r="J1189" s="260">
        <v>8248.3987351534779</v>
      </c>
      <c r="K1189" s="618">
        <f t="shared" si="89"/>
        <v>742356</v>
      </c>
      <c r="L1189" s="39" t="s">
        <v>169</v>
      </c>
      <c r="M1189" s="39" t="s">
        <v>167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909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1140</v>
      </c>
      <c r="E1190" s="37">
        <v>40745</v>
      </c>
      <c r="F1190" s="40" t="s">
        <v>1026</v>
      </c>
      <c r="G1190" s="40"/>
      <c r="H1190" s="632" t="s">
        <v>1116</v>
      </c>
      <c r="I1190" s="260">
        <v>669</v>
      </c>
      <c r="J1190" s="260">
        <v>12965.933862208785</v>
      </c>
      <c r="K1190" s="618">
        <f t="shared" si="89"/>
        <v>8674210</v>
      </c>
      <c r="L1190" s="39" t="s">
        <v>169</v>
      </c>
      <c r="M1190" s="39" t="s">
        <v>167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909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1140</v>
      </c>
      <c r="E1191" s="37">
        <v>40745</v>
      </c>
      <c r="F1191" s="40" t="s">
        <v>769</v>
      </c>
      <c r="G1191" s="40"/>
      <c r="H1191" s="632" t="s">
        <v>1116</v>
      </c>
      <c r="I1191" s="260">
        <v>176</v>
      </c>
      <c r="J1191" s="260">
        <v>8248.3987351534761</v>
      </c>
      <c r="K1191" s="618">
        <f t="shared" si="89"/>
        <v>1451718</v>
      </c>
      <c r="L1191" s="39" t="s">
        <v>169</v>
      </c>
      <c r="M1191" s="39" t="s">
        <v>167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909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984</v>
      </c>
      <c r="E1192" s="37">
        <v>40745</v>
      </c>
      <c r="F1192" s="40" t="s">
        <v>770</v>
      </c>
      <c r="G1192" s="40" t="s">
        <v>1202</v>
      </c>
      <c r="H1192" s="632" t="s">
        <v>756</v>
      </c>
      <c r="I1192" s="260">
        <v>5</v>
      </c>
      <c r="J1192" s="260">
        <v>10373.798735153479</v>
      </c>
      <c r="K1192" s="618">
        <f t="shared" si="89"/>
        <v>51869</v>
      </c>
      <c r="L1192" s="39" t="s">
        <v>179</v>
      </c>
      <c r="M1192" s="39" t="s">
        <v>169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909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984</v>
      </c>
      <c r="E1193" s="37">
        <v>40745</v>
      </c>
      <c r="F1193" s="40" t="s">
        <v>771</v>
      </c>
      <c r="G1193" s="40" t="s">
        <v>1202</v>
      </c>
      <c r="H1193" s="632" t="s">
        <v>756</v>
      </c>
      <c r="I1193" s="260">
        <v>1</v>
      </c>
      <c r="J1193" s="260">
        <v>10374.398735153478</v>
      </c>
      <c r="K1193" s="618">
        <f t="shared" si="89"/>
        <v>10374</v>
      </c>
      <c r="L1193" s="39" t="s">
        <v>179</v>
      </c>
      <c r="M1193" s="39" t="s">
        <v>169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909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984</v>
      </c>
      <c r="E1194" s="37">
        <v>40745</v>
      </c>
      <c r="F1194" s="40" t="s">
        <v>772</v>
      </c>
      <c r="G1194" s="40" t="s">
        <v>1202</v>
      </c>
      <c r="H1194" s="632" t="s">
        <v>756</v>
      </c>
      <c r="I1194" s="260">
        <v>1</v>
      </c>
      <c r="J1194" s="260">
        <v>10309.398735153478</v>
      </c>
      <c r="K1194" s="618">
        <f t="shared" si="89"/>
        <v>10309</v>
      </c>
      <c r="L1194" s="39" t="s">
        <v>179</v>
      </c>
      <c r="M1194" s="39" t="s">
        <v>169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909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984</v>
      </c>
      <c r="E1195" s="37">
        <v>40745</v>
      </c>
      <c r="F1195" s="40" t="s">
        <v>1026</v>
      </c>
      <c r="G1195" s="40" t="s">
        <v>1202</v>
      </c>
      <c r="H1195" s="632" t="s">
        <v>756</v>
      </c>
      <c r="I1195" s="260">
        <v>18</v>
      </c>
      <c r="J1195" s="260">
        <v>14175.39873515348</v>
      </c>
      <c r="K1195" s="618">
        <f t="shared" si="89"/>
        <v>255157</v>
      </c>
      <c r="L1195" s="39" t="s">
        <v>179</v>
      </c>
      <c r="M1195" s="39" t="s">
        <v>169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909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984</v>
      </c>
      <c r="E1196" s="37">
        <v>40745</v>
      </c>
      <c r="F1196" s="40" t="s">
        <v>773</v>
      </c>
      <c r="G1196" s="40" t="s">
        <v>1202</v>
      </c>
      <c r="H1196" s="632" t="s">
        <v>756</v>
      </c>
      <c r="I1196" s="260">
        <v>166</v>
      </c>
      <c r="J1196" s="260">
        <v>13625.398735153478</v>
      </c>
      <c r="K1196" s="618">
        <f t="shared" si="89"/>
        <v>2261816</v>
      </c>
      <c r="L1196" s="39" t="s">
        <v>179</v>
      </c>
      <c r="M1196" s="39" t="s">
        <v>169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909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984</v>
      </c>
      <c r="E1197" s="37">
        <v>40745</v>
      </c>
      <c r="F1197" s="192" t="s">
        <v>1321</v>
      </c>
      <c r="G1197" s="40" t="s">
        <v>1202</v>
      </c>
      <c r="H1197" s="632" t="s">
        <v>756</v>
      </c>
      <c r="I1197" s="260">
        <v>2</v>
      </c>
      <c r="J1197" s="260">
        <v>9362.3987351534779</v>
      </c>
      <c r="K1197" s="618">
        <f t="shared" si="89"/>
        <v>18725</v>
      </c>
      <c r="L1197" s="39" t="s">
        <v>179</v>
      </c>
      <c r="M1197" s="39" t="s">
        <v>169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909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984</v>
      </c>
      <c r="E1198" s="37">
        <v>40745</v>
      </c>
      <c r="F1198" s="40" t="s">
        <v>1028</v>
      </c>
      <c r="G1198" s="40" t="s">
        <v>1202</v>
      </c>
      <c r="H1198" s="632" t="s">
        <v>756</v>
      </c>
      <c r="I1198" s="260">
        <v>1</v>
      </c>
      <c r="J1198" s="260">
        <v>10374.398735153478</v>
      </c>
      <c r="K1198" s="618">
        <f t="shared" si="89"/>
        <v>10374</v>
      </c>
      <c r="L1198" s="39" t="s">
        <v>179</v>
      </c>
      <c r="M1198" s="39" t="s">
        <v>169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909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984</v>
      </c>
      <c r="E1199" s="37">
        <v>40745</v>
      </c>
      <c r="F1199" s="40" t="s">
        <v>774</v>
      </c>
      <c r="G1199" s="40" t="s">
        <v>1202</v>
      </c>
      <c r="H1199" s="632" t="s">
        <v>756</v>
      </c>
      <c r="I1199" s="260">
        <v>4</v>
      </c>
      <c r="J1199" s="260">
        <v>12825.398735153478</v>
      </c>
      <c r="K1199" s="618">
        <f t="shared" si="89"/>
        <v>51302</v>
      </c>
      <c r="L1199" s="39" t="s">
        <v>179</v>
      </c>
      <c r="M1199" s="39" t="s">
        <v>169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909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985</v>
      </c>
      <c r="E1200" s="37">
        <v>40745</v>
      </c>
      <c r="F1200" s="40" t="s">
        <v>1029</v>
      </c>
      <c r="G1200" s="40" t="s">
        <v>1203</v>
      </c>
      <c r="H1200" s="632" t="s">
        <v>756</v>
      </c>
      <c r="I1200" s="260">
        <v>3</v>
      </c>
      <c r="J1200" s="260">
        <v>14080.398735153476</v>
      </c>
      <c r="K1200" s="618">
        <f t="shared" si="89"/>
        <v>42241</v>
      </c>
      <c r="L1200" s="39" t="s">
        <v>179</v>
      </c>
      <c r="M1200" s="39" t="s">
        <v>169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909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985</v>
      </c>
      <c r="E1201" s="37">
        <v>40745</v>
      </c>
      <c r="F1201" s="40" t="s">
        <v>775</v>
      </c>
      <c r="G1201" s="40" t="s">
        <v>1203</v>
      </c>
      <c r="H1201" s="632" t="s">
        <v>756</v>
      </c>
      <c r="I1201" s="260">
        <v>3</v>
      </c>
      <c r="J1201" s="260">
        <v>14080.398735153476</v>
      </c>
      <c r="K1201" s="618">
        <f t="shared" si="89"/>
        <v>42241</v>
      </c>
      <c r="L1201" s="39" t="s">
        <v>179</v>
      </c>
      <c r="M1201" s="39" t="s">
        <v>169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909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985</v>
      </c>
      <c r="E1202" s="37">
        <v>40745</v>
      </c>
      <c r="F1202" s="40" t="s">
        <v>1030</v>
      </c>
      <c r="G1202" s="40" t="s">
        <v>1203</v>
      </c>
      <c r="H1202" s="632" t="s">
        <v>756</v>
      </c>
      <c r="I1202" s="260">
        <v>107</v>
      </c>
      <c r="J1202" s="260">
        <v>13731.968828611421</v>
      </c>
      <c r="K1202" s="618">
        <f t="shared" si="89"/>
        <v>1469321</v>
      </c>
      <c r="L1202" s="39" t="s">
        <v>179</v>
      </c>
      <c r="M1202" s="39" t="s">
        <v>169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909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985</v>
      </c>
      <c r="E1203" s="37">
        <v>40745</v>
      </c>
      <c r="F1203" s="40" t="s">
        <v>1031</v>
      </c>
      <c r="G1203" s="40" t="s">
        <v>1203</v>
      </c>
      <c r="H1203" s="632" t="s">
        <v>756</v>
      </c>
      <c r="I1203" s="260">
        <v>83</v>
      </c>
      <c r="J1203" s="260">
        <v>10606.651747201671</v>
      </c>
      <c r="K1203" s="618">
        <f t="shared" si="89"/>
        <v>880352</v>
      </c>
      <c r="L1203" s="39" t="s">
        <v>179</v>
      </c>
      <c r="M1203" s="39" t="s">
        <v>169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909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985</v>
      </c>
      <c r="E1204" s="37">
        <v>40745</v>
      </c>
      <c r="F1204" s="192" t="s">
        <v>946</v>
      </c>
      <c r="G1204" s="40" t="s">
        <v>1203</v>
      </c>
      <c r="H1204" s="632" t="s">
        <v>756</v>
      </c>
      <c r="I1204" s="260">
        <v>51</v>
      </c>
      <c r="J1204" s="260">
        <v>7394.3987351534797</v>
      </c>
      <c r="K1204" s="618">
        <f t="shared" si="89"/>
        <v>377114</v>
      </c>
      <c r="L1204" s="39" t="s">
        <v>179</v>
      </c>
      <c r="M1204" s="39" t="s">
        <v>169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909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985</v>
      </c>
      <c r="E1205" s="37">
        <v>40745</v>
      </c>
      <c r="F1205" s="192" t="s">
        <v>950</v>
      </c>
      <c r="G1205" s="40" t="s">
        <v>1203</v>
      </c>
      <c r="H1205" s="632" t="s">
        <v>756</v>
      </c>
      <c r="I1205" s="260">
        <v>90</v>
      </c>
      <c r="J1205" s="260">
        <v>8248.3987351534779</v>
      </c>
      <c r="K1205" s="618">
        <f t="shared" si="89"/>
        <v>742356</v>
      </c>
      <c r="L1205" s="39" t="s">
        <v>179</v>
      </c>
      <c r="M1205" s="39" t="s">
        <v>169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909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985</v>
      </c>
      <c r="E1206" s="37">
        <v>40745</v>
      </c>
      <c r="F1206" s="40" t="s">
        <v>1026</v>
      </c>
      <c r="G1206" s="40" t="s">
        <v>1203</v>
      </c>
      <c r="H1206" s="632" t="s">
        <v>756</v>
      </c>
      <c r="I1206" s="260">
        <v>669</v>
      </c>
      <c r="J1206" s="260">
        <v>12965.933862208785</v>
      </c>
      <c r="K1206" s="618">
        <f t="shared" si="89"/>
        <v>8674210</v>
      </c>
      <c r="L1206" s="39" t="s">
        <v>179</v>
      </c>
      <c r="M1206" s="39" t="s">
        <v>169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909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985</v>
      </c>
      <c r="E1207" s="37">
        <v>40745</v>
      </c>
      <c r="F1207" s="40" t="s">
        <v>769</v>
      </c>
      <c r="G1207" s="40" t="s">
        <v>1203</v>
      </c>
      <c r="H1207" s="632" t="s">
        <v>756</v>
      </c>
      <c r="I1207" s="260">
        <v>176</v>
      </c>
      <c r="J1207" s="260">
        <v>8248.3987351534761</v>
      </c>
      <c r="K1207" s="618">
        <f t="shared" si="89"/>
        <v>1451718</v>
      </c>
      <c r="L1207" s="39" t="s">
        <v>179</v>
      </c>
      <c r="M1207" s="39" t="s">
        <v>169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909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988</v>
      </c>
      <c r="E1208" s="191">
        <v>40746</v>
      </c>
      <c r="F1208" s="192" t="s">
        <v>1019</v>
      </c>
      <c r="G1208" s="502" t="s">
        <v>1204</v>
      </c>
      <c r="H1208" s="193" t="s">
        <v>756</v>
      </c>
      <c r="I1208" s="260">
        <v>50</v>
      </c>
      <c r="J1208" s="260">
        <v>9793</v>
      </c>
      <c r="K1208" s="618">
        <v>489650</v>
      </c>
      <c r="L1208" s="194" t="s">
        <v>274</v>
      </c>
      <c r="M1208" s="194" t="s">
        <v>181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909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988</v>
      </c>
      <c r="E1209" s="191">
        <v>40746</v>
      </c>
      <c r="F1209" s="192" t="s">
        <v>774</v>
      </c>
      <c r="G1209" s="502" t="s">
        <v>1204</v>
      </c>
      <c r="H1209" s="193" t="s">
        <v>756</v>
      </c>
      <c r="I1209" s="260">
        <v>46</v>
      </c>
      <c r="J1209" s="260">
        <v>14010</v>
      </c>
      <c r="K1209" s="618">
        <v>644460</v>
      </c>
      <c r="L1209" s="194" t="s">
        <v>274</v>
      </c>
      <c r="M1209" s="194" t="s">
        <v>181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909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988</v>
      </c>
      <c r="E1210" s="191">
        <v>40746</v>
      </c>
      <c r="F1210" s="192" t="s">
        <v>1033</v>
      </c>
      <c r="G1210" s="502" t="s">
        <v>1204</v>
      </c>
      <c r="H1210" s="193" t="s">
        <v>756</v>
      </c>
      <c r="I1210" s="262">
        <v>68</v>
      </c>
      <c r="J1210" s="262">
        <v>11067</v>
      </c>
      <c r="K1210" s="618">
        <v>752556</v>
      </c>
      <c r="L1210" s="194" t="s">
        <v>274</v>
      </c>
      <c r="M1210" s="194" t="s">
        <v>181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909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988</v>
      </c>
      <c r="E1211" s="191">
        <v>40746</v>
      </c>
      <c r="F1211" s="192" t="s">
        <v>776</v>
      </c>
      <c r="G1211" s="502" t="s">
        <v>1204</v>
      </c>
      <c r="H1211" s="193" t="s">
        <v>756</v>
      </c>
      <c r="I1211" s="260">
        <v>50</v>
      </c>
      <c r="J1211" s="260">
        <v>16713</v>
      </c>
      <c r="K1211" s="618">
        <v>835650</v>
      </c>
      <c r="L1211" s="194" t="s">
        <v>274</v>
      </c>
      <c r="M1211" s="194" t="s">
        <v>181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909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988</v>
      </c>
      <c r="E1212" s="191">
        <v>40746</v>
      </c>
      <c r="F1212" s="192" t="s">
        <v>777</v>
      </c>
      <c r="G1212" s="502" t="s">
        <v>1204</v>
      </c>
      <c r="H1212" s="193" t="s">
        <v>756</v>
      </c>
      <c r="I1212" s="260">
        <v>2</v>
      </c>
      <c r="J1212" s="260">
        <v>12207</v>
      </c>
      <c r="K1212" s="618">
        <v>24414</v>
      </c>
      <c r="L1212" s="194" t="s">
        <v>274</v>
      </c>
      <c r="M1212" s="194" t="s">
        <v>181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909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988</v>
      </c>
      <c r="E1213" s="191">
        <v>40746</v>
      </c>
      <c r="F1213" s="192" t="s">
        <v>1034</v>
      </c>
      <c r="G1213" s="502" t="s">
        <v>1204</v>
      </c>
      <c r="H1213" s="193" t="s">
        <v>756</v>
      </c>
      <c r="I1213" s="260">
        <v>1</v>
      </c>
      <c r="J1213" s="260">
        <v>13099</v>
      </c>
      <c r="K1213" s="618">
        <v>13099</v>
      </c>
      <c r="L1213" s="194" t="s">
        <v>274</v>
      </c>
      <c r="M1213" s="194" t="s">
        <v>181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909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988</v>
      </c>
      <c r="E1214" s="191">
        <v>40746</v>
      </c>
      <c r="F1214" s="192" t="s">
        <v>778</v>
      </c>
      <c r="G1214" s="502" t="s">
        <v>1204</v>
      </c>
      <c r="H1214" s="193" t="s">
        <v>756</v>
      </c>
      <c r="I1214" s="260">
        <v>5</v>
      </c>
      <c r="J1214" s="260">
        <v>12179</v>
      </c>
      <c r="K1214" s="618">
        <v>60895</v>
      </c>
      <c r="L1214" s="194" t="s">
        <v>274</v>
      </c>
      <c r="M1214" s="194" t="s">
        <v>181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909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988</v>
      </c>
      <c r="E1215" s="191">
        <v>40746</v>
      </c>
      <c r="F1215" s="192" t="s">
        <v>771</v>
      </c>
      <c r="G1215" s="502" t="s">
        <v>1204</v>
      </c>
      <c r="H1215" s="193" t="s">
        <v>756</v>
      </c>
      <c r="I1215" s="260">
        <v>6</v>
      </c>
      <c r="J1215" s="260">
        <v>10253</v>
      </c>
      <c r="K1215" s="618">
        <v>61518</v>
      </c>
      <c r="L1215" s="194" t="s">
        <v>274</v>
      </c>
      <c r="M1215" s="194" t="s">
        <v>181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909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988</v>
      </c>
      <c r="E1216" s="191">
        <v>40746</v>
      </c>
      <c r="F1216" s="192" t="s">
        <v>1200</v>
      </c>
      <c r="G1216" s="502" t="s">
        <v>1204</v>
      </c>
      <c r="H1216" s="193" t="s">
        <v>756</v>
      </c>
      <c r="I1216" s="260"/>
      <c r="J1216" s="260"/>
      <c r="K1216" s="618">
        <v>288224</v>
      </c>
      <c r="L1216" s="194" t="s">
        <v>274</v>
      </c>
      <c r="M1216" s="194" t="s">
        <v>754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909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1123</v>
      </c>
      <c r="E1217" s="802">
        <v>40746</v>
      </c>
      <c r="F1217" s="189" t="s">
        <v>410</v>
      </c>
      <c r="G1217" s="40"/>
      <c r="H1217" s="632" t="s">
        <v>1116</v>
      </c>
      <c r="I1217" s="851">
        <v>11</v>
      </c>
      <c r="J1217" s="260">
        <v>4449</v>
      </c>
      <c r="K1217" s="618">
        <f t="shared" ref="K1217:K1237" si="92">ROUND(I1217*J1217,0)</f>
        <v>48939</v>
      </c>
      <c r="L1217" s="39" t="s">
        <v>167</v>
      </c>
      <c r="M1217" s="39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909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1123</v>
      </c>
      <c r="E1218" s="802">
        <v>40746</v>
      </c>
      <c r="F1218" s="189" t="s">
        <v>515</v>
      </c>
      <c r="G1218" s="40"/>
      <c r="H1218" s="632" t="s">
        <v>1116</v>
      </c>
      <c r="I1218" s="260">
        <v>0.5</v>
      </c>
      <c r="J1218" s="260">
        <v>23716</v>
      </c>
      <c r="K1218" s="618">
        <f t="shared" si="92"/>
        <v>11858</v>
      </c>
      <c r="L1218" s="39" t="s">
        <v>167</v>
      </c>
      <c r="M1218" s="39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909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1123</v>
      </c>
      <c r="E1219" s="802">
        <v>40746</v>
      </c>
      <c r="F1219" s="40" t="s">
        <v>649</v>
      </c>
      <c r="G1219" s="40"/>
      <c r="H1219" s="632" t="s">
        <v>1116</v>
      </c>
      <c r="I1219" s="260">
        <v>3</v>
      </c>
      <c r="J1219" s="260">
        <v>23975</v>
      </c>
      <c r="K1219" s="618">
        <f t="shared" si="92"/>
        <v>71925</v>
      </c>
      <c r="L1219" s="39" t="s">
        <v>167</v>
      </c>
      <c r="M1219" s="39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909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1123</v>
      </c>
      <c r="E1220" s="802">
        <v>40746</v>
      </c>
      <c r="F1220" s="189" t="s">
        <v>546</v>
      </c>
      <c r="G1220" s="40"/>
      <c r="H1220" s="632" t="s">
        <v>1116</v>
      </c>
      <c r="I1220" s="260">
        <v>1</v>
      </c>
      <c r="J1220" s="260">
        <v>7268</v>
      </c>
      <c r="K1220" s="618">
        <f t="shared" si="92"/>
        <v>7268</v>
      </c>
      <c r="L1220" s="39" t="s">
        <v>167</v>
      </c>
      <c r="M1220" s="39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909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1123</v>
      </c>
      <c r="E1221" s="802">
        <v>40746</v>
      </c>
      <c r="F1221" s="40" t="s">
        <v>624</v>
      </c>
      <c r="G1221" s="40"/>
      <c r="H1221" s="632" t="s">
        <v>1116</v>
      </c>
      <c r="I1221" s="260">
        <v>0.5</v>
      </c>
      <c r="J1221" s="260">
        <v>16303</v>
      </c>
      <c r="K1221" s="618">
        <f t="shared" si="92"/>
        <v>8152</v>
      </c>
      <c r="L1221" s="39" t="s">
        <v>167</v>
      </c>
      <c r="M1221" s="39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909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1141</v>
      </c>
      <c r="E1222" s="37">
        <v>40746</v>
      </c>
      <c r="F1222" s="40" t="s">
        <v>1019</v>
      </c>
      <c r="G1222" s="40"/>
      <c r="H1222" s="632" t="s">
        <v>1116</v>
      </c>
      <c r="I1222" s="260">
        <v>50</v>
      </c>
      <c r="J1222" s="260">
        <v>8248.3987351534779</v>
      </c>
      <c r="K1222" s="618">
        <f t="shared" si="92"/>
        <v>412420</v>
      </c>
      <c r="L1222" s="39" t="s">
        <v>169</v>
      </c>
      <c r="M1222" s="39" t="s">
        <v>167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909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1141</v>
      </c>
      <c r="E1223" s="37">
        <v>40746</v>
      </c>
      <c r="F1223" s="40" t="s">
        <v>774</v>
      </c>
      <c r="G1223" s="40"/>
      <c r="H1223" s="632" t="s">
        <v>1116</v>
      </c>
      <c r="I1223" s="260">
        <v>46</v>
      </c>
      <c r="J1223" s="260">
        <v>14066.398735153482</v>
      </c>
      <c r="K1223" s="618">
        <f t="shared" si="92"/>
        <v>647054</v>
      </c>
      <c r="L1223" s="39" t="s">
        <v>169</v>
      </c>
      <c r="M1223" s="39" t="s">
        <v>167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909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1141</v>
      </c>
      <c r="E1224" s="37">
        <v>40746</v>
      </c>
      <c r="F1224" s="40" t="s">
        <v>1033</v>
      </c>
      <c r="G1224" s="40"/>
      <c r="H1224" s="632" t="s">
        <v>1116</v>
      </c>
      <c r="I1224" s="260">
        <v>68</v>
      </c>
      <c r="J1224" s="260">
        <v>10708.898735153478</v>
      </c>
      <c r="K1224" s="618">
        <f t="shared" si="92"/>
        <v>728205</v>
      </c>
      <c r="L1224" s="39" t="s">
        <v>169</v>
      </c>
      <c r="M1224" s="39" t="s">
        <v>167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909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1141</v>
      </c>
      <c r="E1225" s="37">
        <v>40746</v>
      </c>
      <c r="F1225" s="40" t="s">
        <v>776</v>
      </c>
      <c r="G1225" s="40"/>
      <c r="H1225" s="632" t="s">
        <v>1116</v>
      </c>
      <c r="I1225" s="260">
        <v>50</v>
      </c>
      <c r="J1225" s="260">
        <v>13625.398735153478</v>
      </c>
      <c r="K1225" s="618">
        <f t="shared" si="92"/>
        <v>681270</v>
      </c>
      <c r="L1225" s="39" t="s">
        <v>169</v>
      </c>
      <c r="M1225" s="39" t="s">
        <v>167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909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1141</v>
      </c>
      <c r="E1226" s="37">
        <v>40746</v>
      </c>
      <c r="F1226" s="40" t="s">
        <v>777</v>
      </c>
      <c r="G1226" s="40"/>
      <c r="H1226" s="632" t="s">
        <v>1116</v>
      </c>
      <c r="I1226" s="260">
        <v>2</v>
      </c>
      <c r="J1226" s="260">
        <v>10373.898735153478</v>
      </c>
      <c r="K1226" s="618">
        <f t="shared" si="92"/>
        <v>20748</v>
      </c>
      <c r="L1226" s="39" t="s">
        <v>169</v>
      </c>
      <c r="M1226" s="39" t="s">
        <v>167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909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1141</v>
      </c>
      <c r="E1227" s="37">
        <v>40746</v>
      </c>
      <c r="F1227" s="40" t="s">
        <v>1034</v>
      </c>
      <c r="G1227" s="40"/>
      <c r="H1227" s="632" t="s">
        <v>1116</v>
      </c>
      <c r="I1227" s="260">
        <v>1</v>
      </c>
      <c r="J1227" s="260">
        <v>14080.398735153478</v>
      </c>
      <c r="K1227" s="618">
        <f t="shared" si="92"/>
        <v>14080</v>
      </c>
      <c r="L1227" s="39" t="s">
        <v>169</v>
      </c>
      <c r="M1227" s="39" t="s">
        <v>167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909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1141</v>
      </c>
      <c r="E1228" s="37">
        <v>40746</v>
      </c>
      <c r="F1228" s="40" t="s">
        <v>778</v>
      </c>
      <c r="G1228" s="40"/>
      <c r="H1228" s="632" t="s">
        <v>1116</v>
      </c>
      <c r="I1228" s="260">
        <v>5</v>
      </c>
      <c r="J1228" s="260">
        <v>10373.798735153479</v>
      </c>
      <c r="K1228" s="618">
        <f t="shared" si="92"/>
        <v>51869</v>
      </c>
      <c r="L1228" s="39" t="s">
        <v>169</v>
      </c>
      <c r="M1228" s="39" t="s">
        <v>167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909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1141</v>
      </c>
      <c r="E1229" s="37">
        <v>40746</v>
      </c>
      <c r="F1229" s="40" t="s">
        <v>771</v>
      </c>
      <c r="G1229" s="40"/>
      <c r="H1229" s="632" t="s">
        <v>1116</v>
      </c>
      <c r="I1229" s="260">
        <v>6</v>
      </c>
      <c r="J1229" s="260">
        <v>9490.3987351534797</v>
      </c>
      <c r="K1229" s="618">
        <f t="shared" si="92"/>
        <v>56942</v>
      </c>
      <c r="L1229" s="39" t="s">
        <v>169</v>
      </c>
      <c r="M1229" s="39" t="s">
        <v>167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909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988</v>
      </c>
      <c r="E1230" s="37">
        <v>40746</v>
      </c>
      <c r="F1230" s="40" t="s">
        <v>1019</v>
      </c>
      <c r="G1230" s="40" t="s">
        <v>1204</v>
      </c>
      <c r="H1230" s="632" t="s">
        <v>756</v>
      </c>
      <c r="I1230" s="260">
        <v>50</v>
      </c>
      <c r="J1230" s="260">
        <v>8248.3987351534779</v>
      </c>
      <c r="K1230" s="618">
        <f t="shared" si="92"/>
        <v>412420</v>
      </c>
      <c r="L1230" s="39" t="s">
        <v>179</v>
      </c>
      <c r="M1230" s="39" t="s">
        <v>169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909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988</v>
      </c>
      <c r="E1231" s="37">
        <v>40746</v>
      </c>
      <c r="F1231" s="40" t="s">
        <v>774</v>
      </c>
      <c r="G1231" s="40" t="s">
        <v>1204</v>
      </c>
      <c r="H1231" s="632" t="s">
        <v>756</v>
      </c>
      <c r="I1231" s="260">
        <v>46</v>
      </c>
      <c r="J1231" s="260">
        <v>14066.398735153482</v>
      </c>
      <c r="K1231" s="618">
        <f t="shared" si="92"/>
        <v>647054</v>
      </c>
      <c r="L1231" s="39" t="s">
        <v>179</v>
      </c>
      <c r="M1231" s="39" t="s">
        <v>169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909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988</v>
      </c>
      <c r="E1232" s="37">
        <v>40746</v>
      </c>
      <c r="F1232" s="40" t="s">
        <v>1033</v>
      </c>
      <c r="G1232" s="40" t="s">
        <v>1204</v>
      </c>
      <c r="H1232" s="632" t="s">
        <v>756</v>
      </c>
      <c r="I1232" s="260">
        <v>68</v>
      </c>
      <c r="J1232" s="260">
        <v>10708.898735153478</v>
      </c>
      <c r="K1232" s="618">
        <f t="shared" si="92"/>
        <v>728205</v>
      </c>
      <c r="L1232" s="39" t="s">
        <v>179</v>
      </c>
      <c r="M1232" s="39" t="s">
        <v>169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909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988</v>
      </c>
      <c r="E1233" s="37">
        <v>40746</v>
      </c>
      <c r="F1233" s="40" t="s">
        <v>776</v>
      </c>
      <c r="G1233" s="40" t="s">
        <v>1204</v>
      </c>
      <c r="H1233" s="632" t="s">
        <v>756</v>
      </c>
      <c r="I1233" s="260">
        <v>50</v>
      </c>
      <c r="J1233" s="260">
        <v>13625.398735153478</v>
      </c>
      <c r="K1233" s="618">
        <f t="shared" si="92"/>
        <v>681270</v>
      </c>
      <c r="L1233" s="39" t="s">
        <v>179</v>
      </c>
      <c r="M1233" s="39" t="s">
        <v>169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909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988</v>
      </c>
      <c r="E1234" s="37">
        <v>40746</v>
      </c>
      <c r="F1234" s="40" t="s">
        <v>777</v>
      </c>
      <c r="G1234" s="40" t="s">
        <v>1204</v>
      </c>
      <c r="H1234" s="632" t="s">
        <v>756</v>
      </c>
      <c r="I1234" s="260">
        <v>2</v>
      </c>
      <c r="J1234" s="260">
        <v>10373.898735153478</v>
      </c>
      <c r="K1234" s="618">
        <f t="shared" si="92"/>
        <v>20748</v>
      </c>
      <c r="L1234" s="39" t="s">
        <v>179</v>
      </c>
      <c r="M1234" s="39" t="s">
        <v>169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909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988</v>
      </c>
      <c r="E1235" s="37">
        <v>40746</v>
      </c>
      <c r="F1235" s="40" t="s">
        <v>1034</v>
      </c>
      <c r="G1235" s="40" t="s">
        <v>1204</v>
      </c>
      <c r="H1235" s="632" t="s">
        <v>756</v>
      </c>
      <c r="I1235" s="260">
        <v>1</v>
      </c>
      <c r="J1235" s="260">
        <v>14080.398735153478</v>
      </c>
      <c r="K1235" s="618">
        <f t="shared" si="92"/>
        <v>14080</v>
      </c>
      <c r="L1235" s="39" t="s">
        <v>179</v>
      </c>
      <c r="M1235" s="39" t="s">
        <v>169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909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988</v>
      </c>
      <c r="E1236" s="37">
        <v>40746</v>
      </c>
      <c r="F1236" s="40" t="s">
        <v>778</v>
      </c>
      <c r="G1236" s="40" t="s">
        <v>1204</v>
      </c>
      <c r="H1236" s="632" t="s">
        <v>756</v>
      </c>
      <c r="I1236" s="260">
        <v>5</v>
      </c>
      <c r="J1236" s="260">
        <v>10373.798735153479</v>
      </c>
      <c r="K1236" s="618">
        <f t="shared" si="92"/>
        <v>51869</v>
      </c>
      <c r="L1236" s="39" t="s">
        <v>179</v>
      </c>
      <c r="M1236" s="39" t="s">
        <v>169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909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988</v>
      </c>
      <c r="E1237" s="37">
        <v>40746</v>
      </c>
      <c r="F1237" s="40" t="s">
        <v>771</v>
      </c>
      <c r="G1237" s="40" t="s">
        <v>1204</v>
      </c>
      <c r="H1237" s="632" t="s">
        <v>756</v>
      </c>
      <c r="I1237" s="260">
        <v>6</v>
      </c>
      <c r="J1237" s="260">
        <v>9490.3987351534797</v>
      </c>
      <c r="K1237" s="618">
        <f t="shared" si="92"/>
        <v>56942</v>
      </c>
      <c r="L1237" s="39" t="s">
        <v>179</v>
      </c>
      <c r="M1237" s="39" t="s">
        <v>169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909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989</v>
      </c>
      <c r="E1238" s="191">
        <v>40747</v>
      </c>
      <c r="F1238" s="192" t="s">
        <v>1029</v>
      </c>
      <c r="G1238" s="502" t="s">
        <v>1205</v>
      </c>
      <c r="H1238" s="193" t="s">
        <v>756</v>
      </c>
      <c r="I1238" s="260">
        <v>10</v>
      </c>
      <c r="J1238" s="260">
        <v>15053</v>
      </c>
      <c r="K1238" s="618">
        <v>150530</v>
      </c>
      <c r="L1238" s="194" t="s">
        <v>274</v>
      </c>
      <c r="M1238" s="194" t="s">
        <v>181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909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989</v>
      </c>
      <c r="E1239" s="191">
        <v>40747</v>
      </c>
      <c r="F1239" s="192" t="s">
        <v>1017</v>
      </c>
      <c r="G1239" s="502" t="s">
        <v>1205</v>
      </c>
      <c r="H1239" s="193" t="s">
        <v>756</v>
      </c>
      <c r="I1239" s="260">
        <v>160</v>
      </c>
      <c r="J1239" s="260">
        <v>20976</v>
      </c>
      <c r="K1239" s="618">
        <v>3356160</v>
      </c>
      <c r="L1239" s="194" t="s">
        <v>274</v>
      </c>
      <c r="M1239" s="194" t="s">
        <v>181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909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989</v>
      </c>
      <c r="E1240" s="191">
        <v>40747</v>
      </c>
      <c r="F1240" s="192" t="s">
        <v>779</v>
      </c>
      <c r="G1240" s="502" t="s">
        <v>1205</v>
      </c>
      <c r="H1240" s="193" t="s">
        <v>756</v>
      </c>
      <c r="I1240" s="260">
        <v>55</v>
      </c>
      <c r="J1240" s="260">
        <v>4422</v>
      </c>
      <c r="K1240" s="618">
        <v>243210</v>
      </c>
      <c r="L1240" s="194" t="s">
        <v>274</v>
      </c>
      <c r="M1240" s="194" t="s">
        <v>181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909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989</v>
      </c>
      <c r="E1241" s="191">
        <v>40747</v>
      </c>
      <c r="F1241" s="192" t="s">
        <v>772</v>
      </c>
      <c r="G1241" s="502" t="s">
        <v>1205</v>
      </c>
      <c r="H1241" s="193" t="s">
        <v>756</v>
      </c>
      <c r="I1241" s="260">
        <v>8</v>
      </c>
      <c r="J1241" s="260">
        <v>12564</v>
      </c>
      <c r="K1241" s="618">
        <v>100512</v>
      </c>
      <c r="L1241" s="194" t="s">
        <v>274</v>
      </c>
      <c r="M1241" s="194" t="s">
        <v>181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909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989</v>
      </c>
      <c r="E1242" s="191">
        <v>40747</v>
      </c>
      <c r="F1242" s="192" t="s">
        <v>780</v>
      </c>
      <c r="G1242" s="502" t="s">
        <v>1205</v>
      </c>
      <c r="H1242" s="193" t="s">
        <v>756</v>
      </c>
      <c r="I1242" s="260">
        <v>1</v>
      </c>
      <c r="J1242" s="260">
        <v>5210</v>
      </c>
      <c r="K1242" s="618">
        <v>5210</v>
      </c>
      <c r="L1242" s="194" t="s">
        <v>274</v>
      </c>
      <c r="M1242" s="194" t="s">
        <v>181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909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989</v>
      </c>
      <c r="E1243" s="191">
        <v>40747</v>
      </c>
      <c r="F1243" s="189" t="s">
        <v>948</v>
      </c>
      <c r="G1243" s="502" t="s">
        <v>1205</v>
      </c>
      <c r="H1243" s="193" t="s">
        <v>756</v>
      </c>
      <c r="I1243" s="260">
        <v>1</v>
      </c>
      <c r="J1243" s="260">
        <v>7094</v>
      </c>
      <c r="K1243" s="618">
        <v>7094</v>
      </c>
      <c r="L1243" s="194" t="s">
        <v>274</v>
      </c>
      <c r="M1243" s="194" t="s">
        <v>181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909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989</v>
      </c>
      <c r="E1244" s="191">
        <v>40747</v>
      </c>
      <c r="F1244" s="192" t="s">
        <v>768</v>
      </c>
      <c r="G1244" s="502" t="s">
        <v>1205</v>
      </c>
      <c r="H1244" s="193" t="s">
        <v>756</v>
      </c>
      <c r="I1244" s="260">
        <v>2</v>
      </c>
      <c r="J1244" s="260">
        <v>9263</v>
      </c>
      <c r="K1244" s="618">
        <v>18526</v>
      </c>
      <c r="L1244" s="194" t="s">
        <v>274</v>
      </c>
      <c r="M1244" s="194" t="s">
        <v>181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909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989</v>
      </c>
      <c r="E1245" s="191">
        <v>40747</v>
      </c>
      <c r="F1245" s="192" t="s">
        <v>770</v>
      </c>
      <c r="G1245" s="502" t="s">
        <v>1205</v>
      </c>
      <c r="H1245" s="193" t="s">
        <v>756</v>
      </c>
      <c r="I1245" s="260">
        <v>2</v>
      </c>
      <c r="J1245" s="260">
        <v>11321</v>
      </c>
      <c r="K1245" s="618">
        <v>22642</v>
      </c>
      <c r="L1245" s="194" t="s">
        <v>274</v>
      </c>
      <c r="M1245" s="194" t="s">
        <v>181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909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989</v>
      </c>
      <c r="E1246" s="191">
        <v>40747</v>
      </c>
      <c r="F1246" s="192" t="s">
        <v>1200</v>
      </c>
      <c r="G1246" s="502" t="s">
        <v>1205</v>
      </c>
      <c r="H1246" s="193" t="s">
        <v>756</v>
      </c>
      <c r="I1246" s="260"/>
      <c r="J1246" s="260"/>
      <c r="K1246" s="618">
        <v>390388</v>
      </c>
      <c r="L1246" s="194" t="s">
        <v>274</v>
      </c>
      <c r="M1246" s="194" t="s">
        <v>754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909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1124</v>
      </c>
      <c r="E1247" s="802">
        <v>40747</v>
      </c>
      <c r="F1247" s="40" t="s">
        <v>623</v>
      </c>
      <c r="G1247" s="40"/>
      <c r="H1247" s="632" t="s">
        <v>1116</v>
      </c>
      <c r="I1247" s="260">
        <v>55</v>
      </c>
      <c r="J1247" s="260">
        <v>24276</v>
      </c>
      <c r="K1247" s="618">
        <f t="shared" ref="K1247:K1265" si="95">ROUND(I1247*J1247,0)</f>
        <v>1335180</v>
      </c>
      <c r="L1247" s="39" t="s">
        <v>167</v>
      </c>
      <c r="M1247" s="39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909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1124</v>
      </c>
      <c r="E1248" s="802">
        <v>40747</v>
      </c>
      <c r="F1248" s="40" t="s">
        <v>651</v>
      </c>
      <c r="G1248" s="40"/>
      <c r="H1248" s="632" t="s">
        <v>1116</v>
      </c>
      <c r="I1248" s="851">
        <v>48.5</v>
      </c>
      <c r="J1248" s="260">
        <v>32985</v>
      </c>
      <c r="K1248" s="618">
        <f t="shared" si="95"/>
        <v>1599773</v>
      </c>
      <c r="L1248" s="39" t="s">
        <v>167</v>
      </c>
      <c r="M1248" s="39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909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1124</v>
      </c>
      <c r="E1249" s="802">
        <v>40747</v>
      </c>
      <c r="F1249" s="40" t="s">
        <v>613</v>
      </c>
      <c r="G1249" s="40"/>
      <c r="H1249" s="632" t="s">
        <v>1116</v>
      </c>
      <c r="I1249" s="260">
        <v>27.5</v>
      </c>
      <c r="J1249" s="260">
        <v>35812</v>
      </c>
      <c r="K1249" s="618">
        <f t="shared" si="95"/>
        <v>984830</v>
      </c>
      <c r="L1249" s="39" t="s">
        <v>167</v>
      </c>
      <c r="M1249" s="39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909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1142</v>
      </c>
      <c r="E1250" s="37">
        <v>40747</v>
      </c>
      <c r="F1250" s="40" t="s">
        <v>1029</v>
      </c>
      <c r="G1250" s="40"/>
      <c r="H1250" s="632" t="s">
        <v>1116</v>
      </c>
      <c r="I1250" s="260">
        <v>10</v>
      </c>
      <c r="J1250" s="260">
        <v>13625.39873515348</v>
      </c>
      <c r="K1250" s="618">
        <f t="shared" si="95"/>
        <v>136254</v>
      </c>
      <c r="L1250" s="39" t="s">
        <v>169</v>
      </c>
      <c r="M1250" s="39" t="s">
        <v>167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909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1142</v>
      </c>
      <c r="E1251" s="37">
        <v>40747</v>
      </c>
      <c r="F1251" s="40" t="s">
        <v>1017</v>
      </c>
      <c r="G1251" s="40"/>
      <c r="H1251" s="632" t="s">
        <v>1116</v>
      </c>
      <c r="I1251" s="260">
        <v>160</v>
      </c>
      <c r="J1251" s="260">
        <v>18925.398735153474</v>
      </c>
      <c r="K1251" s="618">
        <f t="shared" si="95"/>
        <v>3028064</v>
      </c>
      <c r="L1251" s="39" t="s">
        <v>169</v>
      </c>
      <c r="M1251" s="39" t="s">
        <v>167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909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1142</v>
      </c>
      <c r="E1252" s="37">
        <v>40747</v>
      </c>
      <c r="F1252" s="192" t="s">
        <v>779</v>
      </c>
      <c r="G1252" s="40"/>
      <c r="H1252" s="632" t="s">
        <v>1116</v>
      </c>
      <c r="I1252" s="260">
        <v>55</v>
      </c>
      <c r="J1252" s="260">
        <v>4487.3441896989325</v>
      </c>
      <c r="K1252" s="618">
        <f t="shared" si="95"/>
        <v>246804</v>
      </c>
      <c r="L1252" s="39" t="s">
        <v>169</v>
      </c>
      <c r="M1252" s="39" t="s">
        <v>167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909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1142</v>
      </c>
      <c r="E1253" s="37">
        <v>40747</v>
      </c>
      <c r="F1253" s="40" t="s">
        <v>772</v>
      </c>
      <c r="G1253" s="40"/>
      <c r="H1253" s="632" t="s">
        <v>1116</v>
      </c>
      <c r="I1253" s="260">
        <v>8</v>
      </c>
      <c r="J1253" s="260">
        <v>10373.648735153478</v>
      </c>
      <c r="K1253" s="618">
        <f t="shared" si="95"/>
        <v>82989</v>
      </c>
      <c r="L1253" s="39" t="s">
        <v>169</v>
      </c>
      <c r="M1253" s="39" t="s">
        <v>167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909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1142</v>
      </c>
      <c r="E1254" s="37">
        <v>40747</v>
      </c>
      <c r="F1254" s="40" t="s">
        <v>780</v>
      </c>
      <c r="G1254" s="40"/>
      <c r="H1254" s="632" t="s">
        <v>1116</v>
      </c>
      <c r="I1254" s="260">
        <v>1</v>
      </c>
      <c r="J1254" s="260">
        <v>4447.3987351534788</v>
      </c>
      <c r="K1254" s="618">
        <f t="shared" si="95"/>
        <v>4447</v>
      </c>
      <c r="L1254" s="39" t="s">
        <v>169</v>
      </c>
      <c r="M1254" s="39" t="s">
        <v>167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909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1142</v>
      </c>
      <c r="E1255" s="37">
        <v>40747</v>
      </c>
      <c r="F1255" s="189" t="s">
        <v>948</v>
      </c>
      <c r="G1255" s="40"/>
      <c r="H1255" s="632" t="s">
        <v>1116</v>
      </c>
      <c r="I1255" s="260">
        <v>1</v>
      </c>
      <c r="J1255" s="260">
        <v>6671.3987351534788</v>
      </c>
      <c r="K1255" s="618">
        <f t="shared" si="95"/>
        <v>6671</v>
      </c>
      <c r="L1255" s="39" t="s">
        <v>169</v>
      </c>
      <c r="M1255" s="39" t="s">
        <v>167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909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1142</v>
      </c>
      <c r="E1256" s="37">
        <v>40747</v>
      </c>
      <c r="F1256" s="40" t="s">
        <v>768</v>
      </c>
      <c r="G1256" s="40"/>
      <c r="H1256" s="632" t="s">
        <v>1116</v>
      </c>
      <c r="I1256" s="260">
        <v>2</v>
      </c>
      <c r="J1256" s="260">
        <v>8248.3987351534779</v>
      </c>
      <c r="K1256" s="618">
        <f t="shared" si="95"/>
        <v>16497</v>
      </c>
      <c r="L1256" s="39" t="s">
        <v>169</v>
      </c>
      <c r="M1256" s="39" t="s">
        <v>167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909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1142</v>
      </c>
      <c r="E1257" s="37">
        <v>40747</v>
      </c>
      <c r="F1257" s="40" t="s">
        <v>770</v>
      </c>
      <c r="G1257" s="40"/>
      <c r="H1257" s="632" t="s">
        <v>1116</v>
      </c>
      <c r="I1257" s="260">
        <v>2</v>
      </c>
      <c r="J1257" s="260">
        <v>10373.898735153478</v>
      </c>
      <c r="K1257" s="618">
        <f t="shared" si="95"/>
        <v>20748</v>
      </c>
      <c r="L1257" s="39" t="s">
        <v>169</v>
      </c>
      <c r="M1257" s="39" t="s">
        <v>167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909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989</v>
      </c>
      <c r="E1258" s="37">
        <v>40747</v>
      </c>
      <c r="F1258" s="40" t="s">
        <v>1029</v>
      </c>
      <c r="G1258" s="40" t="s">
        <v>1205</v>
      </c>
      <c r="H1258" s="632" t="s">
        <v>756</v>
      </c>
      <c r="I1258" s="260">
        <v>10</v>
      </c>
      <c r="J1258" s="260">
        <v>13625.39873515348</v>
      </c>
      <c r="K1258" s="618">
        <f t="shared" si="95"/>
        <v>136254</v>
      </c>
      <c r="L1258" s="39" t="s">
        <v>179</v>
      </c>
      <c r="M1258" s="39" t="s">
        <v>169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909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989</v>
      </c>
      <c r="E1259" s="37">
        <v>40747</v>
      </c>
      <c r="F1259" s="40" t="s">
        <v>1017</v>
      </c>
      <c r="G1259" s="40" t="s">
        <v>1205</v>
      </c>
      <c r="H1259" s="632" t="s">
        <v>756</v>
      </c>
      <c r="I1259" s="260">
        <v>160</v>
      </c>
      <c r="J1259" s="260">
        <v>18925.398735153474</v>
      </c>
      <c r="K1259" s="618">
        <f t="shared" si="95"/>
        <v>3028064</v>
      </c>
      <c r="L1259" s="39" t="s">
        <v>179</v>
      </c>
      <c r="M1259" s="39" t="s">
        <v>169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909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989</v>
      </c>
      <c r="E1260" s="37">
        <v>40747</v>
      </c>
      <c r="F1260" s="192" t="s">
        <v>779</v>
      </c>
      <c r="G1260" s="40" t="s">
        <v>1205</v>
      </c>
      <c r="H1260" s="632" t="s">
        <v>756</v>
      </c>
      <c r="I1260" s="260">
        <v>55</v>
      </c>
      <c r="J1260" s="260">
        <v>4487.3441896989325</v>
      </c>
      <c r="K1260" s="618">
        <f t="shared" si="95"/>
        <v>246804</v>
      </c>
      <c r="L1260" s="39" t="s">
        <v>179</v>
      </c>
      <c r="M1260" s="39" t="s">
        <v>169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909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989</v>
      </c>
      <c r="E1261" s="37">
        <v>40747</v>
      </c>
      <c r="F1261" s="40" t="s">
        <v>772</v>
      </c>
      <c r="G1261" s="40" t="s">
        <v>1205</v>
      </c>
      <c r="H1261" s="632" t="s">
        <v>756</v>
      </c>
      <c r="I1261" s="260">
        <v>8</v>
      </c>
      <c r="J1261" s="260">
        <v>10373.648735153478</v>
      </c>
      <c r="K1261" s="618">
        <f t="shared" si="95"/>
        <v>82989</v>
      </c>
      <c r="L1261" s="39" t="s">
        <v>179</v>
      </c>
      <c r="M1261" s="39" t="s">
        <v>169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909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989</v>
      </c>
      <c r="E1262" s="37">
        <v>40747</v>
      </c>
      <c r="F1262" s="40" t="s">
        <v>780</v>
      </c>
      <c r="G1262" s="40" t="s">
        <v>1205</v>
      </c>
      <c r="H1262" s="632" t="s">
        <v>756</v>
      </c>
      <c r="I1262" s="260">
        <v>1</v>
      </c>
      <c r="J1262" s="260">
        <v>4447.3987351534788</v>
      </c>
      <c r="K1262" s="618">
        <f t="shared" si="95"/>
        <v>4447</v>
      </c>
      <c r="L1262" s="39" t="s">
        <v>179</v>
      </c>
      <c r="M1262" s="39" t="s">
        <v>169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909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989</v>
      </c>
      <c r="E1263" s="37">
        <v>40747</v>
      </c>
      <c r="F1263" s="189" t="s">
        <v>948</v>
      </c>
      <c r="G1263" s="40" t="s">
        <v>1205</v>
      </c>
      <c r="H1263" s="632" t="s">
        <v>756</v>
      </c>
      <c r="I1263" s="260">
        <v>1</v>
      </c>
      <c r="J1263" s="260">
        <v>6671.3987351534788</v>
      </c>
      <c r="K1263" s="618">
        <f t="shared" si="95"/>
        <v>6671</v>
      </c>
      <c r="L1263" s="39" t="s">
        <v>179</v>
      </c>
      <c r="M1263" s="39" t="s">
        <v>169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909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989</v>
      </c>
      <c r="E1264" s="37">
        <v>40747</v>
      </c>
      <c r="F1264" s="40" t="s">
        <v>768</v>
      </c>
      <c r="G1264" s="40" t="s">
        <v>1205</v>
      </c>
      <c r="H1264" s="632" t="s">
        <v>756</v>
      </c>
      <c r="I1264" s="260">
        <v>2</v>
      </c>
      <c r="J1264" s="260">
        <v>8248.3987351534779</v>
      </c>
      <c r="K1264" s="618">
        <f t="shared" si="95"/>
        <v>16497</v>
      </c>
      <c r="L1264" s="39" t="s">
        <v>179</v>
      </c>
      <c r="M1264" s="39" t="s">
        <v>169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909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989</v>
      </c>
      <c r="E1265" s="37">
        <v>40747</v>
      </c>
      <c r="F1265" s="40" t="s">
        <v>770</v>
      </c>
      <c r="G1265" s="40" t="s">
        <v>1205</v>
      </c>
      <c r="H1265" s="632" t="s">
        <v>756</v>
      </c>
      <c r="I1265" s="260">
        <v>2</v>
      </c>
      <c r="J1265" s="260">
        <v>10373.898735153478</v>
      </c>
      <c r="K1265" s="618">
        <f t="shared" si="95"/>
        <v>20748</v>
      </c>
      <c r="L1265" s="39" t="s">
        <v>179</v>
      </c>
      <c r="M1265" s="39" t="s">
        <v>169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909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990</v>
      </c>
      <c r="E1266" s="191">
        <v>40748</v>
      </c>
      <c r="F1266" s="192" t="s">
        <v>781</v>
      </c>
      <c r="G1266" s="502" t="s">
        <v>1206</v>
      </c>
      <c r="H1266" s="193" t="s">
        <v>756</v>
      </c>
      <c r="I1266" s="260">
        <v>11</v>
      </c>
      <c r="J1266" s="260">
        <v>7348</v>
      </c>
      <c r="K1266" s="618">
        <v>80828</v>
      </c>
      <c r="L1266" s="194" t="s">
        <v>274</v>
      </c>
      <c r="M1266" s="194" t="s">
        <v>181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909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990</v>
      </c>
      <c r="E1267" s="191">
        <v>40748</v>
      </c>
      <c r="F1267" s="192" t="s">
        <v>782</v>
      </c>
      <c r="G1267" s="502" t="s">
        <v>1206</v>
      </c>
      <c r="H1267" s="193" t="s">
        <v>756</v>
      </c>
      <c r="I1267" s="260">
        <v>1</v>
      </c>
      <c r="J1267" s="260">
        <v>15136</v>
      </c>
      <c r="K1267" s="618">
        <v>15136</v>
      </c>
      <c r="L1267" s="194" t="s">
        <v>274</v>
      </c>
      <c r="M1267" s="194" t="s">
        <v>181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909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990</v>
      </c>
      <c r="E1268" s="191">
        <v>40748</v>
      </c>
      <c r="F1268" s="192" t="s">
        <v>1035</v>
      </c>
      <c r="G1268" s="502" t="s">
        <v>1206</v>
      </c>
      <c r="H1268" s="193" t="s">
        <v>756</v>
      </c>
      <c r="I1268" s="260">
        <v>5</v>
      </c>
      <c r="J1268" s="260">
        <v>17837</v>
      </c>
      <c r="K1268" s="618">
        <v>89185</v>
      </c>
      <c r="L1268" s="194" t="s">
        <v>274</v>
      </c>
      <c r="M1268" s="194" t="s">
        <v>181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909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990</v>
      </c>
      <c r="E1269" s="191">
        <v>40748</v>
      </c>
      <c r="F1269" s="192" t="s">
        <v>1321</v>
      </c>
      <c r="G1269" s="502" t="s">
        <v>1206</v>
      </c>
      <c r="H1269" s="193" t="s">
        <v>756</v>
      </c>
      <c r="I1269" s="260">
        <v>1</v>
      </c>
      <c r="J1269" s="260">
        <v>10026</v>
      </c>
      <c r="K1269" s="618">
        <v>10026</v>
      </c>
      <c r="L1269" s="194" t="s">
        <v>274</v>
      </c>
      <c r="M1269" s="194" t="s">
        <v>181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909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990</v>
      </c>
      <c r="E1270" s="898">
        <v>40748</v>
      </c>
      <c r="F1270" s="192" t="s">
        <v>1028</v>
      </c>
      <c r="G1270" s="502" t="s">
        <v>1206</v>
      </c>
      <c r="H1270" s="193" t="s">
        <v>756</v>
      </c>
      <c r="I1270" s="260">
        <v>1</v>
      </c>
      <c r="J1270" s="260">
        <v>10723</v>
      </c>
      <c r="K1270" s="618">
        <v>10723</v>
      </c>
      <c r="L1270" s="194" t="s">
        <v>274</v>
      </c>
      <c r="M1270" s="194" t="s">
        <v>181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909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990</v>
      </c>
      <c r="E1271" s="898">
        <v>40748</v>
      </c>
      <c r="F1271" s="192" t="s">
        <v>1200</v>
      </c>
      <c r="G1271" s="502" t="s">
        <v>1206</v>
      </c>
      <c r="H1271" s="193" t="s">
        <v>756</v>
      </c>
      <c r="I1271" s="260"/>
      <c r="J1271" s="260"/>
      <c r="K1271" s="618">
        <v>20590</v>
      </c>
      <c r="L1271" s="194" t="s">
        <v>274</v>
      </c>
      <c r="M1271" s="194" t="s">
        <v>754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909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1125</v>
      </c>
      <c r="E1272" s="800">
        <v>40748</v>
      </c>
      <c r="F1272" s="189" t="s">
        <v>601</v>
      </c>
      <c r="G1272" s="40"/>
      <c r="H1272" s="632" t="s">
        <v>1116</v>
      </c>
      <c r="I1272" s="260">
        <v>249.5</v>
      </c>
      <c r="J1272" s="260">
        <v>10344</v>
      </c>
      <c r="K1272" s="618">
        <f t="shared" ref="K1272:K1282" si="97">ROUND(I1272*J1272,0)</f>
        <v>2580828</v>
      </c>
      <c r="L1272" s="39" t="s">
        <v>167</v>
      </c>
      <c r="M1272" s="39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909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1143</v>
      </c>
      <c r="E1273" s="897">
        <v>40748</v>
      </c>
      <c r="F1273" s="40" t="s">
        <v>781</v>
      </c>
      <c r="G1273" s="40"/>
      <c r="H1273" s="632" t="s">
        <v>1116</v>
      </c>
      <c r="I1273" s="260">
        <v>11</v>
      </c>
      <c r="J1273" s="260">
        <v>6671.398735153477</v>
      </c>
      <c r="K1273" s="618">
        <f t="shared" si="97"/>
        <v>73385</v>
      </c>
      <c r="L1273" s="39" t="s">
        <v>169</v>
      </c>
      <c r="M1273" s="39" t="s">
        <v>167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909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1143</v>
      </c>
      <c r="E1274" s="897">
        <v>40748</v>
      </c>
      <c r="F1274" s="40" t="s">
        <v>782</v>
      </c>
      <c r="G1274" s="40"/>
      <c r="H1274" s="632" t="s">
        <v>1116</v>
      </c>
      <c r="I1274" s="260">
        <v>1</v>
      </c>
      <c r="J1274" s="260">
        <v>14080.398735153478</v>
      </c>
      <c r="K1274" s="618">
        <f t="shared" si="97"/>
        <v>14080</v>
      </c>
      <c r="L1274" s="39" t="s">
        <v>169</v>
      </c>
      <c r="M1274" s="39" t="s">
        <v>167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909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1143</v>
      </c>
      <c r="E1275" s="897">
        <v>40748</v>
      </c>
      <c r="F1275" s="40" t="s">
        <v>1035</v>
      </c>
      <c r="G1275" s="40"/>
      <c r="H1275" s="632" t="s">
        <v>1116</v>
      </c>
      <c r="I1275" s="260">
        <v>5</v>
      </c>
      <c r="J1275" s="260">
        <v>16607.398735153474</v>
      </c>
      <c r="K1275" s="618">
        <f t="shared" si="97"/>
        <v>83037</v>
      </c>
      <c r="L1275" s="39" t="s">
        <v>169</v>
      </c>
      <c r="M1275" s="39" t="s">
        <v>167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909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1143</v>
      </c>
      <c r="E1276" s="897">
        <v>40748</v>
      </c>
      <c r="F1276" s="192" t="s">
        <v>1321</v>
      </c>
      <c r="G1276" s="40"/>
      <c r="H1276" s="632" t="s">
        <v>1116</v>
      </c>
      <c r="I1276" s="260">
        <v>1</v>
      </c>
      <c r="J1276" s="260">
        <v>9490.3987351534779</v>
      </c>
      <c r="K1276" s="618">
        <f t="shared" si="97"/>
        <v>9490</v>
      </c>
      <c r="L1276" s="39" t="s">
        <v>169</v>
      </c>
      <c r="M1276" s="39" t="s">
        <v>167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909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1143</v>
      </c>
      <c r="E1277" s="897">
        <v>40748</v>
      </c>
      <c r="F1277" s="40" t="s">
        <v>1028</v>
      </c>
      <c r="G1277" s="40"/>
      <c r="H1277" s="632" t="s">
        <v>1116</v>
      </c>
      <c r="I1277" s="260">
        <v>1</v>
      </c>
      <c r="J1277" s="260">
        <v>10374.398735153478</v>
      </c>
      <c r="K1277" s="618">
        <f t="shared" si="97"/>
        <v>10374</v>
      </c>
      <c r="L1277" s="39" t="s">
        <v>169</v>
      </c>
      <c r="M1277" s="39" t="s">
        <v>167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909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990</v>
      </c>
      <c r="E1278" s="37">
        <v>40748</v>
      </c>
      <c r="F1278" s="40" t="s">
        <v>781</v>
      </c>
      <c r="G1278" s="40" t="s">
        <v>1206</v>
      </c>
      <c r="H1278" s="632" t="s">
        <v>756</v>
      </c>
      <c r="I1278" s="260">
        <v>11</v>
      </c>
      <c r="J1278" s="260">
        <v>6671.398735153477</v>
      </c>
      <c r="K1278" s="618">
        <f t="shared" si="97"/>
        <v>73385</v>
      </c>
      <c r="L1278" s="39" t="s">
        <v>179</v>
      </c>
      <c r="M1278" s="39" t="s">
        <v>169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909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990</v>
      </c>
      <c r="E1279" s="37">
        <v>40748</v>
      </c>
      <c r="F1279" s="40" t="s">
        <v>782</v>
      </c>
      <c r="G1279" s="40" t="s">
        <v>1206</v>
      </c>
      <c r="H1279" s="632" t="s">
        <v>756</v>
      </c>
      <c r="I1279" s="260">
        <v>1</v>
      </c>
      <c r="J1279" s="260">
        <v>14080.398735153478</v>
      </c>
      <c r="K1279" s="618">
        <f t="shared" si="97"/>
        <v>14080</v>
      </c>
      <c r="L1279" s="39" t="s">
        <v>179</v>
      </c>
      <c r="M1279" s="39" t="s">
        <v>169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909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990</v>
      </c>
      <c r="E1280" s="37">
        <v>40748</v>
      </c>
      <c r="F1280" s="40" t="s">
        <v>1035</v>
      </c>
      <c r="G1280" s="40" t="s">
        <v>1206</v>
      </c>
      <c r="H1280" s="632" t="s">
        <v>756</v>
      </c>
      <c r="I1280" s="260">
        <v>5</v>
      </c>
      <c r="J1280" s="260">
        <v>16607.398735153474</v>
      </c>
      <c r="K1280" s="618">
        <f t="shared" si="97"/>
        <v>83037</v>
      </c>
      <c r="L1280" s="39" t="s">
        <v>179</v>
      </c>
      <c r="M1280" s="39" t="s">
        <v>169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909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990</v>
      </c>
      <c r="E1281" s="37">
        <v>40748</v>
      </c>
      <c r="F1281" s="192" t="s">
        <v>1321</v>
      </c>
      <c r="G1281" s="40" t="s">
        <v>1206</v>
      </c>
      <c r="H1281" s="632" t="s">
        <v>756</v>
      </c>
      <c r="I1281" s="260">
        <v>1</v>
      </c>
      <c r="J1281" s="260">
        <v>9490.3987351534779</v>
      </c>
      <c r="K1281" s="618">
        <f t="shared" si="97"/>
        <v>9490</v>
      </c>
      <c r="L1281" s="39" t="s">
        <v>179</v>
      </c>
      <c r="M1281" s="39" t="s">
        <v>169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909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990</v>
      </c>
      <c r="E1282" s="37">
        <v>40748</v>
      </c>
      <c r="F1282" s="40" t="s">
        <v>1028</v>
      </c>
      <c r="G1282" s="40" t="s">
        <v>1206</v>
      </c>
      <c r="H1282" s="632" t="s">
        <v>756</v>
      </c>
      <c r="I1282" s="260">
        <v>1</v>
      </c>
      <c r="J1282" s="260">
        <v>10374.398735153478</v>
      </c>
      <c r="K1282" s="618">
        <f t="shared" si="97"/>
        <v>10374</v>
      </c>
      <c r="L1282" s="39" t="s">
        <v>179</v>
      </c>
      <c r="M1282" s="39" t="s">
        <v>169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909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356</v>
      </c>
      <c r="E1283" s="184">
        <v>40749</v>
      </c>
      <c r="F1283" s="189" t="s">
        <v>387</v>
      </c>
      <c r="G1283" s="620" t="s">
        <v>353</v>
      </c>
      <c r="H1283" s="193"/>
      <c r="I1283" s="260"/>
      <c r="J1283" s="260"/>
      <c r="K1283" s="618">
        <v>32191</v>
      </c>
      <c r="L1283" s="619" t="s">
        <v>24</v>
      </c>
      <c r="M1283" s="619" t="s">
        <v>40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909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991</v>
      </c>
      <c r="E1284" s="191">
        <v>40749</v>
      </c>
      <c r="F1284" s="192" t="s">
        <v>1036</v>
      </c>
      <c r="G1284" s="502" t="s">
        <v>1207</v>
      </c>
      <c r="H1284" s="193" t="s">
        <v>757</v>
      </c>
      <c r="I1284" s="260">
        <v>108</v>
      </c>
      <c r="J1284" s="260">
        <v>17100</v>
      </c>
      <c r="K1284" s="618">
        <v>1846800</v>
      </c>
      <c r="L1284" s="194" t="s">
        <v>274</v>
      </c>
      <c r="M1284" s="194" t="s">
        <v>181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909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991</v>
      </c>
      <c r="E1285" s="191">
        <v>40749</v>
      </c>
      <c r="F1285" s="192" t="s">
        <v>1037</v>
      </c>
      <c r="G1285" s="502" t="s">
        <v>1207</v>
      </c>
      <c r="H1285" s="193" t="s">
        <v>757</v>
      </c>
      <c r="I1285" s="260">
        <v>97</v>
      </c>
      <c r="J1285" s="260">
        <v>19690</v>
      </c>
      <c r="K1285" s="618">
        <v>1909930</v>
      </c>
      <c r="L1285" s="194" t="s">
        <v>274</v>
      </c>
      <c r="M1285" s="194" t="s">
        <v>181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909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991</v>
      </c>
      <c r="E1286" s="191">
        <v>40749</v>
      </c>
      <c r="F1286" s="192" t="s">
        <v>1038</v>
      </c>
      <c r="G1286" s="502" t="s">
        <v>1207</v>
      </c>
      <c r="H1286" s="193" t="s">
        <v>757</v>
      </c>
      <c r="I1286" s="260">
        <v>55</v>
      </c>
      <c r="J1286" s="260">
        <v>23100</v>
      </c>
      <c r="K1286" s="618">
        <v>1270500</v>
      </c>
      <c r="L1286" s="194" t="s">
        <v>274</v>
      </c>
      <c r="M1286" s="194" t="s">
        <v>181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909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991</v>
      </c>
      <c r="E1287" s="191">
        <v>40749</v>
      </c>
      <c r="F1287" s="192" t="s">
        <v>1200</v>
      </c>
      <c r="G1287" s="502" t="s">
        <v>1207</v>
      </c>
      <c r="H1287" s="193" t="s">
        <v>757</v>
      </c>
      <c r="I1287" s="260"/>
      <c r="J1287" s="260"/>
      <c r="K1287" s="618">
        <v>502723</v>
      </c>
      <c r="L1287" s="194" t="s">
        <v>274</v>
      </c>
      <c r="M1287" s="194" t="s">
        <v>754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909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1144</v>
      </c>
      <c r="E1288" s="37">
        <v>40749</v>
      </c>
      <c r="F1288" s="40" t="s">
        <v>1036</v>
      </c>
      <c r="G1288" s="40"/>
      <c r="H1288" s="632" t="s">
        <v>1116</v>
      </c>
      <c r="I1288" s="260">
        <v>108</v>
      </c>
      <c r="J1288" s="260">
        <v>14585.176512931257</v>
      </c>
      <c r="K1288" s="618">
        <f t="shared" ref="K1288:K1293" si="99">ROUND(I1288*J1288,0)</f>
        <v>1575199</v>
      </c>
      <c r="L1288" s="39" t="s">
        <v>169</v>
      </c>
      <c r="M1288" s="39" t="s">
        <v>167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909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1144</v>
      </c>
      <c r="E1289" s="37">
        <v>40749</v>
      </c>
      <c r="F1289" s="40" t="s">
        <v>1037</v>
      </c>
      <c r="G1289" s="40"/>
      <c r="H1289" s="632" t="s">
        <v>1116</v>
      </c>
      <c r="I1289" s="260">
        <v>97</v>
      </c>
      <c r="J1289" s="260">
        <v>18714.903889792655</v>
      </c>
      <c r="K1289" s="618">
        <f t="shared" si="99"/>
        <v>1815346</v>
      </c>
      <c r="L1289" s="39" t="s">
        <v>169</v>
      </c>
      <c r="M1289" s="39" t="s">
        <v>167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909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1144</v>
      </c>
      <c r="E1290" s="37">
        <v>40749</v>
      </c>
      <c r="F1290" s="40" t="s">
        <v>1038</v>
      </c>
      <c r="G1290" s="40"/>
      <c r="H1290" s="632" t="s">
        <v>1116</v>
      </c>
      <c r="I1290" s="260">
        <v>55</v>
      </c>
      <c r="J1290" s="260">
        <v>20128.398735153482</v>
      </c>
      <c r="K1290" s="618">
        <f t="shared" si="99"/>
        <v>1107062</v>
      </c>
      <c r="L1290" s="39" t="s">
        <v>169</v>
      </c>
      <c r="M1290" s="39" t="s">
        <v>167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909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991</v>
      </c>
      <c r="E1291" s="37">
        <v>40749</v>
      </c>
      <c r="F1291" s="40" t="s">
        <v>1036</v>
      </c>
      <c r="G1291" s="40" t="s">
        <v>1207</v>
      </c>
      <c r="H1291" s="632" t="s">
        <v>757</v>
      </c>
      <c r="I1291" s="260">
        <v>108</v>
      </c>
      <c r="J1291" s="260">
        <v>14585.176512931257</v>
      </c>
      <c r="K1291" s="618">
        <f t="shared" si="99"/>
        <v>1575199</v>
      </c>
      <c r="L1291" s="39" t="s">
        <v>179</v>
      </c>
      <c r="M1291" s="39" t="s">
        <v>169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909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991</v>
      </c>
      <c r="E1292" s="37">
        <v>40749</v>
      </c>
      <c r="F1292" s="40" t="s">
        <v>1037</v>
      </c>
      <c r="G1292" s="40" t="s">
        <v>1207</v>
      </c>
      <c r="H1292" s="632" t="s">
        <v>757</v>
      </c>
      <c r="I1292" s="260">
        <v>97</v>
      </c>
      <c r="J1292" s="260">
        <v>18714.903889792655</v>
      </c>
      <c r="K1292" s="618">
        <f t="shared" si="99"/>
        <v>1815346</v>
      </c>
      <c r="L1292" s="39" t="s">
        <v>179</v>
      </c>
      <c r="M1292" s="39" t="s">
        <v>169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909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991</v>
      </c>
      <c r="E1293" s="37">
        <v>40749</v>
      </c>
      <c r="F1293" s="40" t="s">
        <v>1038</v>
      </c>
      <c r="G1293" s="40" t="s">
        <v>1207</v>
      </c>
      <c r="H1293" s="632" t="s">
        <v>757</v>
      </c>
      <c r="I1293" s="260">
        <v>55</v>
      </c>
      <c r="J1293" s="260">
        <v>20128.398735153482</v>
      </c>
      <c r="K1293" s="618">
        <f t="shared" si="99"/>
        <v>1107062</v>
      </c>
      <c r="L1293" s="39" t="s">
        <v>179</v>
      </c>
      <c r="M1293" s="39" t="s">
        <v>169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909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992</v>
      </c>
      <c r="E1294" s="191">
        <v>40750</v>
      </c>
      <c r="F1294" s="192" t="s">
        <v>1039</v>
      </c>
      <c r="G1294" s="502" t="s">
        <v>1208</v>
      </c>
      <c r="H1294" s="193" t="s">
        <v>757</v>
      </c>
      <c r="I1294" s="260">
        <v>499</v>
      </c>
      <c r="J1294" s="260">
        <v>8100</v>
      </c>
      <c r="K1294" s="618">
        <v>4041900</v>
      </c>
      <c r="L1294" s="194" t="s">
        <v>274</v>
      </c>
      <c r="M1294" s="194" t="s">
        <v>181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909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992</v>
      </c>
      <c r="E1295" s="191">
        <v>40750</v>
      </c>
      <c r="F1295" s="192" t="s">
        <v>1200</v>
      </c>
      <c r="G1295" s="502" t="s">
        <v>1208</v>
      </c>
      <c r="H1295" s="193" t="s">
        <v>757</v>
      </c>
      <c r="I1295" s="262"/>
      <c r="J1295" s="262"/>
      <c r="K1295" s="618">
        <v>404190</v>
      </c>
      <c r="L1295" s="194" t="s">
        <v>274</v>
      </c>
      <c r="M1295" s="194" t="s">
        <v>754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909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1145</v>
      </c>
      <c r="E1296" s="37">
        <v>40750</v>
      </c>
      <c r="F1296" s="40" t="s">
        <v>1039</v>
      </c>
      <c r="G1296" s="40"/>
      <c r="H1296" s="632" t="s">
        <v>1116</v>
      </c>
      <c r="I1296" s="260">
        <v>499</v>
      </c>
      <c r="J1296" s="260">
        <v>7394.3987351534797</v>
      </c>
      <c r="K1296" s="618">
        <f>ROUND(I1296*J1296,0)</f>
        <v>3689805</v>
      </c>
      <c r="L1296" s="39" t="s">
        <v>169</v>
      </c>
      <c r="M1296" s="39" t="s">
        <v>167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909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992</v>
      </c>
      <c r="E1297" s="37">
        <v>40750</v>
      </c>
      <c r="F1297" s="40" t="s">
        <v>1039</v>
      </c>
      <c r="G1297" s="40" t="s">
        <v>1208</v>
      </c>
      <c r="H1297" s="632" t="s">
        <v>757</v>
      </c>
      <c r="I1297" s="260">
        <v>499</v>
      </c>
      <c r="J1297" s="260">
        <v>7394.3987351534797</v>
      </c>
      <c r="K1297" s="618">
        <f>ROUND(I1297*J1297,0)</f>
        <v>3689805</v>
      </c>
      <c r="L1297" s="39" t="s">
        <v>179</v>
      </c>
      <c r="M1297" s="39" t="s">
        <v>169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909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7">
        <v>40755</v>
      </c>
      <c r="D1298" s="727" t="s">
        <v>462</v>
      </c>
      <c r="E1298" s="847">
        <v>40755</v>
      </c>
      <c r="F1298" s="728" t="s">
        <v>1157</v>
      </c>
      <c r="G1298" s="729"/>
      <c r="H1298" s="632" t="s">
        <v>386</v>
      </c>
      <c r="I1298" s="498"/>
      <c r="J1298" s="498"/>
      <c r="K1298" s="730">
        <v>13340000</v>
      </c>
      <c r="L1298" s="731" t="s">
        <v>278</v>
      </c>
      <c r="M1298" s="731" t="s">
        <v>47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909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7" t="s">
        <v>463</v>
      </c>
      <c r="E1299" s="191">
        <v>40755</v>
      </c>
      <c r="F1299" s="192" t="s">
        <v>1168</v>
      </c>
      <c r="G1299" s="502" t="s">
        <v>1169</v>
      </c>
      <c r="H1299" s="193" t="s">
        <v>1170</v>
      </c>
      <c r="I1299" s="260"/>
      <c r="J1299" s="260"/>
      <c r="K1299" s="38">
        <v>455629</v>
      </c>
      <c r="L1299" s="194" t="s">
        <v>277</v>
      </c>
      <c r="M1299" s="194" t="s">
        <v>47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909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7" t="s">
        <v>463</v>
      </c>
      <c r="E1300" s="191">
        <v>40755</v>
      </c>
      <c r="F1300" s="192" t="s">
        <v>1171</v>
      </c>
      <c r="G1300" s="502" t="s">
        <v>1169</v>
      </c>
      <c r="H1300" s="193" t="s">
        <v>1170</v>
      </c>
      <c r="I1300" s="260"/>
      <c r="J1300" s="260"/>
      <c r="K1300" s="38">
        <v>44378</v>
      </c>
      <c r="L1300" s="194" t="s">
        <v>9</v>
      </c>
      <c r="M1300" s="194" t="s">
        <v>47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909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7">
        <v>40755</v>
      </c>
      <c r="D1301" s="727" t="s">
        <v>360</v>
      </c>
      <c r="E1301" s="847">
        <v>40755</v>
      </c>
      <c r="F1301" s="728" t="s">
        <v>971</v>
      </c>
      <c r="G1301" s="729"/>
      <c r="H1301" s="632"/>
      <c r="I1301" s="498"/>
      <c r="J1301" s="498"/>
      <c r="K1301" s="730">
        <v>7070000</v>
      </c>
      <c r="L1301" s="731" t="s">
        <v>83</v>
      </c>
      <c r="M1301" s="731" t="s">
        <v>278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909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7">
        <v>40755</v>
      </c>
      <c r="D1302" s="727" t="s">
        <v>360</v>
      </c>
      <c r="E1302" s="847">
        <v>40755</v>
      </c>
      <c r="F1302" s="728" t="s">
        <v>809</v>
      </c>
      <c r="G1302" s="729"/>
      <c r="H1302" s="632"/>
      <c r="I1302" s="498"/>
      <c r="J1302" s="498"/>
      <c r="K1302" s="618">
        <v>6270000</v>
      </c>
      <c r="L1302" s="731" t="s">
        <v>167</v>
      </c>
      <c r="M1302" s="731" t="s">
        <v>278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909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1126</v>
      </c>
      <c r="E1303" s="802">
        <v>40756</v>
      </c>
      <c r="F1303" s="40" t="s">
        <v>612</v>
      </c>
      <c r="G1303" s="40"/>
      <c r="H1303" s="632" t="s">
        <v>1116</v>
      </c>
      <c r="I1303" s="260">
        <v>330</v>
      </c>
      <c r="J1303" s="260">
        <v>22961</v>
      </c>
      <c r="K1303" s="618">
        <f>ROUND(I1303*J1303,0)</f>
        <v>7577130</v>
      </c>
      <c r="L1303" s="39" t="s">
        <v>167</v>
      </c>
      <c r="M1303" s="39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909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7" t="s">
        <v>464</v>
      </c>
      <c r="E1304" s="824">
        <v>40758</v>
      </c>
      <c r="F1304" s="192" t="s">
        <v>1168</v>
      </c>
      <c r="G1304" s="502" t="s">
        <v>1172</v>
      </c>
      <c r="H1304" s="193" t="s">
        <v>1170</v>
      </c>
      <c r="I1304" s="260"/>
      <c r="J1304" s="260"/>
      <c r="K1304" s="38">
        <v>384545</v>
      </c>
      <c r="L1304" s="194" t="s">
        <v>277</v>
      </c>
      <c r="M1304" s="194" t="s">
        <v>47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909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7" t="s">
        <v>464</v>
      </c>
      <c r="E1305" s="824">
        <v>40758</v>
      </c>
      <c r="F1305" s="192" t="s">
        <v>1171</v>
      </c>
      <c r="G1305" s="502" t="s">
        <v>1172</v>
      </c>
      <c r="H1305" s="193" t="s">
        <v>1170</v>
      </c>
      <c r="I1305" s="260"/>
      <c r="J1305" s="260"/>
      <c r="K1305" s="38">
        <v>37455</v>
      </c>
      <c r="L1305" s="194" t="s">
        <v>9</v>
      </c>
      <c r="M1305" s="194" t="s">
        <v>47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909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7" t="s">
        <v>465</v>
      </c>
      <c r="E1306" s="191">
        <v>40758</v>
      </c>
      <c r="F1306" s="302" t="s">
        <v>395</v>
      </c>
      <c r="G1306" s="502" t="s">
        <v>1173</v>
      </c>
      <c r="H1306" s="7" t="s">
        <v>394</v>
      </c>
      <c r="I1306" s="260">
        <v>40</v>
      </c>
      <c r="J1306" s="260">
        <v>40000</v>
      </c>
      <c r="K1306" s="618">
        <v>1600000</v>
      </c>
      <c r="L1306" s="194" t="s">
        <v>167</v>
      </c>
      <c r="M1306" s="194" t="s">
        <v>47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909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7" t="s">
        <v>465</v>
      </c>
      <c r="E1307" s="191">
        <v>40758</v>
      </c>
      <c r="F1307" s="302" t="s">
        <v>1174</v>
      </c>
      <c r="G1307" s="502" t="s">
        <v>1173</v>
      </c>
      <c r="H1307" s="7" t="s">
        <v>394</v>
      </c>
      <c r="I1307" s="260"/>
      <c r="J1307" s="260"/>
      <c r="K1307" s="38">
        <v>160000</v>
      </c>
      <c r="L1307" s="194" t="s">
        <v>9</v>
      </c>
      <c r="M1307" s="194" t="s">
        <v>47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909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356</v>
      </c>
      <c r="E1308" s="184">
        <v>40760</v>
      </c>
      <c r="F1308" s="189" t="s">
        <v>358</v>
      </c>
      <c r="G1308" s="620" t="s">
        <v>353</v>
      </c>
      <c r="H1308" s="193" t="s">
        <v>756</v>
      </c>
      <c r="I1308" s="260"/>
      <c r="J1308" s="260"/>
      <c r="K1308" s="618">
        <v>72527558</v>
      </c>
      <c r="L1308" s="619" t="s">
        <v>24</v>
      </c>
      <c r="M1308" s="619" t="s">
        <v>274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909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1127</v>
      </c>
      <c r="E1309" s="802">
        <v>40760</v>
      </c>
      <c r="F1309" s="189" t="s">
        <v>567</v>
      </c>
      <c r="G1309" s="40"/>
      <c r="H1309" s="632" t="s">
        <v>1116</v>
      </c>
      <c r="I1309" s="260">
        <v>200</v>
      </c>
      <c r="J1309" s="260">
        <v>26854</v>
      </c>
      <c r="K1309" s="618">
        <f t="shared" ref="K1309:K1317" si="102">ROUND(I1309*J1309,0)</f>
        <v>5370800</v>
      </c>
      <c r="L1309" s="39" t="s">
        <v>167</v>
      </c>
      <c r="M1309" s="39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909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1127</v>
      </c>
      <c r="E1310" s="802">
        <v>40760</v>
      </c>
      <c r="F1310" s="40" t="s">
        <v>637</v>
      </c>
      <c r="G1310" s="40"/>
      <c r="H1310" s="632" t="s">
        <v>1116</v>
      </c>
      <c r="I1310" s="260">
        <v>2</v>
      </c>
      <c r="J1310" s="260">
        <v>31360</v>
      </c>
      <c r="K1310" s="618">
        <f t="shared" si="102"/>
        <v>62720</v>
      </c>
      <c r="L1310" s="39" t="s">
        <v>167</v>
      </c>
      <c r="M1310" s="39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909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1127</v>
      </c>
      <c r="E1311" s="802">
        <v>40760</v>
      </c>
      <c r="F1311" s="189" t="s">
        <v>410</v>
      </c>
      <c r="G1311" s="40"/>
      <c r="H1311" s="632" t="s">
        <v>1116</v>
      </c>
      <c r="I1311" s="851">
        <v>1</v>
      </c>
      <c r="J1311" s="260">
        <v>4449</v>
      </c>
      <c r="K1311" s="618">
        <f t="shared" si="102"/>
        <v>4449</v>
      </c>
      <c r="L1311" s="39" t="s">
        <v>167</v>
      </c>
      <c r="M1311" s="39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909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1127</v>
      </c>
      <c r="E1312" s="802">
        <v>40760</v>
      </c>
      <c r="F1312" s="40" t="s">
        <v>622</v>
      </c>
      <c r="G1312" s="40"/>
      <c r="H1312" s="632" t="s">
        <v>1116</v>
      </c>
      <c r="I1312" s="260">
        <v>1</v>
      </c>
      <c r="J1312" s="260">
        <v>26894</v>
      </c>
      <c r="K1312" s="618">
        <f t="shared" si="102"/>
        <v>26894</v>
      </c>
      <c r="L1312" s="39" t="s">
        <v>167</v>
      </c>
      <c r="M1312" s="39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909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1127</v>
      </c>
      <c r="E1313" s="802">
        <v>40760</v>
      </c>
      <c r="F1313" s="189" t="s">
        <v>511</v>
      </c>
      <c r="G1313" s="40"/>
      <c r="H1313" s="632" t="s">
        <v>1116</v>
      </c>
      <c r="I1313" s="260">
        <v>1</v>
      </c>
      <c r="J1313" s="260">
        <v>16173</v>
      </c>
      <c r="K1313" s="618">
        <f t="shared" si="102"/>
        <v>16173</v>
      </c>
      <c r="L1313" s="39" t="s">
        <v>167</v>
      </c>
      <c r="M1313" s="39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909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1127</v>
      </c>
      <c r="E1314" s="802">
        <v>40760</v>
      </c>
      <c r="F1314" s="189" t="s">
        <v>511</v>
      </c>
      <c r="G1314" s="40"/>
      <c r="H1314" s="632" t="s">
        <v>1116</v>
      </c>
      <c r="I1314" s="260">
        <v>0.5</v>
      </c>
      <c r="J1314" s="260">
        <v>16173</v>
      </c>
      <c r="K1314" s="618">
        <f t="shared" si="102"/>
        <v>8087</v>
      </c>
      <c r="L1314" s="39" t="s">
        <v>167</v>
      </c>
      <c r="M1314" s="39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909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1127</v>
      </c>
      <c r="E1315" s="802">
        <v>40760</v>
      </c>
      <c r="F1315" s="189" t="s">
        <v>546</v>
      </c>
      <c r="G1315" s="40"/>
      <c r="H1315" s="632" t="s">
        <v>1116</v>
      </c>
      <c r="I1315" s="260">
        <v>1</v>
      </c>
      <c r="J1315" s="260">
        <v>7268</v>
      </c>
      <c r="K1315" s="618">
        <f t="shared" si="102"/>
        <v>7268</v>
      </c>
      <c r="L1315" s="39" t="s">
        <v>167</v>
      </c>
      <c r="M1315" s="39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909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1127</v>
      </c>
      <c r="E1316" s="802">
        <v>40760</v>
      </c>
      <c r="F1316" s="189" t="s">
        <v>511</v>
      </c>
      <c r="G1316" s="40"/>
      <c r="H1316" s="632" t="s">
        <v>1116</v>
      </c>
      <c r="I1316" s="260">
        <v>1</v>
      </c>
      <c r="J1316" s="260">
        <v>16173</v>
      </c>
      <c r="K1316" s="618">
        <f t="shared" si="102"/>
        <v>16173</v>
      </c>
      <c r="L1316" s="39" t="s">
        <v>167</v>
      </c>
      <c r="M1316" s="39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909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1127</v>
      </c>
      <c r="E1317" s="802">
        <v>40760</v>
      </c>
      <c r="F1317" s="189" t="s">
        <v>654</v>
      </c>
      <c r="G1317" s="40"/>
      <c r="H1317" s="632" t="s">
        <v>1116</v>
      </c>
      <c r="I1317" s="260">
        <v>350</v>
      </c>
      <c r="J1317" s="260">
        <v>21455</v>
      </c>
      <c r="K1317" s="618">
        <f t="shared" si="102"/>
        <v>7509250</v>
      </c>
      <c r="L1317" s="39" t="s">
        <v>167</v>
      </c>
      <c r="M1317" s="39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909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680</v>
      </c>
      <c r="E1318" s="191">
        <v>40762</v>
      </c>
      <c r="F1318" s="192" t="s">
        <v>1168</v>
      </c>
      <c r="G1318" s="502" t="s">
        <v>1175</v>
      </c>
      <c r="H1318" s="193" t="s">
        <v>1170</v>
      </c>
      <c r="I1318" s="260"/>
      <c r="J1318" s="260"/>
      <c r="K1318" s="38">
        <v>455629</v>
      </c>
      <c r="L1318" s="194" t="s">
        <v>277</v>
      </c>
      <c r="M1318" s="194" t="s">
        <v>47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909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680</v>
      </c>
      <c r="E1319" s="191">
        <v>40762</v>
      </c>
      <c r="F1319" s="192" t="s">
        <v>1171</v>
      </c>
      <c r="G1319" s="502" t="s">
        <v>1175</v>
      </c>
      <c r="H1319" s="193" t="s">
        <v>1170</v>
      </c>
      <c r="I1319" s="260"/>
      <c r="J1319" s="260"/>
      <c r="K1319" s="38">
        <v>44378</v>
      </c>
      <c r="L1319" s="194" t="s">
        <v>9</v>
      </c>
      <c r="M1319" s="194" t="s">
        <v>47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909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1128</v>
      </c>
      <c r="E1320" s="802">
        <v>40763</v>
      </c>
      <c r="F1320" s="40" t="s">
        <v>579</v>
      </c>
      <c r="G1320" s="40"/>
      <c r="H1320" s="632" t="s">
        <v>1116</v>
      </c>
      <c r="I1320" s="260">
        <v>33</v>
      </c>
      <c r="J1320" s="260">
        <v>22372</v>
      </c>
      <c r="K1320" s="618">
        <f t="shared" ref="K1320:K1327" si="104">ROUND(I1320*J1320,0)</f>
        <v>738276</v>
      </c>
      <c r="L1320" s="39" t="s">
        <v>167</v>
      </c>
      <c r="M1320" s="39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909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1128</v>
      </c>
      <c r="E1321" s="802">
        <v>40763</v>
      </c>
      <c r="F1321" s="189" t="s">
        <v>601</v>
      </c>
      <c r="G1321" s="40"/>
      <c r="H1321" s="632" t="s">
        <v>1116</v>
      </c>
      <c r="I1321" s="260">
        <v>69</v>
      </c>
      <c r="J1321" s="260">
        <v>10344</v>
      </c>
      <c r="K1321" s="618">
        <f t="shared" si="104"/>
        <v>713736</v>
      </c>
      <c r="L1321" s="39" t="s">
        <v>167</v>
      </c>
      <c r="M1321" s="39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909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1128</v>
      </c>
      <c r="E1322" s="802">
        <v>40763</v>
      </c>
      <c r="F1322" s="189" t="s">
        <v>408</v>
      </c>
      <c r="G1322" s="40"/>
      <c r="H1322" s="632" t="s">
        <v>1116</v>
      </c>
      <c r="I1322" s="260">
        <v>279</v>
      </c>
      <c r="J1322" s="260">
        <v>6124</v>
      </c>
      <c r="K1322" s="618">
        <f t="shared" si="104"/>
        <v>1708596</v>
      </c>
      <c r="L1322" s="39" t="s">
        <v>167</v>
      </c>
      <c r="M1322" s="39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909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1128</v>
      </c>
      <c r="E1323" s="802">
        <v>40763</v>
      </c>
      <c r="F1323" s="189" t="s">
        <v>574</v>
      </c>
      <c r="G1323" s="40"/>
      <c r="H1323" s="632" t="s">
        <v>1116</v>
      </c>
      <c r="I1323" s="260">
        <v>20</v>
      </c>
      <c r="J1323" s="260">
        <v>16973</v>
      </c>
      <c r="K1323" s="618">
        <f t="shared" si="104"/>
        <v>339460</v>
      </c>
      <c r="L1323" s="39" t="s">
        <v>167</v>
      </c>
      <c r="M1323" s="39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909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1128</v>
      </c>
      <c r="E1324" s="802">
        <v>40763</v>
      </c>
      <c r="F1324" s="189" t="s">
        <v>607</v>
      </c>
      <c r="G1324" s="40"/>
      <c r="H1324" s="632" t="s">
        <v>1116</v>
      </c>
      <c r="I1324" s="260">
        <v>40</v>
      </c>
      <c r="J1324" s="260">
        <v>32686</v>
      </c>
      <c r="K1324" s="618">
        <f t="shared" si="104"/>
        <v>1307440</v>
      </c>
      <c r="L1324" s="39" t="s">
        <v>167</v>
      </c>
      <c r="M1324" s="39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909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1128</v>
      </c>
      <c r="E1325" s="802">
        <v>40763</v>
      </c>
      <c r="F1325" s="189" t="s">
        <v>592</v>
      </c>
      <c r="G1325" s="40"/>
      <c r="H1325" s="632" t="s">
        <v>1116</v>
      </c>
      <c r="I1325" s="260">
        <v>104</v>
      </c>
      <c r="J1325" s="260">
        <v>25524</v>
      </c>
      <c r="K1325" s="618">
        <f t="shared" si="104"/>
        <v>2654496</v>
      </c>
      <c r="L1325" s="39" t="s">
        <v>167</v>
      </c>
      <c r="M1325" s="39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909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1128</v>
      </c>
      <c r="E1326" s="802">
        <v>40763</v>
      </c>
      <c r="F1326" s="189" t="s">
        <v>654</v>
      </c>
      <c r="G1326" s="40"/>
      <c r="H1326" s="632" t="s">
        <v>1116</v>
      </c>
      <c r="I1326" s="260">
        <v>82</v>
      </c>
      <c r="J1326" s="260">
        <v>21455</v>
      </c>
      <c r="K1326" s="618">
        <f t="shared" si="104"/>
        <v>1759310</v>
      </c>
      <c r="L1326" s="39" t="s">
        <v>167</v>
      </c>
      <c r="M1326" s="39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909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1128</v>
      </c>
      <c r="E1327" s="802">
        <v>40763</v>
      </c>
      <c r="F1327" s="189" t="s">
        <v>410</v>
      </c>
      <c r="G1327" s="40"/>
      <c r="H1327" s="632" t="s">
        <v>1116</v>
      </c>
      <c r="I1327" s="851">
        <v>22.5</v>
      </c>
      <c r="J1327" s="260">
        <v>4449</v>
      </c>
      <c r="K1327" s="618">
        <f t="shared" si="104"/>
        <v>100103</v>
      </c>
      <c r="L1327" s="39" t="s">
        <v>167</v>
      </c>
      <c r="M1327" s="39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909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456</v>
      </c>
      <c r="E1328" s="191">
        <v>40764</v>
      </c>
      <c r="F1328" s="192" t="s">
        <v>1040</v>
      </c>
      <c r="G1328" s="502" t="s">
        <v>1209</v>
      </c>
      <c r="H1328" s="193" t="s">
        <v>783</v>
      </c>
      <c r="I1328" s="260"/>
      <c r="J1328" s="260"/>
      <c r="K1328" s="618">
        <v>11858000</v>
      </c>
      <c r="L1328" s="194" t="s">
        <v>47</v>
      </c>
      <c r="M1328" s="194" t="s">
        <v>274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909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993</v>
      </c>
      <c r="E1329" s="191">
        <v>40764</v>
      </c>
      <c r="F1329" s="192" t="s">
        <v>1040</v>
      </c>
      <c r="G1329" s="502" t="s">
        <v>1209</v>
      </c>
      <c r="H1329" s="193" t="s">
        <v>783</v>
      </c>
      <c r="I1329" s="260">
        <v>980</v>
      </c>
      <c r="J1329" s="260">
        <v>11000</v>
      </c>
      <c r="K1329" s="618">
        <v>10780000</v>
      </c>
      <c r="L1329" s="194" t="s">
        <v>274</v>
      </c>
      <c r="M1329" s="194" t="s">
        <v>181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909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993</v>
      </c>
      <c r="E1330" s="191">
        <v>40764</v>
      </c>
      <c r="F1330" s="192" t="s">
        <v>1200</v>
      </c>
      <c r="G1330" s="502" t="s">
        <v>1209</v>
      </c>
      <c r="H1330" s="193" t="s">
        <v>783</v>
      </c>
      <c r="I1330" s="260"/>
      <c r="J1330" s="260"/>
      <c r="K1330" s="618">
        <v>1078000</v>
      </c>
      <c r="L1330" s="194" t="s">
        <v>274</v>
      </c>
      <c r="M1330" s="194" t="s">
        <v>754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909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1146</v>
      </c>
      <c r="E1331" s="37">
        <v>40764</v>
      </c>
      <c r="F1331" s="40" t="s">
        <v>1040</v>
      </c>
      <c r="G1331" s="40"/>
      <c r="H1331" s="632" t="s">
        <v>1116</v>
      </c>
      <c r="I1331" s="260">
        <v>980</v>
      </c>
      <c r="J1331" s="260">
        <v>9954.164041275928</v>
      </c>
      <c r="K1331" s="618">
        <f>ROUND(I1331*J1331,0)</f>
        <v>9755081</v>
      </c>
      <c r="L1331" s="39" t="s">
        <v>169</v>
      </c>
      <c r="M1331" s="39" t="s">
        <v>167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909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993</v>
      </c>
      <c r="E1332" s="37">
        <v>40764</v>
      </c>
      <c r="F1332" s="40" t="s">
        <v>1040</v>
      </c>
      <c r="G1332" s="40" t="s">
        <v>1209</v>
      </c>
      <c r="H1332" s="632" t="s">
        <v>783</v>
      </c>
      <c r="I1332" s="260">
        <v>980</v>
      </c>
      <c r="J1332" s="260">
        <v>9954.164041275928</v>
      </c>
      <c r="K1332" s="618">
        <f>ROUND(I1332*J1332,0)</f>
        <v>9755081</v>
      </c>
      <c r="L1332" s="39" t="s">
        <v>179</v>
      </c>
      <c r="M1332" s="39" t="s">
        <v>169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909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357</v>
      </c>
      <c r="E1333" s="184">
        <v>40766</v>
      </c>
      <c r="F1333" s="189" t="s">
        <v>390</v>
      </c>
      <c r="G1333" s="620" t="s">
        <v>353</v>
      </c>
      <c r="H1333" s="7" t="s">
        <v>582</v>
      </c>
      <c r="I1333" s="260"/>
      <c r="J1333" s="260"/>
      <c r="K1333" s="618">
        <v>10000000</v>
      </c>
      <c r="L1333" s="619" t="s">
        <v>8</v>
      </c>
      <c r="M1333" s="619" t="s">
        <v>24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909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357</v>
      </c>
      <c r="E1334" s="184">
        <v>40766</v>
      </c>
      <c r="F1334" s="189" t="s">
        <v>390</v>
      </c>
      <c r="G1334" s="620" t="s">
        <v>353</v>
      </c>
      <c r="H1334" s="7" t="s">
        <v>571</v>
      </c>
      <c r="I1334" s="260"/>
      <c r="J1334" s="260"/>
      <c r="K1334" s="618">
        <v>23410000</v>
      </c>
      <c r="L1334" s="619" t="s">
        <v>8</v>
      </c>
      <c r="M1334" s="619" t="s">
        <v>24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909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357</v>
      </c>
      <c r="E1335" s="184">
        <v>40766</v>
      </c>
      <c r="F1335" s="189" t="s">
        <v>359</v>
      </c>
      <c r="G1335" s="620" t="s">
        <v>353</v>
      </c>
      <c r="H1335" s="7"/>
      <c r="I1335" s="260"/>
      <c r="J1335" s="260"/>
      <c r="K1335" s="618">
        <v>9091</v>
      </c>
      <c r="L1335" s="619" t="s">
        <v>83</v>
      </c>
      <c r="M1335" s="619" t="s">
        <v>24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909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357</v>
      </c>
      <c r="E1336" s="184">
        <v>40766</v>
      </c>
      <c r="F1336" s="189" t="s">
        <v>359</v>
      </c>
      <c r="G1336" s="620" t="s">
        <v>353</v>
      </c>
      <c r="H1336" s="7"/>
      <c r="I1336" s="260"/>
      <c r="J1336" s="260"/>
      <c r="K1336" s="618">
        <v>909</v>
      </c>
      <c r="L1336" s="619" t="s">
        <v>9</v>
      </c>
      <c r="M1336" s="619" t="s">
        <v>24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909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683</v>
      </c>
      <c r="E1337" s="184">
        <v>40766</v>
      </c>
      <c r="F1337" s="189" t="s">
        <v>389</v>
      </c>
      <c r="G1337" s="620" t="s">
        <v>353</v>
      </c>
      <c r="H1337" s="193" t="s">
        <v>386</v>
      </c>
      <c r="I1337" s="260"/>
      <c r="J1337" s="260"/>
      <c r="K1337" s="618">
        <v>35000000</v>
      </c>
      <c r="L1337" s="619" t="s">
        <v>47</v>
      </c>
      <c r="M1337" s="619" t="s">
        <v>24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909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1129</v>
      </c>
      <c r="E1338" s="802">
        <v>40768</v>
      </c>
      <c r="F1338" s="189" t="s">
        <v>408</v>
      </c>
      <c r="G1338" s="40"/>
      <c r="H1338" s="632" t="s">
        <v>1116</v>
      </c>
      <c r="I1338" s="260">
        <v>989</v>
      </c>
      <c r="J1338" s="260">
        <v>6124</v>
      </c>
      <c r="K1338" s="618">
        <f t="shared" ref="K1338:K1353" si="106">ROUND(I1338*J1338,0)</f>
        <v>6056636</v>
      </c>
      <c r="L1338" s="39" t="s">
        <v>167</v>
      </c>
      <c r="M1338" s="39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909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1129</v>
      </c>
      <c r="E1339" s="802">
        <v>40768</v>
      </c>
      <c r="F1339" s="189" t="s">
        <v>542</v>
      </c>
      <c r="G1339" s="40"/>
      <c r="H1339" s="632" t="s">
        <v>1116</v>
      </c>
      <c r="I1339" s="260">
        <v>97</v>
      </c>
      <c r="J1339" s="260">
        <v>10603</v>
      </c>
      <c r="K1339" s="618">
        <f t="shared" si="106"/>
        <v>1028491</v>
      </c>
      <c r="L1339" s="39" t="s">
        <v>167</v>
      </c>
      <c r="M1339" s="39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909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1129</v>
      </c>
      <c r="E1340" s="802">
        <v>40768</v>
      </c>
      <c r="F1340" s="189" t="s">
        <v>601</v>
      </c>
      <c r="G1340" s="40"/>
      <c r="H1340" s="632" t="s">
        <v>1116</v>
      </c>
      <c r="I1340" s="260">
        <v>53</v>
      </c>
      <c r="J1340" s="260">
        <v>10344</v>
      </c>
      <c r="K1340" s="618">
        <f t="shared" si="106"/>
        <v>548232</v>
      </c>
      <c r="L1340" s="39" t="s">
        <v>167</v>
      </c>
      <c r="M1340" s="39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909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1129</v>
      </c>
      <c r="E1341" s="802">
        <v>40768</v>
      </c>
      <c r="F1341" s="189" t="s">
        <v>410</v>
      </c>
      <c r="G1341" s="40"/>
      <c r="H1341" s="632" t="s">
        <v>1116</v>
      </c>
      <c r="I1341" s="851">
        <v>75</v>
      </c>
      <c r="J1341" s="260">
        <v>4449</v>
      </c>
      <c r="K1341" s="618">
        <f t="shared" si="106"/>
        <v>333675</v>
      </c>
      <c r="L1341" s="39" t="s">
        <v>167</v>
      </c>
      <c r="M1341" s="39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909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1129</v>
      </c>
      <c r="E1342" s="802">
        <v>40768</v>
      </c>
      <c r="F1342" s="189" t="s">
        <v>410</v>
      </c>
      <c r="G1342" s="40"/>
      <c r="H1342" s="632" t="s">
        <v>1116</v>
      </c>
      <c r="I1342" s="851">
        <v>0.5</v>
      </c>
      <c r="J1342" s="260">
        <v>4449</v>
      </c>
      <c r="K1342" s="618">
        <f t="shared" si="106"/>
        <v>2225</v>
      </c>
      <c r="L1342" s="39" t="s">
        <v>167</v>
      </c>
      <c r="M1342" s="39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909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1129</v>
      </c>
      <c r="E1343" s="802">
        <v>40768</v>
      </c>
      <c r="F1343" s="189" t="s">
        <v>601</v>
      </c>
      <c r="G1343" s="40"/>
      <c r="H1343" s="632" t="s">
        <v>1116</v>
      </c>
      <c r="I1343" s="260">
        <v>66.5</v>
      </c>
      <c r="J1343" s="260">
        <v>10344</v>
      </c>
      <c r="K1343" s="618">
        <f t="shared" si="106"/>
        <v>687876</v>
      </c>
      <c r="L1343" s="39" t="s">
        <v>167</v>
      </c>
      <c r="M1343" s="39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909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1129</v>
      </c>
      <c r="E1344" s="802">
        <v>40768</v>
      </c>
      <c r="F1344" s="189" t="s">
        <v>408</v>
      </c>
      <c r="G1344" s="40"/>
      <c r="H1344" s="632" t="s">
        <v>1116</v>
      </c>
      <c r="I1344" s="260">
        <v>141</v>
      </c>
      <c r="J1344" s="260">
        <v>6124</v>
      </c>
      <c r="K1344" s="618">
        <f t="shared" si="106"/>
        <v>863484</v>
      </c>
      <c r="L1344" s="39" t="s">
        <v>167</v>
      </c>
      <c r="M1344" s="39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909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1129</v>
      </c>
      <c r="E1345" s="802">
        <v>40768</v>
      </c>
      <c r="F1345" s="302" t="s">
        <v>502</v>
      </c>
      <c r="G1345" s="40"/>
      <c r="H1345" s="632" t="s">
        <v>1116</v>
      </c>
      <c r="I1345" s="260">
        <v>291</v>
      </c>
      <c r="J1345" s="260">
        <v>6026</v>
      </c>
      <c r="K1345" s="618">
        <f t="shared" si="106"/>
        <v>1753566</v>
      </c>
      <c r="L1345" s="39" t="s">
        <v>167</v>
      </c>
      <c r="M1345" s="39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909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1129</v>
      </c>
      <c r="E1346" s="802">
        <v>40768</v>
      </c>
      <c r="F1346" s="40" t="s">
        <v>624</v>
      </c>
      <c r="G1346" s="40"/>
      <c r="H1346" s="632" t="s">
        <v>1116</v>
      </c>
      <c r="I1346" s="260">
        <v>0.5</v>
      </c>
      <c r="J1346" s="260">
        <v>16303</v>
      </c>
      <c r="K1346" s="618">
        <f t="shared" si="106"/>
        <v>8152</v>
      </c>
      <c r="L1346" s="39" t="s">
        <v>167</v>
      </c>
      <c r="M1346" s="39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909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1130</v>
      </c>
      <c r="E1347" s="802">
        <v>40771</v>
      </c>
      <c r="F1347" s="189" t="s">
        <v>546</v>
      </c>
      <c r="G1347" s="40"/>
      <c r="H1347" s="632" t="s">
        <v>1116</v>
      </c>
      <c r="I1347" s="260">
        <v>1</v>
      </c>
      <c r="J1347" s="260">
        <v>7268</v>
      </c>
      <c r="K1347" s="618">
        <f t="shared" si="106"/>
        <v>7268</v>
      </c>
      <c r="L1347" s="39" t="s">
        <v>167</v>
      </c>
      <c r="M1347" s="39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909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1130</v>
      </c>
      <c r="E1348" s="802">
        <v>40771</v>
      </c>
      <c r="F1348" s="189" t="s">
        <v>511</v>
      </c>
      <c r="G1348" s="40"/>
      <c r="H1348" s="632" t="s">
        <v>1116</v>
      </c>
      <c r="I1348" s="260">
        <v>0.5</v>
      </c>
      <c r="J1348" s="260">
        <v>16173</v>
      </c>
      <c r="K1348" s="618">
        <f t="shared" si="106"/>
        <v>8087</v>
      </c>
      <c r="L1348" s="39" t="s">
        <v>167</v>
      </c>
      <c r="M1348" s="39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909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1130</v>
      </c>
      <c r="E1349" s="802">
        <v>40771</v>
      </c>
      <c r="F1349" s="189" t="s">
        <v>654</v>
      </c>
      <c r="G1349" s="40"/>
      <c r="H1349" s="632" t="s">
        <v>1116</v>
      </c>
      <c r="I1349" s="260">
        <v>412</v>
      </c>
      <c r="J1349" s="260">
        <v>21455</v>
      </c>
      <c r="K1349" s="618">
        <f t="shared" si="106"/>
        <v>8839460</v>
      </c>
      <c r="L1349" s="39" t="s">
        <v>167</v>
      </c>
      <c r="M1349" s="39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909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1130</v>
      </c>
      <c r="E1350" s="802">
        <v>40771</v>
      </c>
      <c r="F1350" s="189" t="s">
        <v>408</v>
      </c>
      <c r="G1350" s="40"/>
      <c r="H1350" s="632" t="s">
        <v>1116</v>
      </c>
      <c r="I1350" s="260">
        <v>2</v>
      </c>
      <c r="J1350" s="260">
        <v>6124</v>
      </c>
      <c r="K1350" s="618">
        <f t="shared" si="106"/>
        <v>12248</v>
      </c>
      <c r="L1350" s="39" t="s">
        <v>167</v>
      </c>
      <c r="M1350" s="39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909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1130</v>
      </c>
      <c r="E1351" s="802">
        <v>40771</v>
      </c>
      <c r="F1351" s="40" t="s">
        <v>624</v>
      </c>
      <c r="G1351" s="40"/>
      <c r="H1351" s="632" t="s">
        <v>1116</v>
      </c>
      <c r="I1351" s="260">
        <v>0.5</v>
      </c>
      <c r="J1351" s="260">
        <v>16303</v>
      </c>
      <c r="K1351" s="618">
        <f t="shared" si="106"/>
        <v>8152</v>
      </c>
      <c r="L1351" s="39" t="s">
        <v>167</v>
      </c>
      <c r="M1351" s="39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909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1130</v>
      </c>
      <c r="E1352" s="802">
        <v>40771</v>
      </c>
      <c r="F1352" s="40" t="s">
        <v>636</v>
      </c>
      <c r="G1352" s="40"/>
      <c r="H1352" s="632" t="s">
        <v>1116</v>
      </c>
      <c r="I1352" s="260">
        <v>375</v>
      </c>
      <c r="J1352" s="260">
        <v>19180</v>
      </c>
      <c r="K1352" s="618">
        <f t="shared" si="106"/>
        <v>7192500</v>
      </c>
      <c r="L1352" s="39" t="s">
        <v>167</v>
      </c>
      <c r="M1352" s="39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909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1130</v>
      </c>
      <c r="E1353" s="802">
        <v>40771</v>
      </c>
      <c r="F1353" s="189" t="s">
        <v>516</v>
      </c>
      <c r="G1353" s="40"/>
      <c r="H1353" s="632" t="s">
        <v>1116</v>
      </c>
      <c r="I1353" s="260">
        <v>35</v>
      </c>
      <c r="J1353" s="260">
        <v>22806</v>
      </c>
      <c r="K1353" s="618">
        <f t="shared" si="106"/>
        <v>798210</v>
      </c>
      <c r="L1353" s="39" t="s">
        <v>167</v>
      </c>
      <c r="M1353" s="39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909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681</v>
      </c>
      <c r="E1354" s="191">
        <v>40772</v>
      </c>
      <c r="F1354" s="192" t="s">
        <v>527</v>
      </c>
      <c r="G1354" s="502" t="s">
        <v>1176</v>
      </c>
      <c r="H1354" s="7" t="s">
        <v>394</v>
      </c>
      <c r="I1354" s="260">
        <v>20</v>
      </c>
      <c r="J1354" s="260">
        <v>68000</v>
      </c>
      <c r="K1354" s="618">
        <v>1360000</v>
      </c>
      <c r="L1354" s="194" t="s">
        <v>167</v>
      </c>
      <c r="M1354" s="194" t="s">
        <v>47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909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681</v>
      </c>
      <c r="E1355" s="191">
        <v>40772</v>
      </c>
      <c r="F1355" s="192" t="s">
        <v>1177</v>
      </c>
      <c r="G1355" s="502" t="s">
        <v>1176</v>
      </c>
      <c r="H1355" s="7" t="s">
        <v>394</v>
      </c>
      <c r="I1355" s="260"/>
      <c r="J1355" s="260"/>
      <c r="K1355" s="38">
        <v>136000</v>
      </c>
      <c r="L1355" s="194" t="s">
        <v>9</v>
      </c>
      <c r="M1355" s="194" t="s">
        <v>47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909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356</v>
      </c>
      <c r="E1356" s="184">
        <v>40772</v>
      </c>
      <c r="F1356" s="189" t="s">
        <v>358</v>
      </c>
      <c r="G1356" s="620" t="s">
        <v>353</v>
      </c>
      <c r="H1356" s="193" t="s">
        <v>757</v>
      </c>
      <c r="I1356" s="260"/>
      <c r="J1356" s="260"/>
      <c r="K1356" s="618">
        <v>9976043</v>
      </c>
      <c r="L1356" s="619" t="s">
        <v>24</v>
      </c>
      <c r="M1356" s="619" t="s">
        <v>274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909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689</v>
      </c>
      <c r="E1357" s="191">
        <v>40772</v>
      </c>
      <c r="F1357" s="192" t="s">
        <v>358</v>
      </c>
      <c r="G1357" s="502" t="s">
        <v>1210</v>
      </c>
      <c r="H1357" s="193" t="s">
        <v>783</v>
      </c>
      <c r="I1357" s="260"/>
      <c r="J1357" s="260"/>
      <c r="K1357" s="618">
        <v>12100000</v>
      </c>
      <c r="L1357" s="194" t="s">
        <v>47</v>
      </c>
      <c r="M1357" s="194" t="s">
        <v>274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909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994</v>
      </c>
      <c r="E1358" s="191">
        <v>40772</v>
      </c>
      <c r="F1358" s="192" t="s">
        <v>1041</v>
      </c>
      <c r="G1358" s="502" t="s">
        <v>1210</v>
      </c>
      <c r="H1358" s="193" t="s">
        <v>783</v>
      </c>
      <c r="I1358" s="260">
        <v>1000</v>
      </c>
      <c r="J1358" s="260">
        <v>11000</v>
      </c>
      <c r="K1358" s="618">
        <v>11000000</v>
      </c>
      <c r="L1358" s="194" t="s">
        <v>274</v>
      </c>
      <c r="M1358" s="194" t="s">
        <v>181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909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994</v>
      </c>
      <c r="E1359" s="191">
        <v>40772</v>
      </c>
      <c r="F1359" s="192" t="s">
        <v>1200</v>
      </c>
      <c r="G1359" s="502" t="s">
        <v>1210</v>
      </c>
      <c r="H1359" s="193" t="s">
        <v>783</v>
      </c>
      <c r="I1359" s="260"/>
      <c r="J1359" s="260"/>
      <c r="K1359" s="618">
        <v>1100000</v>
      </c>
      <c r="L1359" s="194" t="s">
        <v>274</v>
      </c>
      <c r="M1359" s="194" t="s">
        <v>754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909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995</v>
      </c>
      <c r="E1360" s="191">
        <v>40772</v>
      </c>
      <c r="F1360" s="192" t="s">
        <v>1064</v>
      </c>
      <c r="G1360" s="502" t="s">
        <v>1211</v>
      </c>
      <c r="H1360" s="7" t="s">
        <v>756</v>
      </c>
      <c r="I1360" s="260">
        <v>4</v>
      </c>
      <c r="J1360" s="260">
        <v>17837</v>
      </c>
      <c r="K1360" s="618">
        <v>71348</v>
      </c>
      <c r="L1360" s="194" t="s">
        <v>274</v>
      </c>
      <c r="M1360" s="194" t="s">
        <v>181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909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995</v>
      </c>
      <c r="E1361" s="191">
        <v>40772</v>
      </c>
      <c r="F1361" s="192" t="s">
        <v>1065</v>
      </c>
      <c r="G1361" s="502" t="s">
        <v>1211</v>
      </c>
      <c r="H1361" s="7" t="s">
        <v>756</v>
      </c>
      <c r="I1361" s="260">
        <v>1</v>
      </c>
      <c r="J1361" s="260">
        <v>7093</v>
      </c>
      <c r="K1361" s="618">
        <v>7093</v>
      </c>
      <c r="L1361" s="194" t="s">
        <v>274</v>
      </c>
      <c r="M1361" s="194" t="s">
        <v>181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909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995</v>
      </c>
      <c r="E1362" s="191">
        <v>40772</v>
      </c>
      <c r="F1362" s="192" t="s">
        <v>1066</v>
      </c>
      <c r="G1362" s="502" t="s">
        <v>1211</v>
      </c>
      <c r="H1362" s="7" t="s">
        <v>756</v>
      </c>
      <c r="I1362" s="260">
        <v>3</v>
      </c>
      <c r="J1362" s="260">
        <v>10253</v>
      </c>
      <c r="K1362" s="618">
        <v>30759</v>
      </c>
      <c r="L1362" s="194" t="s">
        <v>274</v>
      </c>
      <c r="M1362" s="194" t="s">
        <v>181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909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995</v>
      </c>
      <c r="E1363" s="191">
        <v>40772</v>
      </c>
      <c r="F1363" s="192" t="s">
        <v>1067</v>
      </c>
      <c r="G1363" s="502" t="s">
        <v>1211</v>
      </c>
      <c r="H1363" s="7" t="s">
        <v>756</v>
      </c>
      <c r="I1363" s="260">
        <v>2</v>
      </c>
      <c r="J1363" s="260">
        <v>14881</v>
      </c>
      <c r="K1363" s="618">
        <v>29762</v>
      </c>
      <c r="L1363" s="194" t="s">
        <v>274</v>
      </c>
      <c r="M1363" s="194" t="s">
        <v>181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909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995</v>
      </c>
      <c r="E1364" s="191">
        <v>40772</v>
      </c>
      <c r="F1364" s="192" t="s">
        <v>1068</v>
      </c>
      <c r="G1364" s="502" t="s">
        <v>1211</v>
      </c>
      <c r="H1364" s="7" t="s">
        <v>756</v>
      </c>
      <c r="I1364" s="262">
        <v>1</v>
      </c>
      <c r="J1364" s="262">
        <v>12207</v>
      </c>
      <c r="K1364" s="618">
        <v>12207</v>
      </c>
      <c r="L1364" s="194" t="s">
        <v>274</v>
      </c>
      <c r="M1364" s="194" t="s">
        <v>181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909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995</v>
      </c>
      <c r="E1365" s="191">
        <v>40772</v>
      </c>
      <c r="F1365" s="192" t="s">
        <v>1069</v>
      </c>
      <c r="G1365" s="502" t="s">
        <v>1211</v>
      </c>
      <c r="H1365" s="7" t="s">
        <v>756</v>
      </c>
      <c r="I1365" s="260">
        <v>1</v>
      </c>
      <c r="J1365" s="260">
        <v>10110</v>
      </c>
      <c r="K1365" s="618">
        <v>10110</v>
      </c>
      <c r="L1365" s="194" t="s">
        <v>274</v>
      </c>
      <c r="M1365" s="194" t="s">
        <v>181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909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995</v>
      </c>
      <c r="E1366" s="191">
        <v>40772</v>
      </c>
      <c r="F1366" s="192" t="s">
        <v>1070</v>
      </c>
      <c r="G1366" s="502" t="s">
        <v>1211</v>
      </c>
      <c r="H1366" s="7" t="s">
        <v>756</v>
      </c>
      <c r="I1366" s="260">
        <v>2</v>
      </c>
      <c r="J1366" s="260">
        <v>15053</v>
      </c>
      <c r="K1366" s="618">
        <v>30106</v>
      </c>
      <c r="L1366" s="194" t="s">
        <v>274</v>
      </c>
      <c r="M1366" s="194" t="s">
        <v>181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909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995</v>
      </c>
      <c r="E1367" s="191">
        <v>40772</v>
      </c>
      <c r="F1367" s="192" t="s">
        <v>1071</v>
      </c>
      <c r="G1367" s="502" t="s">
        <v>1211</v>
      </c>
      <c r="H1367" s="7" t="s">
        <v>756</v>
      </c>
      <c r="I1367" s="260">
        <v>700</v>
      </c>
      <c r="J1367" s="260">
        <v>14438</v>
      </c>
      <c r="K1367" s="618">
        <v>10106600</v>
      </c>
      <c r="L1367" s="194" t="s">
        <v>274</v>
      </c>
      <c r="M1367" s="194" t="s">
        <v>181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909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995</v>
      </c>
      <c r="E1368" s="191">
        <v>40772</v>
      </c>
      <c r="F1368" s="192" t="s">
        <v>859</v>
      </c>
      <c r="G1368" s="502" t="s">
        <v>1211</v>
      </c>
      <c r="H1368" s="7" t="s">
        <v>756</v>
      </c>
      <c r="I1368" s="260"/>
      <c r="J1368" s="260"/>
      <c r="K1368" s="38">
        <v>1029799</v>
      </c>
      <c r="L1368" s="194" t="s">
        <v>274</v>
      </c>
      <c r="M1368" s="194" t="s">
        <v>754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909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1147</v>
      </c>
      <c r="E1369" s="37">
        <v>40772</v>
      </c>
      <c r="F1369" s="40" t="s">
        <v>1041</v>
      </c>
      <c r="G1369" s="40"/>
      <c r="H1369" s="632" t="s">
        <v>1116</v>
      </c>
      <c r="I1369" s="260">
        <v>1000</v>
      </c>
      <c r="J1369" s="260">
        <v>7593.1987351534799</v>
      </c>
      <c r="K1369" s="618">
        <f t="shared" ref="K1369:K1386" si="109">ROUND(I1369*J1369,0)</f>
        <v>7593199</v>
      </c>
      <c r="L1369" s="39" t="s">
        <v>169</v>
      </c>
      <c r="M1369" s="39" t="s">
        <v>167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909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1147</v>
      </c>
      <c r="E1370" s="37">
        <v>40772</v>
      </c>
      <c r="F1370" s="40" t="s">
        <v>1064</v>
      </c>
      <c r="G1370" s="40"/>
      <c r="H1370" s="632" t="s">
        <v>1116</v>
      </c>
      <c r="I1370" s="260">
        <v>4</v>
      </c>
      <c r="J1370" s="260">
        <v>17902.398735153478</v>
      </c>
      <c r="K1370" s="618">
        <f t="shared" si="109"/>
        <v>71610</v>
      </c>
      <c r="L1370" s="39" t="s">
        <v>169</v>
      </c>
      <c r="M1370" s="39" t="s">
        <v>167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909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1147</v>
      </c>
      <c r="E1371" s="37">
        <v>40772</v>
      </c>
      <c r="F1371" s="40" t="s">
        <v>1065</v>
      </c>
      <c r="G1371" s="40"/>
      <c r="H1371" s="632" t="s">
        <v>1116</v>
      </c>
      <c r="I1371" s="260">
        <v>1</v>
      </c>
      <c r="J1371" s="260">
        <v>6671.3987351534788</v>
      </c>
      <c r="K1371" s="618">
        <f t="shared" si="109"/>
        <v>6671</v>
      </c>
      <c r="L1371" s="39" t="s">
        <v>169</v>
      </c>
      <c r="M1371" s="39" t="s">
        <v>167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909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1147</v>
      </c>
      <c r="E1372" s="37">
        <v>40772</v>
      </c>
      <c r="F1372" s="40" t="s">
        <v>1066</v>
      </c>
      <c r="G1372" s="40"/>
      <c r="H1372" s="632" t="s">
        <v>1116</v>
      </c>
      <c r="I1372" s="260">
        <v>3</v>
      </c>
      <c r="J1372" s="260">
        <v>11187.065401820146</v>
      </c>
      <c r="K1372" s="618">
        <f t="shared" si="109"/>
        <v>33561</v>
      </c>
      <c r="L1372" s="39" t="s">
        <v>169</v>
      </c>
      <c r="M1372" s="39" t="s">
        <v>167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909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1147</v>
      </c>
      <c r="E1373" s="37">
        <v>40772</v>
      </c>
      <c r="F1373" s="40" t="s">
        <v>1067</v>
      </c>
      <c r="G1373" s="40"/>
      <c r="H1373" s="632" t="s">
        <v>1116</v>
      </c>
      <c r="I1373" s="260">
        <v>2</v>
      </c>
      <c r="J1373" s="260">
        <v>10308.898735153478</v>
      </c>
      <c r="K1373" s="618">
        <f t="shared" si="109"/>
        <v>20618</v>
      </c>
      <c r="L1373" s="39" t="s">
        <v>169</v>
      </c>
      <c r="M1373" s="39" t="s">
        <v>167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909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1147</v>
      </c>
      <c r="E1374" s="37">
        <v>40772</v>
      </c>
      <c r="F1374" s="40" t="s">
        <v>1068</v>
      </c>
      <c r="G1374" s="40"/>
      <c r="H1374" s="632" t="s">
        <v>1116</v>
      </c>
      <c r="I1374" s="260">
        <v>1</v>
      </c>
      <c r="J1374" s="260">
        <v>10309.398735153478</v>
      </c>
      <c r="K1374" s="618">
        <f t="shared" si="109"/>
        <v>10309</v>
      </c>
      <c r="L1374" s="39" t="s">
        <v>169</v>
      </c>
      <c r="M1374" s="39" t="s">
        <v>167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909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1147</v>
      </c>
      <c r="E1375" s="37">
        <v>40772</v>
      </c>
      <c r="F1375" s="40" t="s">
        <v>1069</v>
      </c>
      <c r="G1375" s="40"/>
      <c r="H1375" s="632" t="s">
        <v>1116</v>
      </c>
      <c r="I1375" s="260">
        <v>1</v>
      </c>
      <c r="J1375" s="260">
        <v>9490.3987351534779</v>
      </c>
      <c r="K1375" s="618">
        <f t="shared" si="109"/>
        <v>9490</v>
      </c>
      <c r="L1375" s="39" t="s">
        <v>169</v>
      </c>
      <c r="M1375" s="39" t="s">
        <v>167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909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1147</v>
      </c>
      <c r="E1376" s="37">
        <v>40772</v>
      </c>
      <c r="F1376" s="40" t="s">
        <v>1070</v>
      </c>
      <c r="G1376" s="40"/>
      <c r="H1376" s="632" t="s">
        <v>1116</v>
      </c>
      <c r="I1376" s="260">
        <v>2</v>
      </c>
      <c r="J1376" s="260">
        <v>10308.898735153478</v>
      </c>
      <c r="K1376" s="618">
        <f t="shared" si="109"/>
        <v>20618</v>
      </c>
      <c r="L1376" s="39" t="s">
        <v>169</v>
      </c>
      <c r="M1376" s="39" t="s">
        <v>167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909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1147</v>
      </c>
      <c r="E1377" s="37">
        <v>40772</v>
      </c>
      <c r="F1377" s="40" t="s">
        <v>1071</v>
      </c>
      <c r="G1377" s="40"/>
      <c r="H1377" s="632" t="s">
        <v>1116</v>
      </c>
      <c r="I1377" s="260">
        <v>700</v>
      </c>
      <c r="J1377" s="260">
        <v>12949.898735153478</v>
      </c>
      <c r="K1377" s="618">
        <f t="shared" si="109"/>
        <v>9064929</v>
      </c>
      <c r="L1377" s="39" t="s">
        <v>169</v>
      </c>
      <c r="M1377" s="39" t="s">
        <v>167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909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994</v>
      </c>
      <c r="E1378" s="37">
        <v>40772</v>
      </c>
      <c r="F1378" s="40" t="s">
        <v>1041</v>
      </c>
      <c r="G1378" s="40" t="s">
        <v>1210</v>
      </c>
      <c r="H1378" s="632" t="s">
        <v>783</v>
      </c>
      <c r="I1378" s="260">
        <v>1000</v>
      </c>
      <c r="J1378" s="260">
        <v>7593.1987351534799</v>
      </c>
      <c r="K1378" s="618">
        <f t="shared" si="109"/>
        <v>7593199</v>
      </c>
      <c r="L1378" s="39" t="s">
        <v>179</v>
      </c>
      <c r="M1378" s="39" t="s">
        <v>169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909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995</v>
      </c>
      <c r="E1379" s="37">
        <v>40772</v>
      </c>
      <c r="F1379" s="40" t="s">
        <v>1064</v>
      </c>
      <c r="G1379" s="40" t="s">
        <v>1211</v>
      </c>
      <c r="H1379" s="632" t="s">
        <v>756</v>
      </c>
      <c r="I1379" s="260">
        <v>4</v>
      </c>
      <c r="J1379" s="260">
        <v>17902.398735153478</v>
      </c>
      <c r="K1379" s="618">
        <f t="shared" si="109"/>
        <v>71610</v>
      </c>
      <c r="L1379" s="39" t="s">
        <v>179</v>
      </c>
      <c r="M1379" s="39" t="s">
        <v>169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909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995</v>
      </c>
      <c r="E1380" s="37">
        <v>40772</v>
      </c>
      <c r="F1380" s="40" t="s">
        <v>1065</v>
      </c>
      <c r="G1380" s="40" t="s">
        <v>1211</v>
      </c>
      <c r="H1380" s="632" t="s">
        <v>756</v>
      </c>
      <c r="I1380" s="260">
        <v>1</v>
      </c>
      <c r="J1380" s="260">
        <v>6671.3987351534788</v>
      </c>
      <c r="K1380" s="618">
        <f t="shared" si="109"/>
        <v>6671</v>
      </c>
      <c r="L1380" s="39" t="s">
        <v>179</v>
      </c>
      <c r="M1380" s="39" t="s">
        <v>169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909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995</v>
      </c>
      <c r="E1381" s="37">
        <v>40772</v>
      </c>
      <c r="F1381" s="40" t="s">
        <v>1066</v>
      </c>
      <c r="G1381" s="40" t="s">
        <v>1211</v>
      </c>
      <c r="H1381" s="632" t="s">
        <v>756</v>
      </c>
      <c r="I1381" s="260">
        <v>3</v>
      </c>
      <c r="J1381" s="260">
        <v>11187.065401820146</v>
      </c>
      <c r="K1381" s="618">
        <f t="shared" si="109"/>
        <v>33561</v>
      </c>
      <c r="L1381" s="39" t="s">
        <v>179</v>
      </c>
      <c r="M1381" s="39" t="s">
        <v>169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909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995</v>
      </c>
      <c r="E1382" s="37">
        <v>40772</v>
      </c>
      <c r="F1382" s="40" t="s">
        <v>1067</v>
      </c>
      <c r="G1382" s="40" t="s">
        <v>1211</v>
      </c>
      <c r="H1382" s="632" t="s">
        <v>756</v>
      </c>
      <c r="I1382" s="260">
        <v>2</v>
      </c>
      <c r="J1382" s="260">
        <v>10308.898735153478</v>
      </c>
      <c r="K1382" s="618">
        <f t="shared" si="109"/>
        <v>20618</v>
      </c>
      <c r="L1382" s="39" t="s">
        <v>179</v>
      </c>
      <c r="M1382" s="39" t="s">
        <v>169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909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995</v>
      </c>
      <c r="E1383" s="37">
        <v>40772</v>
      </c>
      <c r="F1383" s="40" t="s">
        <v>1068</v>
      </c>
      <c r="G1383" s="40" t="s">
        <v>1211</v>
      </c>
      <c r="H1383" s="632" t="s">
        <v>756</v>
      </c>
      <c r="I1383" s="260">
        <v>1</v>
      </c>
      <c r="J1383" s="260">
        <v>10309.398735153478</v>
      </c>
      <c r="K1383" s="618">
        <f t="shared" si="109"/>
        <v>10309</v>
      </c>
      <c r="L1383" s="39" t="s">
        <v>179</v>
      </c>
      <c r="M1383" s="39" t="s">
        <v>169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909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995</v>
      </c>
      <c r="E1384" s="37">
        <v>40772</v>
      </c>
      <c r="F1384" s="40" t="s">
        <v>1069</v>
      </c>
      <c r="G1384" s="40" t="s">
        <v>1211</v>
      </c>
      <c r="H1384" s="632" t="s">
        <v>756</v>
      </c>
      <c r="I1384" s="260">
        <v>1</v>
      </c>
      <c r="J1384" s="260">
        <v>9490.3987351534779</v>
      </c>
      <c r="K1384" s="618">
        <f t="shared" si="109"/>
        <v>9490</v>
      </c>
      <c r="L1384" s="39" t="s">
        <v>179</v>
      </c>
      <c r="M1384" s="39" t="s">
        <v>169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909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995</v>
      </c>
      <c r="E1385" s="37">
        <v>40772</v>
      </c>
      <c r="F1385" s="40" t="s">
        <v>1070</v>
      </c>
      <c r="G1385" s="40" t="s">
        <v>1211</v>
      </c>
      <c r="H1385" s="632" t="s">
        <v>756</v>
      </c>
      <c r="I1385" s="260">
        <v>2</v>
      </c>
      <c r="J1385" s="260">
        <v>10308.898735153478</v>
      </c>
      <c r="K1385" s="618">
        <f t="shared" si="109"/>
        <v>20618</v>
      </c>
      <c r="L1385" s="39" t="s">
        <v>179</v>
      </c>
      <c r="M1385" s="39" t="s">
        <v>169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909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995</v>
      </c>
      <c r="E1386" s="37">
        <v>40772</v>
      </c>
      <c r="F1386" s="40" t="s">
        <v>1071</v>
      </c>
      <c r="G1386" s="40" t="s">
        <v>1211</v>
      </c>
      <c r="H1386" s="632" t="s">
        <v>756</v>
      </c>
      <c r="I1386" s="260">
        <v>700</v>
      </c>
      <c r="J1386" s="260">
        <v>12949.898735153478</v>
      </c>
      <c r="K1386" s="618">
        <f t="shared" si="109"/>
        <v>9064929</v>
      </c>
      <c r="L1386" s="39" t="s">
        <v>179</v>
      </c>
      <c r="M1386" s="39" t="s">
        <v>169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909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996</v>
      </c>
      <c r="E1387" s="191">
        <v>40774</v>
      </c>
      <c r="F1387" s="192" t="s">
        <v>1072</v>
      </c>
      <c r="G1387" s="502" t="s">
        <v>1212</v>
      </c>
      <c r="H1387" s="7" t="s">
        <v>756</v>
      </c>
      <c r="I1387" s="260">
        <v>63</v>
      </c>
      <c r="J1387" s="260">
        <v>16713</v>
      </c>
      <c r="K1387" s="618">
        <v>1052919</v>
      </c>
      <c r="L1387" s="194" t="s">
        <v>274</v>
      </c>
      <c r="M1387" s="194" t="s">
        <v>181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909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996</v>
      </c>
      <c r="E1388" s="191">
        <v>40774</v>
      </c>
      <c r="F1388" s="192" t="s">
        <v>1073</v>
      </c>
      <c r="G1388" s="502" t="s">
        <v>1212</v>
      </c>
      <c r="H1388" s="7" t="s">
        <v>756</v>
      </c>
      <c r="I1388" s="260">
        <v>138</v>
      </c>
      <c r="J1388" s="260">
        <v>8450</v>
      </c>
      <c r="K1388" s="618">
        <v>1166100</v>
      </c>
      <c r="L1388" s="194" t="s">
        <v>274</v>
      </c>
      <c r="M1388" s="194" t="s">
        <v>181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909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996</v>
      </c>
      <c r="E1389" s="191">
        <v>40774</v>
      </c>
      <c r="F1389" s="192" t="s">
        <v>1074</v>
      </c>
      <c r="G1389" s="502" t="s">
        <v>1212</v>
      </c>
      <c r="H1389" s="7" t="s">
        <v>756</v>
      </c>
      <c r="I1389" s="260">
        <v>279</v>
      </c>
      <c r="J1389" s="260">
        <v>9594</v>
      </c>
      <c r="K1389" s="618">
        <v>2676726</v>
      </c>
      <c r="L1389" s="194" t="s">
        <v>274</v>
      </c>
      <c r="M1389" s="194" t="s">
        <v>181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909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996</v>
      </c>
      <c r="E1390" s="191">
        <v>40774</v>
      </c>
      <c r="F1390" s="192" t="s">
        <v>1075</v>
      </c>
      <c r="G1390" s="502" t="s">
        <v>1212</v>
      </c>
      <c r="H1390" s="7" t="s">
        <v>756</v>
      </c>
      <c r="I1390" s="260">
        <v>41</v>
      </c>
      <c r="J1390" s="260">
        <v>11992</v>
      </c>
      <c r="K1390" s="618">
        <v>491672</v>
      </c>
      <c r="L1390" s="194" t="s">
        <v>274</v>
      </c>
      <c r="M1390" s="194" t="s">
        <v>181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909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996</v>
      </c>
      <c r="E1391" s="191">
        <v>40774</v>
      </c>
      <c r="F1391" s="192" t="s">
        <v>1076</v>
      </c>
      <c r="G1391" s="502" t="s">
        <v>1212</v>
      </c>
      <c r="H1391" s="7" t="s">
        <v>756</v>
      </c>
      <c r="I1391" s="260">
        <v>151</v>
      </c>
      <c r="J1391" s="260">
        <v>11067</v>
      </c>
      <c r="K1391" s="618">
        <v>1671117</v>
      </c>
      <c r="L1391" s="194" t="s">
        <v>274</v>
      </c>
      <c r="M1391" s="194" t="s">
        <v>181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909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996</v>
      </c>
      <c r="E1392" s="191">
        <v>40774</v>
      </c>
      <c r="F1392" s="192" t="s">
        <v>1077</v>
      </c>
      <c r="G1392" s="502" t="s">
        <v>1212</v>
      </c>
      <c r="H1392" s="7" t="s">
        <v>756</v>
      </c>
      <c r="I1392" s="260">
        <v>463</v>
      </c>
      <c r="J1392" s="260">
        <v>10594</v>
      </c>
      <c r="K1392" s="618">
        <v>4905022</v>
      </c>
      <c r="L1392" s="194" t="s">
        <v>274</v>
      </c>
      <c r="M1392" s="194" t="s">
        <v>181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909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996</v>
      </c>
      <c r="E1393" s="191">
        <v>40774</v>
      </c>
      <c r="F1393" s="192" t="s">
        <v>1078</v>
      </c>
      <c r="G1393" s="502" t="s">
        <v>1212</v>
      </c>
      <c r="H1393" s="7" t="s">
        <v>756</v>
      </c>
      <c r="I1393" s="260">
        <v>163</v>
      </c>
      <c r="J1393" s="260">
        <v>14010</v>
      </c>
      <c r="K1393" s="618">
        <v>2283630</v>
      </c>
      <c r="L1393" s="194" t="s">
        <v>274</v>
      </c>
      <c r="M1393" s="194" t="s">
        <v>181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909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996</v>
      </c>
      <c r="E1394" s="191">
        <v>40774</v>
      </c>
      <c r="F1394" s="189" t="s">
        <v>779</v>
      </c>
      <c r="G1394" s="502" t="s">
        <v>1212</v>
      </c>
      <c r="H1394" s="7" t="s">
        <v>756</v>
      </c>
      <c r="I1394" s="260">
        <v>45</v>
      </c>
      <c r="J1394" s="260">
        <v>4321</v>
      </c>
      <c r="K1394" s="618">
        <v>194445</v>
      </c>
      <c r="L1394" s="194" t="s">
        <v>274</v>
      </c>
      <c r="M1394" s="194" t="s">
        <v>181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909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996</v>
      </c>
      <c r="E1395" s="191">
        <v>40774</v>
      </c>
      <c r="F1395" s="192" t="s">
        <v>859</v>
      </c>
      <c r="G1395" s="502" t="s">
        <v>1212</v>
      </c>
      <c r="H1395" s="7" t="s">
        <v>756</v>
      </c>
      <c r="I1395" s="260"/>
      <c r="J1395" s="260"/>
      <c r="K1395" s="38">
        <v>1444163</v>
      </c>
      <c r="L1395" s="194" t="s">
        <v>274</v>
      </c>
      <c r="M1395" s="194" t="s">
        <v>754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909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1148</v>
      </c>
      <c r="E1396" s="37">
        <v>40774</v>
      </c>
      <c r="F1396" s="40" t="s">
        <v>1072</v>
      </c>
      <c r="G1396" s="40"/>
      <c r="H1396" s="632" t="s">
        <v>1116</v>
      </c>
      <c r="I1396" s="260">
        <v>63</v>
      </c>
      <c r="J1396" s="260">
        <v>13941.065401820146</v>
      </c>
      <c r="K1396" s="618">
        <f t="shared" ref="K1396:K1411" si="111">ROUND(I1396*J1396,0)</f>
        <v>878287</v>
      </c>
      <c r="L1396" s="39" t="s">
        <v>169</v>
      </c>
      <c r="M1396" s="39" t="s">
        <v>167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909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1148</v>
      </c>
      <c r="E1397" s="37">
        <v>40774</v>
      </c>
      <c r="F1397" s="40" t="s">
        <v>1073</v>
      </c>
      <c r="G1397" s="40"/>
      <c r="H1397" s="632" t="s">
        <v>1116</v>
      </c>
      <c r="I1397" s="260">
        <v>138</v>
      </c>
      <c r="J1397" s="260">
        <v>7394.3987351534779</v>
      </c>
      <c r="K1397" s="618">
        <f t="shared" si="111"/>
        <v>1020427</v>
      </c>
      <c r="L1397" s="39" t="s">
        <v>169</v>
      </c>
      <c r="M1397" s="39" t="s">
        <v>167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909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1148</v>
      </c>
      <c r="E1398" s="37">
        <v>40774</v>
      </c>
      <c r="F1398" s="40" t="s">
        <v>1074</v>
      </c>
      <c r="G1398" s="40"/>
      <c r="H1398" s="632" t="s">
        <v>1116</v>
      </c>
      <c r="I1398" s="260">
        <v>279</v>
      </c>
      <c r="J1398" s="260">
        <v>8346.3987351534779</v>
      </c>
      <c r="K1398" s="618">
        <f t="shared" si="111"/>
        <v>2328645</v>
      </c>
      <c r="L1398" s="39" t="s">
        <v>169</v>
      </c>
      <c r="M1398" s="39" t="s">
        <v>167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909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1148</v>
      </c>
      <c r="E1399" s="37">
        <v>40774</v>
      </c>
      <c r="F1399" s="40" t="s">
        <v>1075</v>
      </c>
      <c r="G1399" s="40"/>
      <c r="H1399" s="632" t="s">
        <v>1116</v>
      </c>
      <c r="I1399" s="260">
        <v>41</v>
      </c>
      <c r="J1399" s="260">
        <v>10501.91093027543</v>
      </c>
      <c r="K1399" s="618">
        <f t="shared" si="111"/>
        <v>430578</v>
      </c>
      <c r="L1399" s="39" t="s">
        <v>169</v>
      </c>
      <c r="M1399" s="39" t="s">
        <v>167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909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1148</v>
      </c>
      <c r="E1400" s="37">
        <v>40774</v>
      </c>
      <c r="F1400" s="40" t="s">
        <v>1076</v>
      </c>
      <c r="G1400" s="40"/>
      <c r="H1400" s="632" t="s">
        <v>1116</v>
      </c>
      <c r="I1400" s="260">
        <v>151</v>
      </c>
      <c r="J1400" s="260">
        <v>10880.941781511094</v>
      </c>
      <c r="K1400" s="618">
        <f t="shared" si="111"/>
        <v>1643022</v>
      </c>
      <c r="L1400" s="39" t="s">
        <v>169</v>
      </c>
      <c r="M1400" s="39" t="s">
        <v>167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909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1148</v>
      </c>
      <c r="E1401" s="37">
        <v>40774</v>
      </c>
      <c r="F1401" s="40" t="s">
        <v>1077</v>
      </c>
      <c r="G1401" s="40"/>
      <c r="H1401" s="632" t="s">
        <v>1116</v>
      </c>
      <c r="I1401" s="260">
        <v>463</v>
      </c>
      <c r="J1401" s="260">
        <v>7955.6514349374957</v>
      </c>
      <c r="K1401" s="618">
        <f t="shared" si="111"/>
        <v>3683467</v>
      </c>
      <c r="L1401" s="39" t="s">
        <v>169</v>
      </c>
      <c r="M1401" s="39" t="s">
        <v>167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909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1148</v>
      </c>
      <c r="E1402" s="37">
        <v>40774</v>
      </c>
      <c r="F1402" s="40" t="s">
        <v>1078</v>
      </c>
      <c r="G1402" s="40"/>
      <c r="H1402" s="632" t="s">
        <v>1116</v>
      </c>
      <c r="I1402" s="260">
        <v>163</v>
      </c>
      <c r="J1402" s="260">
        <v>13015.711618589061</v>
      </c>
      <c r="K1402" s="618">
        <f t="shared" si="111"/>
        <v>2121561</v>
      </c>
      <c r="L1402" s="39" t="s">
        <v>169</v>
      </c>
      <c r="M1402" s="39" t="s">
        <v>167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909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1148</v>
      </c>
      <c r="E1403" s="37">
        <v>40774</v>
      </c>
      <c r="F1403" s="192" t="s">
        <v>779</v>
      </c>
      <c r="G1403" s="40"/>
      <c r="H1403" s="632" t="s">
        <v>1116</v>
      </c>
      <c r="I1403" s="260">
        <v>45</v>
      </c>
      <c r="J1403" s="260">
        <v>4446.9098462645898</v>
      </c>
      <c r="K1403" s="618">
        <f t="shared" si="111"/>
        <v>200111</v>
      </c>
      <c r="L1403" s="39" t="s">
        <v>169</v>
      </c>
      <c r="M1403" s="39" t="s">
        <v>167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909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996</v>
      </c>
      <c r="E1404" s="37">
        <v>40774</v>
      </c>
      <c r="F1404" s="40" t="s">
        <v>1072</v>
      </c>
      <c r="G1404" s="40" t="s">
        <v>1212</v>
      </c>
      <c r="H1404" s="632" t="s">
        <v>756</v>
      </c>
      <c r="I1404" s="260">
        <v>63</v>
      </c>
      <c r="J1404" s="260">
        <v>13941.065401820146</v>
      </c>
      <c r="K1404" s="618">
        <f t="shared" si="111"/>
        <v>878287</v>
      </c>
      <c r="L1404" s="39" t="s">
        <v>179</v>
      </c>
      <c r="M1404" s="39" t="s">
        <v>169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909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996</v>
      </c>
      <c r="E1405" s="37">
        <v>40774</v>
      </c>
      <c r="F1405" s="40" t="s">
        <v>1073</v>
      </c>
      <c r="G1405" s="40" t="s">
        <v>1212</v>
      </c>
      <c r="H1405" s="632" t="s">
        <v>756</v>
      </c>
      <c r="I1405" s="260">
        <v>138</v>
      </c>
      <c r="J1405" s="260">
        <v>7394.3987351534779</v>
      </c>
      <c r="K1405" s="618">
        <f t="shared" si="111"/>
        <v>1020427</v>
      </c>
      <c r="L1405" s="39" t="s">
        <v>179</v>
      </c>
      <c r="M1405" s="39" t="s">
        <v>169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909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996</v>
      </c>
      <c r="E1406" s="37">
        <v>40774</v>
      </c>
      <c r="F1406" s="40" t="s">
        <v>1074</v>
      </c>
      <c r="G1406" s="40" t="s">
        <v>1212</v>
      </c>
      <c r="H1406" s="632" t="s">
        <v>756</v>
      </c>
      <c r="I1406" s="260">
        <v>279</v>
      </c>
      <c r="J1406" s="260">
        <v>8346.3987351534779</v>
      </c>
      <c r="K1406" s="618">
        <f t="shared" si="111"/>
        <v>2328645</v>
      </c>
      <c r="L1406" s="39" t="s">
        <v>179</v>
      </c>
      <c r="M1406" s="39" t="s">
        <v>169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909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996</v>
      </c>
      <c r="E1407" s="37">
        <v>40774</v>
      </c>
      <c r="F1407" s="40" t="s">
        <v>1075</v>
      </c>
      <c r="G1407" s="40" t="s">
        <v>1212</v>
      </c>
      <c r="H1407" s="632" t="s">
        <v>756</v>
      </c>
      <c r="I1407" s="260">
        <v>41</v>
      </c>
      <c r="J1407" s="260">
        <v>10501.91093027543</v>
      </c>
      <c r="K1407" s="618">
        <f t="shared" si="111"/>
        <v>430578</v>
      </c>
      <c r="L1407" s="39" t="s">
        <v>179</v>
      </c>
      <c r="M1407" s="39" t="s">
        <v>169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909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996</v>
      </c>
      <c r="E1408" s="37">
        <v>40774</v>
      </c>
      <c r="F1408" s="40" t="s">
        <v>1076</v>
      </c>
      <c r="G1408" s="40" t="s">
        <v>1212</v>
      </c>
      <c r="H1408" s="632" t="s">
        <v>756</v>
      </c>
      <c r="I1408" s="260">
        <v>151</v>
      </c>
      <c r="J1408" s="260">
        <v>10880.941781511094</v>
      </c>
      <c r="K1408" s="618">
        <f t="shared" si="111"/>
        <v>1643022</v>
      </c>
      <c r="L1408" s="39" t="s">
        <v>179</v>
      </c>
      <c r="M1408" s="39" t="s">
        <v>169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909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996</v>
      </c>
      <c r="E1409" s="37">
        <v>40774</v>
      </c>
      <c r="F1409" s="40" t="s">
        <v>1077</v>
      </c>
      <c r="G1409" s="40" t="s">
        <v>1212</v>
      </c>
      <c r="H1409" s="632" t="s">
        <v>756</v>
      </c>
      <c r="I1409" s="260">
        <v>463</v>
      </c>
      <c r="J1409" s="260">
        <v>7955.6514349374957</v>
      </c>
      <c r="K1409" s="618">
        <f t="shared" si="111"/>
        <v>3683467</v>
      </c>
      <c r="L1409" s="39" t="s">
        <v>179</v>
      </c>
      <c r="M1409" s="39" t="s">
        <v>169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909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996</v>
      </c>
      <c r="E1410" s="37">
        <v>40774</v>
      </c>
      <c r="F1410" s="40" t="s">
        <v>1078</v>
      </c>
      <c r="G1410" s="40" t="s">
        <v>1212</v>
      </c>
      <c r="H1410" s="632" t="s">
        <v>756</v>
      </c>
      <c r="I1410" s="260">
        <v>163</v>
      </c>
      <c r="J1410" s="260">
        <v>13015.711618589061</v>
      </c>
      <c r="K1410" s="618">
        <f t="shared" si="111"/>
        <v>2121561</v>
      </c>
      <c r="L1410" s="39" t="s">
        <v>179</v>
      </c>
      <c r="M1410" s="39" t="s">
        <v>169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909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996</v>
      </c>
      <c r="E1411" s="37">
        <v>40774</v>
      </c>
      <c r="F1411" s="192" t="s">
        <v>779</v>
      </c>
      <c r="G1411" s="40" t="s">
        <v>1212</v>
      </c>
      <c r="H1411" s="632" t="s">
        <v>756</v>
      </c>
      <c r="I1411" s="260">
        <v>45</v>
      </c>
      <c r="J1411" s="260">
        <v>4446.9098462645898</v>
      </c>
      <c r="K1411" s="618">
        <f t="shared" si="111"/>
        <v>200111</v>
      </c>
      <c r="L1411" s="39" t="s">
        <v>179</v>
      </c>
      <c r="M1411" s="39" t="s">
        <v>169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909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682</v>
      </c>
      <c r="E1412" s="191">
        <v>40775</v>
      </c>
      <c r="F1412" s="192" t="s">
        <v>471</v>
      </c>
      <c r="G1412" s="502" t="s">
        <v>1178</v>
      </c>
      <c r="H1412" s="45" t="s">
        <v>474</v>
      </c>
      <c r="I1412" s="260"/>
      <c r="J1412" s="260"/>
      <c r="K1412" s="618">
        <v>569500</v>
      </c>
      <c r="L1412" s="194" t="s">
        <v>167</v>
      </c>
      <c r="M1412" s="194" t="s">
        <v>47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909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682</v>
      </c>
      <c r="E1413" s="191">
        <v>40775</v>
      </c>
      <c r="F1413" s="192" t="s">
        <v>472</v>
      </c>
      <c r="G1413" s="502" t="s">
        <v>1178</v>
      </c>
      <c r="H1413" s="45" t="s">
        <v>474</v>
      </c>
      <c r="I1413" s="260"/>
      <c r="J1413" s="260"/>
      <c r="K1413" s="38">
        <v>56950</v>
      </c>
      <c r="L1413" s="194" t="s">
        <v>9</v>
      </c>
      <c r="M1413" s="194" t="s">
        <v>47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909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684</v>
      </c>
      <c r="E1414" s="191">
        <v>40775</v>
      </c>
      <c r="F1414" s="192" t="s">
        <v>491</v>
      </c>
      <c r="G1414" s="499" t="s">
        <v>1179</v>
      </c>
      <c r="H1414" s="45" t="s">
        <v>495</v>
      </c>
      <c r="I1414" s="262"/>
      <c r="J1414" s="260"/>
      <c r="K1414" s="38">
        <v>752211</v>
      </c>
      <c r="L1414" s="194" t="s">
        <v>83</v>
      </c>
      <c r="M1414" s="619" t="s">
        <v>47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909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684</v>
      </c>
      <c r="E1415" s="191">
        <v>40775</v>
      </c>
      <c r="F1415" s="192" t="s">
        <v>494</v>
      </c>
      <c r="G1415" s="499" t="s">
        <v>1179</v>
      </c>
      <c r="H1415" s="45" t="s">
        <v>495</v>
      </c>
      <c r="I1415" s="262"/>
      <c r="J1415" s="260"/>
      <c r="K1415" s="38">
        <v>75221</v>
      </c>
      <c r="L1415" s="194" t="s">
        <v>9</v>
      </c>
      <c r="M1415" s="619" t="s">
        <v>47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909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1131</v>
      </c>
      <c r="E1416" s="802">
        <v>40775</v>
      </c>
      <c r="F1416" s="40" t="s">
        <v>620</v>
      </c>
      <c r="G1416" s="40"/>
      <c r="H1416" s="632" t="s">
        <v>1116</v>
      </c>
      <c r="I1416" s="260">
        <v>64</v>
      </c>
      <c r="J1416" s="260">
        <v>25942</v>
      </c>
      <c r="K1416" s="618">
        <f t="shared" ref="K1416:K1422" si="113">ROUND(I1416*J1416,0)</f>
        <v>1660288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909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1131</v>
      </c>
      <c r="E1417" s="802">
        <v>40775</v>
      </c>
      <c r="F1417" s="189" t="s">
        <v>591</v>
      </c>
      <c r="G1417" s="40"/>
      <c r="H1417" s="632" t="s">
        <v>1116</v>
      </c>
      <c r="I1417" s="260">
        <v>83</v>
      </c>
      <c r="J1417" s="260">
        <v>24030</v>
      </c>
      <c r="K1417" s="618">
        <f t="shared" si="113"/>
        <v>1994490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909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1131</v>
      </c>
      <c r="E1418" s="802">
        <v>40775</v>
      </c>
      <c r="F1418" s="189" t="s">
        <v>542</v>
      </c>
      <c r="G1418" s="40"/>
      <c r="H1418" s="632" t="s">
        <v>1116</v>
      </c>
      <c r="I1418" s="260">
        <v>9</v>
      </c>
      <c r="J1418" s="260">
        <v>10603</v>
      </c>
      <c r="K1418" s="618">
        <f t="shared" si="113"/>
        <v>95427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909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1131</v>
      </c>
      <c r="E1419" s="802">
        <v>40775</v>
      </c>
      <c r="F1419" s="189" t="s">
        <v>542</v>
      </c>
      <c r="G1419" s="40"/>
      <c r="H1419" s="632" t="s">
        <v>1116</v>
      </c>
      <c r="I1419" s="260">
        <v>120</v>
      </c>
      <c r="J1419" s="260">
        <v>10603</v>
      </c>
      <c r="K1419" s="618">
        <f t="shared" si="113"/>
        <v>1272360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909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1131</v>
      </c>
      <c r="E1420" s="802">
        <v>40775</v>
      </c>
      <c r="F1420" s="189" t="s">
        <v>410</v>
      </c>
      <c r="G1420" s="40"/>
      <c r="H1420" s="632" t="s">
        <v>1116</v>
      </c>
      <c r="I1420" s="851">
        <v>86</v>
      </c>
      <c r="J1420" s="260">
        <v>4449</v>
      </c>
      <c r="K1420" s="618">
        <f t="shared" si="113"/>
        <v>382614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909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1131</v>
      </c>
      <c r="E1421" s="802">
        <v>40775</v>
      </c>
      <c r="F1421" s="302" t="s">
        <v>501</v>
      </c>
      <c r="G1421" s="40"/>
      <c r="H1421" s="632" t="s">
        <v>1116</v>
      </c>
      <c r="I1421" s="260">
        <v>24</v>
      </c>
      <c r="J1421" s="260">
        <v>4592</v>
      </c>
      <c r="K1421" s="618">
        <f t="shared" si="113"/>
        <v>110208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909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1131</v>
      </c>
      <c r="E1422" s="802">
        <v>40775</v>
      </c>
      <c r="F1422" s="302" t="s">
        <v>501</v>
      </c>
      <c r="G1422" s="40"/>
      <c r="H1422" s="632" t="s">
        <v>1116</v>
      </c>
      <c r="I1422" s="260">
        <v>9</v>
      </c>
      <c r="J1422" s="260">
        <v>4592</v>
      </c>
      <c r="K1422" s="618">
        <f t="shared" si="113"/>
        <v>41328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909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356</v>
      </c>
      <c r="E1423" s="184">
        <v>40780</v>
      </c>
      <c r="F1423" s="189" t="s">
        <v>387</v>
      </c>
      <c r="G1423" s="620" t="s">
        <v>353</v>
      </c>
      <c r="H1423" s="7"/>
      <c r="I1423" s="260"/>
      <c r="J1423" s="260"/>
      <c r="K1423" s="618">
        <v>49637</v>
      </c>
      <c r="L1423" s="619" t="s">
        <v>24</v>
      </c>
      <c r="M1423" s="619" t="s">
        <v>40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909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838</v>
      </c>
      <c r="E1424" s="191">
        <v>40780</v>
      </c>
      <c r="F1424" s="192" t="s">
        <v>358</v>
      </c>
      <c r="G1424" s="502" t="s">
        <v>1213</v>
      </c>
      <c r="H1424" s="193" t="s">
        <v>783</v>
      </c>
      <c r="I1424" s="260"/>
      <c r="J1424" s="260"/>
      <c r="K1424" s="618">
        <v>9791100</v>
      </c>
      <c r="L1424" s="194" t="s">
        <v>47</v>
      </c>
      <c r="M1424" s="194" t="s">
        <v>274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909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997</v>
      </c>
      <c r="E1425" s="191">
        <v>40780</v>
      </c>
      <c r="F1425" s="192" t="s">
        <v>1042</v>
      </c>
      <c r="G1425" s="502" t="s">
        <v>1213</v>
      </c>
      <c r="H1425" s="193" t="s">
        <v>783</v>
      </c>
      <c r="I1425" s="260">
        <v>989</v>
      </c>
      <c r="J1425" s="260">
        <v>9000</v>
      </c>
      <c r="K1425" s="618">
        <v>8901000</v>
      </c>
      <c r="L1425" s="194" t="s">
        <v>274</v>
      </c>
      <c r="M1425" s="194" t="s">
        <v>181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909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997</v>
      </c>
      <c r="E1426" s="191">
        <v>40780</v>
      </c>
      <c r="F1426" s="192" t="s">
        <v>1200</v>
      </c>
      <c r="G1426" s="502" t="s">
        <v>1213</v>
      </c>
      <c r="H1426" s="193" t="s">
        <v>783</v>
      </c>
      <c r="I1426" s="262"/>
      <c r="J1426" s="262"/>
      <c r="K1426" s="618">
        <v>890100</v>
      </c>
      <c r="L1426" s="194" t="s">
        <v>274</v>
      </c>
      <c r="M1426" s="194" t="s">
        <v>754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909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1149</v>
      </c>
      <c r="E1427" s="37">
        <v>40780</v>
      </c>
      <c r="F1427" s="40" t="s">
        <v>1042</v>
      </c>
      <c r="G1427" s="40"/>
      <c r="H1427" s="632" t="s">
        <v>1116</v>
      </c>
      <c r="I1427" s="260">
        <v>989</v>
      </c>
      <c r="J1427" s="260">
        <v>8346.3987351534779</v>
      </c>
      <c r="K1427" s="618">
        <f>ROUND(I1427*J1427,0)</f>
        <v>8254588</v>
      </c>
      <c r="L1427" s="39" t="s">
        <v>169</v>
      </c>
      <c r="M1427" s="39" t="s">
        <v>167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909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997</v>
      </c>
      <c r="E1428" s="37">
        <v>40780</v>
      </c>
      <c r="F1428" s="40" t="s">
        <v>1042</v>
      </c>
      <c r="G1428" s="40" t="s">
        <v>1213</v>
      </c>
      <c r="H1428" s="632" t="s">
        <v>783</v>
      </c>
      <c r="I1428" s="260">
        <v>989</v>
      </c>
      <c r="J1428" s="260">
        <v>8346.3987351534779</v>
      </c>
      <c r="K1428" s="618">
        <f>ROUND(I1428*J1428,0)</f>
        <v>8254588</v>
      </c>
      <c r="L1428" s="39" t="s">
        <v>179</v>
      </c>
      <c r="M1428" s="39" t="s">
        <v>169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909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998</v>
      </c>
      <c r="E1429" s="191">
        <v>40781</v>
      </c>
      <c r="F1429" s="192" t="s">
        <v>1079</v>
      </c>
      <c r="G1429" s="502" t="s">
        <v>1214</v>
      </c>
      <c r="H1429" s="7" t="s">
        <v>756</v>
      </c>
      <c r="I1429" s="260">
        <v>194</v>
      </c>
      <c r="J1429" s="260">
        <v>9793</v>
      </c>
      <c r="K1429" s="618">
        <v>1899842</v>
      </c>
      <c r="L1429" s="194" t="s">
        <v>274</v>
      </c>
      <c r="M1429" s="194" t="s">
        <v>181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909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998</v>
      </c>
      <c r="E1430" s="191">
        <v>40781</v>
      </c>
      <c r="F1430" s="192" t="s">
        <v>1080</v>
      </c>
      <c r="G1430" s="502" t="s">
        <v>1214</v>
      </c>
      <c r="H1430" s="7" t="s">
        <v>756</v>
      </c>
      <c r="I1430" s="260">
        <v>106</v>
      </c>
      <c r="J1430" s="260">
        <v>8874</v>
      </c>
      <c r="K1430" s="618">
        <v>940644</v>
      </c>
      <c r="L1430" s="194" t="s">
        <v>274</v>
      </c>
      <c r="M1430" s="194" t="s">
        <v>181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909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998</v>
      </c>
      <c r="E1431" s="191">
        <v>40781</v>
      </c>
      <c r="F1431" s="192" t="s">
        <v>1081</v>
      </c>
      <c r="G1431" s="502" t="s">
        <v>1214</v>
      </c>
      <c r="H1431" s="7" t="s">
        <v>756</v>
      </c>
      <c r="I1431" s="260">
        <v>150</v>
      </c>
      <c r="J1431" s="260">
        <v>4422</v>
      </c>
      <c r="K1431" s="618">
        <v>663300</v>
      </c>
      <c r="L1431" s="194" t="s">
        <v>274</v>
      </c>
      <c r="M1431" s="194" t="s">
        <v>181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909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998</v>
      </c>
      <c r="E1432" s="191">
        <v>40781</v>
      </c>
      <c r="F1432" s="192" t="s">
        <v>1082</v>
      </c>
      <c r="G1432" s="502" t="s">
        <v>1214</v>
      </c>
      <c r="H1432" s="7" t="s">
        <v>756</v>
      </c>
      <c r="I1432" s="260">
        <v>1</v>
      </c>
      <c r="J1432" s="260">
        <v>5734</v>
      </c>
      <c r="K1432" s="618">
        <v>5734</v>
      </c>
      <c r="L1432" s="194" t="s">
        <v>274</v>
      </c>
      <c r="M1432" s="194" t="s">
        <v>181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909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998</v>
      </c>
      <c r="E1433" s="191">
        <v>40781</v>
      </c>
      <c r="F1433" s="192" t="s">
        <v>1083</v>
      </c>
      <c r="G1433" s="502" t="s">
        <v>1214</v>
      </c>
      <c r="H1433" s="7" t="s">
        <v>756</v>
      </c>
      <c r="I1433" s="260">
        <v>133</v>
      </c>
      <c r="J1433" s="260">
        <v>8398</v>
      </c>
      <c r="K1433" s="618">
        <v>1116934</v>
      </c>
      <c r="L1433" s="194" t="s">
        <v>274</v>
      </c>
      <c r="M1433" s="194" t="s">
        <v>181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909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998</v>
      </c>
      <c r="E1434" s="191">
        <v>40781</v>
      </c>
      <c r="F1434" s="192" t="s">
        <v>1084</v>
      </c>
      <c r="G1434" s="502" t="s">
        <v>1214</v>
      </c>
      <c r="H1434" s="7" t="s">
        <v>756</v>
      </c>
      <c r="I1434" s="260">
        <v>141</v>
      </c>
      <c r="J1434" s="260">
        <v>9538</v>
      </c>
      <c r="K1434" s="618">
        <v>1344858</v>
      </c>
      <c r="L1434" s="194" t="s">
        <v>274</v>
      </c>
      <c r="M1434" s="194" t="s">
        <v>181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909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998</v>
      </c>
      <c r="E1435" s="191">
        <v>40781</v>
      </c>
      <c r="F1435" s="192" t="s">
        <v>1085</v>
      </c>
      <c r="G1435" s="502" t="s">
        <v>1214</v>
      </c>
      <c r="H1435" s="7" t="s">
        <v>756</v>
      </c>
      <c r="I1435" s="260">
        <v>292</v>
      </c>
      <c r="J1435" s="260">
        <v>10534</v>
      </c>
      <c r="K1435" s="618">
        <v>3075928</v>
      </c>
      <c r="L1435" s="194" t="s">
        <v>274</v>
      </c>
      <c r="M1435" s="194" t="s">
        <v>181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909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998</v>
      </c>
      <c r="E1436" s="191">
        <v>40781</v>
      </c>
      <c r="F1436" s="192" t="s">
        <v>872</v>
      </c>
      <c r="G1436" s="502" t="s">
        <v>1214</v>
      </c>
      <c r="H1436" s="7" t="s">
        <v>756</v>
      </c>
      <c r="I1436" s="260"/>
      <c r="J1436" s="260"/>
      <c r="K1436" s="38">
        <v>904724</v>
      </c>
      <c r="L1436" s="194" t="s">
        <v>274</v>
      </c>
      <c r="M1436" s="194" t="s">
        <v>754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909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999</v>
      </c>
      <c r="E1437" s="191">
        <v>40781</v>
      </c>
      <c r="F1437" s="192" t="s">
        <v>1086</v>
      </c>
      <c r="G1437" s="502" t="s">
        <v>1215</v>
      </c>
      <c r="H1437" s="7" t="s">
        <v>756</v>
      </c>
      <c r="I1437" s="260">
        <v>1</v>
      </c>
      <c r="J1437" s="260">
        <v>11261</v>
      </c>
      <c r="K1437" s="618">
        <v>11261</v>
      </c>
      <c r="L1437" s="194" t="s">
        <v>274</v>
      </c>
      <c r="M1437" s="194" t="s">
        <v>181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909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999</v>
      </c>
      <c r="E1438" s="191">
        <v>40781</v>
      </c>
      <c r="F1438" s="192" t="s">
        <v>1087</v>
      </c>
      <c r="G1438" s="502" t="s">
        <v>1215</v>
      </c>
      <c r="H1438" s="7" t="s">
        <v>756</v>
      </c>
      <c r="I1438" s="260">
        <v>1</v>
      </c>
      <c r="J1438" s="260">
        <v>10033</v>
      </c>
      <c r="K1438" s="618">
        <v>10033</v>
      </c>
      <c r="L1438" s="194" t="s">
        <v>274</v>
      </c>
      <c r="M1438" s="194" t="s">
        <v>181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909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999</v>
      </c>
      <c r="E1439" s="191">
        <v>40781</v>
      </c>
      <c r="F1439" s="192" t="s">
        <v>1088</v>
      </c>
      <c r="G1439" s="502" t="s">
        <v>1215</v>
      </c>
      <c r="H1439" s="7" t="s">
        <v>756</v>
      </c>
      <c r="I1439" s="262">
        <v>1</v>
      </c>
      <c r="J1439" s="262">
        <v>12495</v>
      </c>
      <c r="K1439" s="618">
        <v>12495</v>
      </c>
      <c r="L1439" s="194" t="s">
        <v>274</v>
      </c>
      <c r="M1439" s="194" t="s">
        <v>181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909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999</v>
      </c>
      <c r="E1440" s="191">
        <v>40781</v>
      </c>
      <c r="F1440" s="192" t="s">
        <v>1089</v>
      </c>
      <c r="G1440" s="502" t="s">
        <v>1215</v>
      </c>
      <c r="H1440" s="7" t="s">
        <v>756</v>
      </c>
      <c r="I1440" s="260">
        <v>824</v>
      </c>
      <c r="J1440" s="260">
        <v>14369</v>
      </c>
      <c r="K1440" s="618">
        <v>11840056</v>
      </c>
      <c r="L1440" s="194" t="s">
        <v>274</v>
      </c>
      <c r="M1440" s="194" t="s">
        <v>181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909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999</v>
      </c>
      <c r="E1441" s="191">
        <v>40781</v>
      </c>
      <c r="F1441" s="192" t="s">
        <v>1090</v>
      </c>
      <c r="G1441" s="502" t="s">
        <v>1215</v>
      </c>
      <c r="H1441" s="7" t="s">
        <v>756</v>
      </c>
      <c r="I1441" s="260">
        <v>2</v>
      </c>
      <c r="J1441" s="260">
        <v>9960</v>
      </c>
      <c r="K1441" s="618">
        <v>19920</v>
      </c>
      <c r="L1441" s="194" t="s">
        <v>274</v>
      </c>
      <c r="M1441" s="194" t="s">
        <v>181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909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999</v>
      </c>
      <c r="E1442" s="191">
        <v>40781</v>
      </c>
      <c r="F1442" s="192" t="s">
        <v>1091</v>
      </c>
      <c r="G1442" s="502" t="s">
        <v>1215</v>
      </c>
      <c r="H1442" s="7" t="s">
        <v>756</v>
      </c>
      <c r="I1442" s="262">
        <v>1</v>
      </c>
      <c r="J1442" s="262">
        <v>10656</v>
      </c>
      <c r="K1442" s="618">
        <v>10656</v>
      </c>
      <c r="L1442" s="194" t="s">
        <v>274</v>
      </c>
      <c r="M1442" s="194" t="s">
        <v>181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909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999</v>
      </c>
      <c r="E1443" s="191">
        <v>40781</v>
      </c>
      <c r="F1443" s="192" t="s">
        <v>1092</v>
      </c>
      <c r="G1443" s="502" t="s">
        <v>1215</v>
      </c>
      <c r="H1443" s="7" t="s">
        <v>756</v>
      </c>
      <c r="I1443" s="260">
        <v>747</v>
      </c>
      <c r="J1443" s="260">
        <v>13939</v>
      </c>
      <c r="K1443" s="618">
        <v>10412433</v>
      </c>
      <c r="L1443" s="194" t="s">
        <v>274</v>
      </c>
      <c r="M1443" s="194" t="s">
        <v>181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909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999</v>
      </c>
      <c r="E1444" s="191">
        <v>40781</v>
      </c>
      <c r="F1444" s="192" t="s">
        <v>1093</v>
      </c>
      <c r="G1444" s="502" t="s">
        <v>1215</v>
      </c>
      <c r="H1444" s="7" t="s">
        <v>756</v>
      </c>
      <c r="I1444" s="260">
        <v>70</v>
      </c>
      <c r="J1444" s="260">
        <v>15066</v>
      </c>
      <c r="K1444" s="618">
        <v>1054620</v>
      </c>
      <c r="L1444" s="194" t="s">
        <v>274</v>
      </c>
      <c r="M1444" s="194" t="s">
        <v>181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909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999</v>
      </c>
      <c r="E1445" s="191">
        <v>40781</v>
      </c>
      <c r="F1445" s="192" t="s">
        <v>872</v>
      </c>
      <c r="G1445" s="502" t="s">
        <v>1215</v>
      </c>
      <c r="H1445" s="7" t="s">
        <v>756</v>
      </c>
      <c r="I1445" s="260"/>
      <c r="J1445" s="260"/>
      <c r="K1445" s="38">
        <v>2337147</v>
      </c>
      <c r="L1445" s="194" t="s">
        <v>274</v>
      </c>
      <c r="M1445" s="194" t="s">
        <v>754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909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1150</v>
      </c>
      <c r="E1446" s="37">
        <v>40781</v>
      </c>
      <c r="F1446" s="40" t="s">
        <v>1079</v>
      </c>
      <c r="G1446" s="40"/>
      <c r="H1446" s="632" t="s">
        <v>1116</v>
      </c>
      <c r="I1446" s="260">
        <v>194</v>
      </c>
      <c r="J1446" s="260">
        <v>7523.8987351534788</v>
      </c>
      <c r="K1446" s="618">
        <f t="shared" ref="K1446:K1475" si="116">ROUND(I1446*J1446,0)</f>
        <v>1459636</v>
      </c>
      <c r="L1446" s="39" t="s">
        <v>169</v>
      </c>
      <c r="M1446" s="39" t="s">
        <v>167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909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1150</v>
      </c>
      <c r="E1447" s="37">
        <v>40781</v>
      </c>
      <c r="F1447" s="40" t="s">
        <v>1080</v>
      </c>
      <c r="G1447" s="40"/>
      <c r="H1447" s="632" t="s">
        <v>1116</v>
      </c>
      <c r="I1447" s="260">
        <v>106</v>
      </c>
      <c r="J1447" s="260">
        <v>7394.3987351534788</v>
      </c>
      <c r="K1447" s="618">
        <f t="shared" si="116"/>
        <v>783806</v>
      </c>
      <c r="L1447" s="39" t="s">
        <v>169</v>
      </c>
      <c r="M1447" s="39" t="s">
        <v>167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909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1150</v>
      </c>
      <c r="E1448" s="37">
        <v>40781</v>
      </c>
      <c r="F1448" s="40" t="s">
        <v>1081</v>
      </c>
      <c r="G1448" s="40"/>
      <c r="H1448" s="632" t="s">
        <v>1116</v>
      </c>
      <c r="I1448" s="260">
        <v>150</v>
      </c>
      <c r="J1448" s="260">
        <v>4446.8987351534779</v>
      </c>
      <c r="K1448" s="618">
        <f t="shared" si="116"/>
        <v>667035</v>
      </c>
      <c r="L1448" s="39" t="s">
        <v>169</v>
      </c>
      <c r="M1448" s="39" t="s">
        <v>167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909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1150</v>
      </c>
      <c r="E1449" s="37">
        <v>40781</v>
      </c>
      <c r="F1449" s="40" t="s">
        <v>1082</v>
      </c>
      <c r="G1449" s="40"/>
      <c r="H1449" s="632" t="s">
        <v>1116</v>
      </c>
      <c r="I1449" s="260">
        <v>1</v>
      </c>
      <c r="J1449" s="260">
        <v>4447.3987351534788</v>
      </c>
      <c r="K1449" s="618">
        <f t="shared" si="116"/>
        <v>4447</v>
      </c>
      <c r="L1449" s="39" t="s">
        <v>169</v>
      </c>
      <c r="M1449" s="39" t="s">
        <v>167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909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1150</v>
      </c>
      <c r="E1450" s="37">
        <v>40781</v>
      </c>
      <c r="F1450" s="40" t="s">
        <v>1083</v>
      </c>
      <c r="G1450" s="40"/>
      <c r="H1450" s="632" t="s">
        <v>1116</v>
      </c>
      <c r="I1450" s="260">
        <v>133</v>
      </c>
      <c r="J1450" s="260">
        <v>7394.3987351534779</v>
      </c>
      <c r="K1450" s="618">
        <f t="shared" si="116"/>
        <v>983455</v>
      </c>
      <c r="L1450" s="39" t="s">
        <v>169</v>
      </c>
      <c r="M1450" s="39" t="s">
        <v>167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909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1150</v>
      </c>
      <c r="E1451" s="37">
        <v>40781</v>
      </c>
      <c r="F1451" s="40" t="s">
        <v>1084</v>
      </c>
      <c r="G1451" s="40"/>
      <c r="H1451" s="632" t="s">
        <v>1116</v>
      </c>
      <c r="I1451" s="260">
        <v>141</v>
      </c>
      <c r="J1451" s="260">
        <v>8346.3987351534779</v>
      </c>
      <c r="K1451" s="618">
        <f t="shared" si="116"/>
        <v>1176842</v>
      </c>
      <c r="L1451" s="39" t="s">
        <v>169</v>
      </c>
      <c r="M1451" s="39" t="s">
        <v>167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909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1150</v>
      </c>
      <c r="E1452" s="37">
        <v>40781</v>
      </c>
      <c r="F1452" s="40" t="s">
        <v>1085</v>
      </c>
      <c r="G1452" s="40"/>
      <c r="H1452" s="632" t="s">
        <v>1116</v>
      </c>
      <c r="I1452" s="260">
        <v>292</v>
      </c>
      <c r="J1452" s="260">
        <v>8227.7617488521064</v>
      </c>
      <c r="K1452" s="618">
        <f t="shared" si="116"/>
        <v>2402506</v>
      </c>
      <c r="L1452" s="39" t="s">
        <v>169</v>
      </c>
      <c r="M1452" s="39" t="s">
        <v>167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909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1150</v>
      </c>
      <c r="E1453" s="37">
        <v>40781</v>
      </c>
      <c r="F1453" s="40" t="s">
        <v>1086</v>
      </c>
      <c r="G1453" s="40"/>
      <c r="H1453" s="632" t="s">
        <v>1116</v>
      </c>
      <c r="I1453" s="260">
        <v>1</v>
      </c>
      <c r="J1453" s="260">
        <v>10374.398735153478</v>
      </c>
      <c r="K1453" s="618">
        <f t="shared" si="116"/>
        <v>10374</v>
      </c>
      <c r="L1453" s="39" t="s">
        <v>169</v>
      </c>
      <c r="M1453" s="39" t="s">
        <v>167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909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1150</v>
      </c>
      <c r="E1454" s="37">
        <v>40781</v>
      </c>
      <c r="F1454" s="40" t="s">
        <v>1087</v>
      </c>
      <c r="G1454" s="40"/>
      <c r="H1454" s="632" t="s">
        <v>1116</v>
      </c>
      <c r="I1454" s="260">
        <v>1</v>
      </c>
      <c r="J1454" s="260">
        <v>9490.3987351534779</v>
      </c>
      <c r="K1454" s="618">
        <f t="shared" si="116"/>
        <v>9490</v>
      </c>
      <c r="L1454" s="39" t="s">
        <v>169</v>
      </c>
      <c r="M1454" s="39" t="s">
        <v>167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909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1151</v>
      </c>
      <c r="E1455" s="37">
        <v>40781</v>
      </c>
      <c r="F1455" s="40" t="s">
        <v>1088</v>
      </c>
      <c r="G1455" s="40"/>
      <c r="H1455" s="632" t="s">
        <v>1116</v>
      </c>
      <c r="I1455" s="260">
        <v>1</v>
      </c>
      <c r="J1455" s="260">
        <v>10309.398735153478</v>
      </c>
      <c r="K1455" s="618">
        <f t="shared" si="116"/>
        <v>10309</v>
      </c>
      <c r="L1455" s="39" t="s">
        <v>169</v>
      </c>
      <c r="M1455" s="39" t="s">
        <v>167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909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1151</v>
      </c>
      <c r="E1456" s="37">
        <v>40781</v>
      </c>
      <c r="F1456" s="40" t="s">
        <v>1089</v>
      </c>
      <c r="G1456" s="40"/>
      <c r="H1456" s="632" t="s">
        <v>1116</v>
      </c>
      <c r="I1456" s="260">
        <v>824</v>
      </c>
      <c r="J1456" s="260">
        <v>12949.898735153478</v>
      </c>
      <c r="K1456" s="618">
        <f t="shared" si="116"/>
        <v>10670717</v>
      </c>
      <c r="L1456" s="39" t="s">
        <v>169</v>
      </c>
      <c r="M1456" s="39" t="s">
        <v>167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909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1151</v>
      </c>
      <c r="E1457" s="37">
        <v>40781</v>
      </c>
      <c r="F1457" s="40" t="s">
        <v>1090</v>
      </c>
      <c r="G1457" s="40"/>
      <c r="H1457" s="632" t="s">
        <v>1116</v>
      </c>
      <c r="I1457" s="260">
        <v>2</v>
      </c>
      <c r="J1457" s="260">
        <v>8346.3987351534797</v>
      </c>
      <c r="K1457" s="618">
        <f t="shared" si="116"/>
        <v>16693</v>
      </c>
      <c r="L1457" s="39" t="s">
        <v>169</v>
      </c>
      <c r="M1457" s="39" t="s">
        <v>167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909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1151</v>
      </c>
      <c r="E1458" s="37">
        <v>40781</v>
      </c>
      <c r="F1458" s="40" t="s">
        <v>1091</v>
      </c>
      <c r="G1458" s="40"/>
      <c r="H1458" s="632" t="s">
        <v>1116</v>
      </c>
      <c r="I1458" s="260">
        <v>1</v>
      </c>
      <c r="J1458" s="260">
        <v>10374.398735153478</v>
      </c>
      <c r="K1458" s="618">
        <f t="shared" si="116"/>
        <v>10374</v>
      </c>
      <c r="L1458" s="39" t="s">
        <v>169</v>
      </c>
      <c r="M1458" s="39" t="s">
        <v>167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909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1151</v>
      </c>
      <c r="E1459" s="37">
        <v>40781</v>
      </c>
      <c r="F1459" s="40" t="s">
        <v>1092</v>
      </c>
      <c r="G1459" s="40"/>
      <c r="H1459" s="632" t="s">
        <v>1116</v>
      </c>
      <c r="I1459" s="260">
        <v>747</v>
      </c>
      <c r="J1459" s="260">
        <v>11850.912791378378</v>
      </c>
      <c r="K1459" s="618">
        <f t="shared" si="116"/>
        <v>8852632</v>
      </c>
      <c r="L1459" s="39" t="s">
        <v>169</v>
      </c>
      <c r="M1459" s="39" t="s">
        <v>167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909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1151</v>
      </c>
      <c r="E1460" s="37">
        <v>40781</v>
      </c>
      <c r="F1460" s="40" t="s">
        <v>1093</v>
      </c>
      <c r="G1460" s="40"/>
      <c r="H1460" s="632" t="s">
        <v>1116</v>
      </c>
      <c r="I1460" s="260">
        <v>70</v>
      </c>
      <c r="J1460" s="260">
        <v>13625.39873515348</v>
      </c>
      <c r="K1460" s="618">
        <f t="shared" si="116"/>
        <v>953778</v>
      </c>
      <c r="L1460" s="39" t="s">
        <v>169</v>
      </c>
      <c r="M1460" s="39" t="s">
        <v>167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909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998</v>
      </c>
      <c r="E1461" s="37">
        <v>40781</v>
      </c>
      <c r="F1461" s="40" t="s">
        <v>1079</v>
      </c>
      <c r="G1461" s="40" t="s">
        <v>1214</v>
      </c>
      <c r="H1461" s="632" t="s">
        <v>756</v>
      </c>
      <c r="I1461" s="260">
        <v>194</v>
      </c>
      <c r="J1461" s="260">
        <v>7523.8987351534788</v>
      </c>
      <c r="K1461" s="618">
        <f t="shared" si="116"/>
        <v>1459636</v>
      </c>
      <c r="L1461" s="39" t="s">
        <v>179</v>
      </c>
      <c r="M1461" s="39" t="s">
        <v>169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909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998</v>
      </c>
      <c r="E1462" s="37">
        <v>40781</v>
      </c>
      <c r="F1462" s="40" t="s">
        <v>1080</v>
      </c>
      <c r="G1462" s="40" t="s">
        <v>1214</v>
      </c>
      <c r="H1462" s="632" t="s">
        <v>756</v>
      </c>
      <c r="I1462" s="260">
        <v>106</v>
      </c>
      <c r="J1462" s="260">
        <v>7394.3987351534788</v>
      </c>
      <c r="K1462" s="618">
        <f t="shared" si="116"/>
        <v>783806</v>
      </c>
      <c r="L1462" s="39" t="s">
        <v>179</v>
      </c>
      <c r="M1462" s="39" t="s">
        <v>169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909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998</v>
      </c>
      <c r="E1463" s="37">
        <v>40781</v>
      </c>
      <c r="F1463" s="40" t="s">
        <v>1081</v>
      </c>
      <c r="G1463" s="40" t="s">
        <v>1214</v>
      </c>
      <c r="H1463" s="632" t="s">
        <v>756</v>
      </c>
      <c r="I1463" s="260">
        <v>150</v>
      </c>
      <c r="J1463" s="260">
        <v>4446.8987351534779</v>
      </c>
      <c r="K1463" s="618">
        <f t="shared" si="116"/>
        <v>667035</v>
      </c>
      <c r="L1463" s="39" t="s">
        <v>179</v>
      </c>
      <c r="M1463" s="39" t="s">
        <v>169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909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998</v>
      </c>
      <c r="E1464" s="37">
        <v>40781</v>
      </c>
      <c r="F1464" s="40" t="s">
        <v>1082</v>
      </c>
      <c r="G1464" s="40" t="s">
        <v>1214</v>
      </c>
      <c r="H1464" s="632" t="s">
        <v>756</v>
      </c>
      <c r="I1464" s="260">
        <v>1</v>
      </c>
      <c r="J1464" s="260">
        <v>4447.3987351534788</v>
      </c>
      <c r="K1464" s="618">
        <f t="shared" si="116"/>
        <v>4447</v>
      </c>
      <c r="L1464" s="39" t="s">
        <v>179</v>
      </c>
      <c r="M1464" s="39" t="s">
        <v>169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909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998</v>
      </c>
      <c r="E1465" s="37">
        <v>40781</v>
      </c>
      <c r="F1465" s="40" t="s">
        <v>1083</v>
      </c>
      <c r="G1465" s="40" t="s">
        <v>1214</v>
      </c>
      <c r="H1465" s="632" t="s">
        <v>756</v>
      </c>
      <c r="I1465" s="260">
        <v>133</v>
      </c>
      <c r="J1465" s="260">
        <v>7394.3987351534779</v>
      </c>
      <c r="K1465" s="618">
        <f t="shared" si="116"/>
        <v>983455</v>
      </c>
      <c r="L1465" s="39" t="s">
        <v>179</v>
      </c>
      <c r="M1465" s="39" t="s">
        <v>169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909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998</v>
      </c>
      <c r="E1466" s="37">
        <v>40781</v>
      </c>
      <c r="F1466" s="40" t="s">
        <v>1084</v>
      </c>
      <c r="G1466" s="40" t="s">
        <v>1214</v>
      </c>
      <c r="H1466" s="632" t="s">
        <v>756</v>
      </c>
      <c r="I1466" s="260">
        <v>141</v>
      </c>
      <c r="J1466" s="260">
        <v>8346.3987351534779</v>
      </c>
      <c r="K1466" s="618">
        <f t="shared" si="116"/>
        <v>1176842</v>
      </c>
      <c r="L1466" s="39" t="s">
        <v>179</v>
      </c>
      <c r="M1466" s="39" t="s">
        <v>169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909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998</v>
      </c>
      <c r="E1467" s="37">
        <v>40781</v>
      </c>
      <c r="F1467" s="40" t="s">
        <v>1085</v>
      </c>
      <c r="G1467" s="40" t="s">
        <v>1214</v>
      </c>
      <c r="H1467" s="632" t="s">
        <v>756</v>
      </c>
      <c r="I1467" s="260">
        <v>292</v>
      </c>
      <c r="J1467" s="260">
        <v>8227.7617488521064</v>
      </c>
      <c r="K1467" s="618">
        <f t="shared" si="116"/>
        <v>2402506</v>
      </c>
      <c r="L1467" s="39" t="s">
        <v>179</v>
      </c>
      <c r="M1467" s="39" t="s">
        <v>169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909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999</v>
      </c>
      <c r="E1468" s="37">
        <v>40781</v>
      </c>
      <c r="F1468" s="40" t="s">
        <v>1086</v>
      </c>
      <c r="G1468" s="40" t="s">
        <v>1215</v>
      </c>
      <c r="H1468" s="632" t="s">
        <v>756</v>
      </c>
      <c r="I1468" s="260">
        <v>1</v>
      </c>
      <c r="J1468" s="260">
        <v>10374.398735153478</v>
      </c>
      <c r="K1468" s="618">
        <f t="shared" si="116"/>
        <v>10374</v>
      </c>
      <c r="L1468" s="39" t="s">
        <v>179</v>
      </c>
      <c r="M1468" s="39" t="s">
        <v>169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909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999</v>
      </c>
      <c r="E1469" s="37">
        <v>40781</v>
      </c>
      <c r="F1469" s="40" t="s">
        <v>1087</v>
      </c>
      <c r="G1469" s="40" t="s">
        <v>1215</v>
      </c>
      <c r="H1469" s="632" t="s">
        <v>756</v>
      </c>
      <c r="I1469" s="260">
        <v>1</v>
      </c>
      <c r="J1469" s="260">
        <v>9490.3987351534779</v>
      </c>
      <c r="K1469" s="618">
        <f t="shared" si="116"/>
        <v>9490</v>
      </c>
      <c r="L1469" s="39" t="s">
        <v>179</v>
      </c>
      <c r="M1469" s="39" t="s">
        <v>169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909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999</v>
      </c>
      <c r="E1470" s="37">
        <v>40781</v>
      </c>
      <c r="F1470" s="40" t="s">
        <v>1088</v>
      </c>
      <c r="G1470" s="40" t="s">
        <v>1215</v>
      </c>
      <c r="H1470" s="632" t="s">
        <v>756</v>
      </c>
      <c r="I1470" s="260">
        <v>1</v>
      </c>
      <c r="J1470" s="260">
        <v>10309.398735153478</v>
      </c>
      <c r="K1470" s="618">
        <f t="shared" si="116"/>
        <v>10309</v>
      </c>
      <c r="L1470" s="39" t="s">
        <v>179</v>
      </c>
      <c r="M1470" s="39" t="s">
        <v>169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909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999</v>
      </c>
      <c r="E1471" s="37">
        <v>40781</v>
      </c>
      <c r="F1471" s="40" t="s">
        <v>1089</v>
      </c>
      <c r="G1471" s="40" t="s">
        <v>1215</v>
      </c>
      <c r="H1471" s="632" t="s">
        <v>756</v>
      </c>
      <c r="I1471" s="260">
        <v>824</v>
      </c>
      <c r="J1471" s="260">
        <v>12949.898735153478</v>
      </c>
      <c r="K1471" s="618">
        <f t="shared" si="116"/>
        <v>10670717</v>
      </c>
      <c r="L1471" s="39" t="s">
        <v>179</v>
      </c>
      <c r="M1471" s="39" t="s">
        <v>169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909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999</v>
      </c>
      <c r="E1472" s="37">
        <v>40781</v>
      </c>
      <c r="F1472" s="40" t="s">
        <v>1090</v>
      </c>
      <c r="G1472" s="40" t="s">
        <v>1215</v>
      </c>
      <c r="H1472" s="632" t="s">
        <v>756</v>
      </c>
      <c r="I1472" s="260">
        <v>2</v>
      </c>
      <c r="J1472" s="260">
        <v>8346.3987351534797</v>
      </c>
      <c r="K1472" s="618">
        <f t="shared" si="116"/>
        <v>16693</v>
      </c>
      <c r="L1472" s="39" t="s">
        <v>179</v>
      </c>
      <c r="M1472" s="39" t="s">
        <v>169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909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999</v>
      </c>
      <c r="E1473" s="37">
        <v>40781</v>
      </c>
      <c r="F1473" s="40" t="s">
        <v>1091</v>
      </c>
      <c r="G1473" s="40" t="s">
        <v>1215</v>
      </c>
      <c r="H1473" s="632" t="s">
        <v>756</v>
      </c>
      <c r="I1473" s="260">
        <v>1</v>
      </c>
      <c r="J1473" s="260">
        <v>10374.398735153478</v>
      </c>
      <c r="K1473" s="618">
        <f t="shared" si="116"/>
        <v>10374</v>
      </c>
      <c r="L1473" s="39" t="s">
        <v>179</v>
      </c>
      <c r="M1473" s="39" t="s">
        <v>169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909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999</v>
      </c>
      <c r="E1474" s="37">
        <v>40781</v>
      </c>
      <c r="F1474" s="40" t="s">
        <v>1092</v>
      </c>
      <c r="G1474" s="40" t="s">
        <v>1215</v>
      </c>
      <c r="H1474" s="632" t="s">
        <v>756</v>
      </c>
      <c r="I1474" s="260">
        <v>747</v>
      </c>
      <c r="J1474" s="260">
        <v>11850.912791378378</v>
      </c>
      <c r="K1474" s="618">
        <f t="shared" si="116"/>
        <v>8852632</v>
      </c>
      <c r="L1474" s="39" t="s">
        <v>179</v>
      </c>
      <c r="M1474" s="39" t="s">
        <v>169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909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999</v>
      </c>
      <c r="E1475" s="37">
        <v>40781</v>
      </c>
      <c r="F1475" s="40" t="s">
        <v>1093</v>
      </c>
      <c r="G1475" s="40" t="s">
        <v>1215</v>
      </c>
      <c r="H1475" s="632" t="s">
        <v>756</v>
      </c>
      <c r="I1475" s="260">
        <v>70</v>
      </c>
      <c r="J1475" s="260">
        <v>13625.39873515348</v>
      </c>
      <c r="K1475" s="618">
        <f t="shared" si="116"/>
        <v>953778</v>
      </c>
      <c r="L1475" s="39" t="s">
        <v>179</v>
      </c>
      <c r="M1475" s="39" t="s">
        <v>169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909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1000</v>
      </c>
      <c r="E1476" s="191">
        <v>40782</v>
      </c>
      <c r="F1476" s="192" t="s">
        <v>1094</v>
      </c>
      <c r="G1476" s="502" t="s">
        <v>1216</v>
      </c>
      <c r="H1476" s="7" t="s">
        <v>756</v>
      </c>
      <c r="I1476" s="260">
        <v>126</v>
      </c>
      <c r="J1476" s="260">
        <v>16910</v>
      </c>
      <c r="K1476" s="618">
        <v>2130660</v>
      </c>
      <c r="L1476" s="194" t="s">
        <v>274</v>
      </c>
      <c r="M1476" s="194" t="s">
        <v>181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909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1000</v>
      </c>
      <c r="E1477" s="191">
        <v>40782</v>
      </c>
      <c r="F1477" s="192" t="s">
        <v>1095</v>
      </c>
      <c r="G1477" s="502" t="s">
        <v>1216</v>
      </c>
      <c r="H1477" s="7" t="s">
        <v>756</v>
      </c>
      <c r="I1477" s="260">
        <v>166</v>
      </c>
      <c r="J1477" s="260">
        <v>15549</v>
      </c>
      <c r="K1477" s="618">
        <v>2581134</v>
      </c>
      <c r="L1477" s="194" t="s">
        <v>274</v>
      </c>
      <c r="M1477" s="194" t="s">
        <v>181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909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1000</v>
      </c>
      <c r="E1478" s="191">
        <v>40782</v>
      </c>
      <c r="F1478" s="192" t="s">
        <v>1096</v>
      </c>
      <c r="G1478" s="502" t="s">
        <v>1216</v>
      </c>
      <c r="H1478" s="7" t="s">
        <v>756</v>
      </c>
      <c r="I1478" s="260">
        <v>9</v>
      </c>
      <c r="J1478" s="260">
        <v>14981</v>
      </c>
      <c r="K1478" s="618">
        <v>134829</v>
      </c>
      <c r="L1478" s="194" t="s">
        <v>274</v>
      </c>
      <c r="M1478" s="194" t="s">
        <v>181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909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1000</v>
      </c>
      <c r="E1479" s="191">
        <v>40782</v>
      </c>
      <c r="F1479" s="192" t="s">
        <v>1079</v>
      </c>
      <c r="G1479" s="502" t="s">
        <v>1216</v>
      </c>
      <c r="H1479" s="7" t="s">
        <v>756</v>
      </c>
      <c r="I1479" s="260">
        <v>240</v>
      </c>
      <c r="J1479" s="260">
        <v>9263</v>
      </c>
      <c r="K1479" s="618">
        <v>2223120</v>
      </c>
      <c r="L1479" s="194" t="s">
        <v>274</v>
      </c>
      <c r="M1479" s="194" t="s">
        <v>181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909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1000</v>
      </c>
      <c r="E1480" s="191">
        <v>40782</v>
      </c>
      <c r="F1480" s="192" t="s">
        <v>1097</v>
      </c>
      <c r="G1480" s="502" t="s">
        <v>1216</v>
      </c>
      <c r="H1480" s="7" t="s">
        <v>756</v>
      </c>
      <c r="I1480" s="262">
        <v>86</v>
      </c>
      <c r="J1480" s="262">
        <v>7806</v>
      </c>
      <c r="K1480" s="618">
        <v>671316</v>
      </c>
      <c r="L1480" s="194" t="s">
        <v>274</v>
      </c>
      <c r="M1480" s="194" t="s">
        <v>181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909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1000</v>
      </c>
      <c r="E1481" s="191">
        <v>40782</v>
      </c>
      <c r="F1481" s="192" t="s">
        <v>1098</v>
      </c>
      <c r="G1481" s="502" t="s">
        <v>1216</v>
      </c>
      <c r="H1481" s="7" t="s">
        <v>756</v>
      </c>
      <c r="I1481" s="262">
        <v>240</v>
      </c>
      <c r="J1481" s="262">
        <v>2588</v>
      </c>
      <c r="K1481" s="618">
        <v>621120</v>
      </c>
      <c r="L1481" s="194" t="s">
        <v>274</v>
      </c>
      <c r="M1481" s="194" t="s">
        <v>181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909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1000</v>
      </c>
      <c r="E1482" s="191">
        <v>40782</v>
      </c>
      <c r="F1482" s="192" t="s">
        <v>1099</v>
      </c>
      <c r="G1482" s="502" t="s">
        <v>1216</v>
      </c>
      <c r="H1482" s="7" t="s">
        <v>756</v>
      </c>
      <c r="I1482" s="260">
        <v>86</v>
      </c>
      <c r="J1482" s="260">
        <v>2334</v>
      </c>
      <c r="K1482" s="618">
        <v>200724</v>
      </c>
      <c r="L1482" s="194" t="s">
        <v>274</v>
      </c>
      <c r="M1482" s="194" t="s">
        <v>181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909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1000</v>
      </c>
      <c r="E1483" s="191">
        <v>40782</v>
      </c>
      <c r="F1483" s="192" t="s">
        <v>872</v>
      </c>
      <c r="G1483" s="502" t="s">
        <v>1216</v>
      </c>
      <c r="H1483" s="7" t="s">
        <v>756</v>
      </c>
      <c r="I1483" s="260"/>
      <c r="J1483" s="260"/>
      <c r="K1483" s="38">
        <f>856290+1</f>
        <v>856291</v>
      </c>
      <c r="L1483" s="194" t="s">
        <v>274</v>
      </c>
      <c r="M1483" s="194" t="s">
        <v>754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909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1152</v>
      </c>
      <c r="E1484" s="37">
        <v>40782</v>
      </c>
      <c r="F1484" s="40" t="s">
        <v>1094</v>
      </c>
      <c r="G1484" s="40"/>
      <c r="H1484" s="632" t="s">
        <v>1116</v>
      </c>
      <c r="I1484" s="260">
        <v>126</v>
      </c>
      <c r="J1484" s="260">
        <v>15399.287624042368</v>
      </c>
      <c r="K1484" s="618">
        <f t="shared" ref="K1484:K1497" si="118">ROUND(I1484*J1484,0)</f>
        <v>1940310</v>
      </c>
      <c r="L1484" s="39" t="s">
        <v>169</v>
      </c>
      <c r="M1484" s="39" t="s">
        <v>167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909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1152</v>
      </c>
      <c r="E1485" s="37">
        <v>40782</v>
      </c>
      <c r="F1485" s="40" t="s">
        <v>1095</v>
      </c>
      <c r="G1485" s="40"/>
      <c r="H1485" s="632" t="s">
        <v>1116</v>
      </c>
      <c r="I1485" s="260">
        <v>166</v>
      </c>
      <c r="J1485" s="260">
        <v>14237.398735153474</v>
      </c>
      <c r="K1485" s="618">
        <f t="shared" si="118"/>
        <v>2363408</v>
      </c>
      <c r="L1485" s="39" t="s">
        <v>169</v>
      </c>
      <c r="M1485" s="39" t="s">
        <v>167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909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1152</v>
      </c>
      <c r="E1486" s="37">
        <v>40782</v>
      </c>
      <c r="F1486" s="40" t="s">
        <v>1096</v>
      </c>
      <c r="G1486" s="40"/>
      <c r="H1486" s="632" t="s">
        <v>1116</v>
      </c>
      <c r="I1486" s="260">
        <v>9</v>
      </c>
      <c r="J1486" s="260">
        <v>12825.39873515348</v>
      </c>
      <c r="K1486" s="618">
        <f t="shared" si="118"/>
        <v>115429</v>
      </c>
      <c r="L1486" s="39" t="s">
        <v>169</v>
      </c>
      <c r="M1486" s="39" t="s">
        <v>167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909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1152</v>
      </c>
      <c r="E1487" s="37">
        <v>40782</v>
      </c>
      <c r="F1487" s="40" t="s">
        <v>1079</v>
      </c>
      <c r="G1487" s="40"/>
      <c r="H1487" s="632" t="s">
        <v>1116</v>
      </c>
      <c r="I1487" s="260">
        <v>240</v>
      </c>
      <c r="J1487" s="260">
        <v>7523.8987351534779</v>
      </c>
      <c r="K1487" s="618">
        <f t="shared" si="118"/>
        <v>1805736</v>
      </c>
      <c r="L1487" s="39" t="s">
        <v>169</v>
      </c>
      <c r="M1487" s="39" t="s">
        <v>167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909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1152</v>
      </c>
      <c r="E1488" s="37">
        <v>40782</v>
      </c>
      <c r="F1488" s="40" t="s">
        <v>1097</v>
      </c>
      <c r="G1488" s="40"/>
      <c r="H1488" s="632" t="s">
        <v>1116</v>
      </c>
      <c r="I1488" s="260">
        <v>86</v>
      </c>
      <c r="J1488" s="260">
        <v>6671.3987351534779</v>
      </c>
      <c r="K1488" s="618">
        <f t="shared" si="118"/>
        <v>573740</v>
      </c>
      <c r="L1488" s="39" t="s">
        <v>169</v>
      </c>
      <c r="M1488" s="39" t="s">
        <v>167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909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1152</v>
      </c>
      <c r="E1489" s="37">
        <v>40782</v>
      </c>
      <c r="F1489" s="40" t="s">
        <v>1098</v>
      </c>
      <c r="G1489" s="40"/>
      <c r="H1489" s="632" t="s">
        <v>1116</v>
      </c>
      <c r="I1489" s="260">
        <v>240</v>
      </c>
      <c r="J1489" s="260">
        <v>2681.5987351534782</v>
      </c>
      <c r="K1489" s="618">
        <f t="shared" si="118"/>
        <v>643584</v>
      </c>
      <c r="L1489" s="39" t="s">
        <v>169</v>
      </c>
      <c r="M1489" s="39" t="s">
        <v>167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909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1152</v>
      </c>
      <c r="E1490" s="37">
        <v>40782</v>
      </c>
      <c r="F1490" s="40" t="s">
        <v>1099</v>
      </c>
      <c r="G1490" s="40"/>
      <c r="H1490" s="632" t="s">
        <v>1116</v>
      </c>
      <c r="I1490" s="260">
        <v>86</v>
      </c>
      <c r="J1490" s="260">
        <v>2702.9568746883619</v>
      </c>
      <c r="K1490" s="618">
        <f t="shared" si="118"/>
        <v>232454</v>
      </c>
      <c r="L1490" s="39" t="s">
        <v>169</v>
      </c>
      <c r="M1490" s="39" t="s">
        <v>167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909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1000</v>
      </c>
      <c r="E1491" s="37">
        <v>40782</v>
      </c>
      <c r="F1491" s="40" t="s">
        <v>1094</v>
      </c>
      <c r="G1491" s="40" t="s">
        <v>1216</v>
      </c>
      <c r="H1491" s="632" t="s">
        <v>756</v>
      </c>
      <c r="I1491" s="260">
        <v>126</v>
      </c>
      <c r="J1491" s="260">
        <v>15399.287624042368</v>
      </c>
      <c r="K1491" s="618">
        <f t="shared" si="118"/>
        <v>1940310</v>
      </c>
      <c r="L1491" s="39" t="s">
        <v>179</v>
      </c>
      <c r="M1491" s="39" t="s">
        <v>169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909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1000</v>
      </c>
      <c r="E1492" s="37">
        <v>40782</v>
      </c>
      <c r="F1492" s="40" t="s">
        <v>1095</v>
      </c>
      <c r="G1492" s="40" t="s">
        <v>1216</v>
      </c>
      <c r="H1492" s="632" t="s">
        <v>756</v>
      </c>
      <c r="I1492" s="260">
        <v>166</v>
      </c>
      <c r="J1492" s="260">
        <v>14237.398735153474</v>
      </c>
      <c r="K1492" s="618">
        <f t="shared" si="118"/>
        <v>2363408</v>
      </c>
      <c r="L1492" s="39" t="s">
        <v>179</v>
      </c>
      <c r="M1492" s="39" t="s">
        <v>169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909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1000</v>
      </c>
      <c r="E1493" s="37">
        <v>40782</v>
      </c>
      <c r="F1493" s="40" t="s">
        <v>1096</v>
      </c>
      <c r="G1493" s="40" t="s">
        <v>1216</v>
      </c>
      <c r="H1493" s="632" t="s">
        <v>756</v>
      </c>
      <c r="I1493" s="260">
        <v>9</v>
      </c>
      <c r="J1493" s="260">
        <v>12825.39873515348</v>
      </c>
      <c r="K1493" s="618">
        <f t="shared" si="118"/>
        <v>115429</v>
      </c>
      <c r="L1493" s="39" t="s">
        <v>179</v>
      </c>
      <c r="M1493" s="39" t="s">
        <v>169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909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1000</v>
      </c>
      <c r="E1494" s="37">
        <v>40782</v>
      </c>
      <c r="F1494" s="40" t="s">
        <v>1079</v>
      </c>
      <c r="G1494" s="40" t="s">
        <v>1216</v>
      </c>
      <c r="H1494" s="632" t="s">
        <v>756</v>
      </c>
      <c r="I1494" s="260">
        <v>240</v>
      </c>
      <c r="J1494" s="260">
        <v>7523.8987351534779</v>
      </c>
      <c r="K1494" s="618">
        <f t="shared" si="118"/>
        <v>1805736</v>
      </c>
      <c r="L1494" s="39" t="s">
        <v>179</v>
      </c>
      <c r="M1494" s="39" t="s">
        <v>169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909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1000</v>
      </c>
      <c r="E1495" s="37">
        <v>40782</v>
      </c>
      <c r="F1495" s="40" t="s">
        <v>1097</v>
      </c>
      <c r="G1495" s="40" t="s">
        <v>1216</v>
      </c>
      <c r="H1495" s="632" t="s">
        <v>756</v>
      </c>
      <c r="I1495" s="260">
        <v>86</v>
      </c>
      <c r="J1495" s="260">
        <v>6671.3987351534779</v>
      </c>
      <c r="K1495" s="618">
        <f t="shared" si="118"/>
        <v>573740</v>
      </c>
      <c r="L1495" s="39" t="s">
        <v>179</v>
      </c>
      <c r="M1495" s="39" t="s">
        <v>169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909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1000</v>
      </c>
      <c r="E1496" s="37">
        <v>40782</v>
      </c>
      <c r="F1496" s="40" t="s">
        <v>1098</v>
      </c>
      <c r="G1496" s="40" t="s">
        <v>1216</v>
      </c>
      <c r="H1496" s="632" t="s">
        <v>756</v>
      </c>
      <c r="I1496" s="260">
        <v>240</v>
      </c>
      <c r="J1496" s="260">
        <v>2681.5987351534782</v>
      </c>
      <c r="K1496" s="618">
        <f t="shared" si="118"/>
        <v>643584</v>
      </c>
      <c r="L1496" s="39" t="s">
        <v>179</v>
      </c>
      <c r="M1496" s="39" t="s">
        <v>169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909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1000</v>
      </c>
      <c r="E1497" s="37">
        <v>40782</v>
      </c>
      <c r="F1497" s="40" t="s">
        <v>1099</v>
      </c>
      <c r="G1497" s="40" t="s">
        <v>1216</v>
      </c>
      <c r="H1497" s="632" t="s">
        <v>756</v>
      </c>
      <c r="I1497" s="260">
        <v>86</v>
      </c>
      <c r="J1497" s="260">
        <v>2702.9568746883619</v>
      </c>
      <c r="K1497" s="618">
        <f t="shared" si="118"/>
        <v>232454</v>
      </c>
      <c r="L1497" s="39" t="s">
        <v>179</v>
      </c>
      <c r="M1497" s="39" t="s">
        <v>169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909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7">
        <v>40786</v>
      </c>
      <c r="D1498" s="727" t="s">
        <v>685</v>
      </c>
      <c r="E1498" s="847">
        <v>40786</v>
      </c>
      <c r="F1498" s="728" t="s">
        <v>1158</v>
      </c>
      <c r="G1498" s="729"/>
      <c r="H1498" s="632" t="s">
        <v>386</v>
      </c>
      <c r="I1498" s="498"/>
      <c r="J1498" s="498"/>
      <c r="K1498" s="730">
        <v>13430000</v>
      </c>
      <c r="L1498" s="731" t="s">
        <v>278</v>
      </c>
      <c r="M1498" s="731" t="s">
        <v>47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909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7">
        <v>40786</v>
      </c>
      <c r="D1499" s="727" t="s">
        <v>360</v>
      </c>
      <c r="E1499" s="847">
        <v>40786</v>
      </c>
      <c r="F1499" s="728" t="s">
        <v>971</v>
      </c>
      <c r="G1499" s="729"/>
      <c r="H1499" s="632"/>
      <c r="I1499" s="498"/>
      <c r="J1499" s="498"/>
      <c r="K1499" s="730">
        <v>7115000</v>
      </c>
      <c r="L1499" s="731" t="s">
        <v>83</v>
      </c>
      <c r="M1499" s="731" t="s">
        <v>278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909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7">
        <v>40786</v>
      </c>
      <c r="D1500" s="727" t="s">
        <v>360</v>
      </c>
      <c r="E1500" s="847">
        <v>40786</v>
      </c>
      <c r="F1500" s="728" t="s">
        <v>809</v>
      </c>
      <c r="G1500" s="729"/>
      <c r="H1500" s="632"/>
      <c r="I1500" s="498"/>
      <c r="J1500" s="498"/>
      <c r="K1500" s="618">
        <v>6315000</v>
      </c>
      <c r="L1500" s="731" t="s">
        <v>167</v>
      </c>
      <c r="M1500" s="731" t="s">
        <v>278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909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1132</v>
      </c>
      <c r="E1501" s="802">
        <v>40787</v>
      </c>
      <c r="F1501" s="189" t="s">
        <v>517</v>
      </c>
      <c r="G1501" s="40"/>
      <c r="H1501" s="632" t="s">
        <v>1116</v>
      </c>
      <c r="I1501" s="260">
        <v>202</v>
      </c>
      <c r="J1501" s="260">
        <v>19773</v>
      </c>
      <c r="K1501" s="618">
        <f t="shared" ref="K1501:K1509" si="121">ROUND(I1501*J1501,0)</f>
        <v>3994146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909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1133</v>
      </c>
      <c r="E1502" s="802">
        <v>40791</v>
      </c>
      <c r="F1502" s="40" t="s">
        <v>651</v>
      </c>
      <c r="G1502" s="40"/>
      <c r="H1502" s="632" t="s">
        <v>1116</v>
      </c>
      <c r="I1502" s="851">
        <v>61.5</v>
      </c>
      <c r="J1502" s="260">
        <v>32985</v>
      </c>
      <c r="K1502" s="618">
        <f t="shared" si="121"/>
        <v>2028578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909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1133</v>
      </c>
      <c r="E1503" s="802">
        <v>40791</v>
      </c>
      <c r="F1503" s="189" t="s">
        <v>565</v>
      </c>
      <c r="G1503" s="40"/>
      <c r="H1503" s="632" t="s">
        <v>1116</v>
      </c>
      <c r="I1503" s="260">
        <v>61</v>
      </c>
      <c r="J1503" s="260">
        <v>19638</v>
      </c>
      <c r="K1503" s="618">
        <f t="shared" si="121"/>
        <v>1197918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909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1133</v>
      </c>
      <c r="E1504" s="802">
        <v>40791</v>
      </c>
      <c r="F1504" s="302" t="s">
        <v>501</v>
      </c>
      <c r="G1504" s="40"/>
      <c r="H1504" s="632" t="s">
        <v>1116</v>
      </c>
      <c r="I1504" s="260">
        <v>12</v>
      </c>
      <c r="J1504" s="260">
        <v>4592</v>
      </c>
      <c r="K1504" s="618">
        <f t="shared" si="121"/>
        <v>55104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909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1133</v>
      </c>
      <c r="E1505" s="802">
        <v>40791</v>
      </c>
      <c r="F1505" s="40" t="s">
        <v>627</v>
      </c>
      <c r="G1505" s="40"/>
      <c r="H1505" s="632" t="s">
        <v>1116</v>
      </c>
      <c r="I1505" s="260">
        <v>26</v>
      </c>
      <c r="J1505" s="260">
        <v>14280</v>
      </c>
      <c r="K1505" s="618">
        <f t="shared" si="121"/>
        <v>371280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909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1133</v>
      </c>
      <c r="E1506" s="802">
        <v>40791</v>
      </c>
      <c r="F1506" s="189" t="s">
        <v>410</v>
      </c>
      <c r="G1506" s="40"/>
      <c r="H1506" s="632" t="s">
        <v>1116</v>
      </c>
      <c r="I1506" s="851">
        <v>5</v>
      </c>
      <c r="J1506" s="260">
        <v>4449</v>
      </c>
      <c r="K1506" s="618">
        <f t="shared" si="121"/>
        <v>22245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909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1133</v>
      </c>
      <c r="E1507" s="802">
        <v>40791</v>
      </c>
      <c r="F1507" s="40" t="s">
        <v>651</v>
      </c>
      <c r="G1507" s="40"/>
      <c r="H1507" s="632" t="s">
        <v>1116</v>
      </c>
      <c r="I1507" s="851">
        <v>71</v>
      </c>
      <c r="J1507" s="260">
        <v>32984.985915492958</v>
      </c>
      <c r="K1507" s="618">
        <f t="shared" si="121"/>
        <v>2341934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909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1133</v>
      </c>
      <c r="E1508" s="802">
        <v>40791</v>
      </c>
      <c r="F1508" s="189" t="s">
        <v>601</v>
      </c>
      <c r="G1508" s="40"/>
      <c r="H1508" s="632" t="s">
        <v>1116</v>
      </c>
      <c r="I1508" s="260">
        <v>107</v>
      </c>
      <c r="J1508" s="260">
        <v>10344</v>
      </c>
      <c r="K1508" s="618">
        <f t="shared" si="121"/>
        <v>1106808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909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1133</v>
      </c>
      <c r="E1509" s="802">
        <v>40791</v>
      </c>
      <c r="F1509" s="189" t="s">
        <v>603</v>
      </c>
      <c r="G1509" s="40"/>
      <c r="H1509" s="632" t="s">
        <v>1116</v>
      </c>
      <c r="I1509" s="260">
        <v>70</v>
      </c>
      <c r="J1509" s="260">
        <v>26198</v>
      </c>
      <c r="K1509" s="618">
        <f t="shared" si="121"/>
        <v>1833860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909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356</v>
      </c>
      <c r="E1510" s="184">
        <v>40794</v>
      </c>
      <c r="F1510" s="189" t="s">
        <v>358</v>
      </c>
      <c r="G1510" s="620" t="s">
        <v>353</v>
      </c>
      <c r="H1510" s="193" t="s">
        <v>756</v>
      </c>
      <c r="I1510" s="260"/>
      <c r="J1510" s="260"/>
      <c r="K1510" s="618">
        <v>72293456</v>
      </c>
      <c r="L1510" s="619" t="s">
        <v>24</v>
      </c>
      <c r="M1510" s="619" t="s">
        <v>274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909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1134</v>
      </c>
      <c r="E1511" s="802">
        <v>40795</v>
      </c>
      <c r="F1511" s="40" t="s">
        <v>628</v>
      </c>
      <c r="G1511" s="40"/>
      <c r="H1511" s="632" t="s">
        <v>1116</v>
      </c>
      <c r="I1511" s="260">
        <v>32</v>
      </c>
      <c r="J1511" s="260">
        <v>27370</v>
      </c>
      <c r="K1511" s="618">
        <f t="shared" ref="K1511:K1521" si="123">ROUND(I1511*J1511,0)</f>
        <v>875840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909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1135</v>
      </c>
      <c r="E1512" s="802">
        <v>40797</v>
      </c>
      <c r="F1512" s="189" t="s">
        <v>601</v>
      </c>
      <c r="G1512" s="40"/>
      <c r="H1512" s="632" t="s">
        <v>1116</v>
      </c>
      <c r="I1512" s="260">
        <v>100</v>
      </c>
      <c r="J1512" s="260">
        <v>10344</v>
      </c>
      <c r="K1512" s="618">
        <f t="shared" si="123"/>
        <v>1034400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909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1135</v>
      </c>
      <c r="E1513" s="802">
        <v>40797</v>
      </c>
      <c r="F1513" s="189" t="s">
        <v>542</v>
      </c>
      <c r="G1513" s="40"/>
      <c r="H1513" s="632" t="s">
        <v>1116</v>
      </c>
      <c r="I1513" s="260">
        <v>193</v>
      </c>
      <c r="J1513" s="260">
        <v>10603</v>
      </c>
      <c r="K1513" s="618">
        <f t="shared" si="123"/>
        <v>2046379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909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1135</v>
      </c>
      <c r="E1514" s="802">
        <v>40797</v>
      </c>
      <c r="F1514" s="189" t="s">
        <v>410</v>
      </c>
      <c r="G1514" s="40"/>
      <c r="H1514" s="632" t="s">
        <v>1116</v>
      </c>
      <c r="I1514" s="851">
        <v>44</v>
      </c>
      <c r="J1514" s="260">
        <v>4449</v>
      </c>
      <c r="K1514" s="618">
        <f t="shared" si="123"/>
        <v>195756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909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1135</v>
      </c>
      <c r="E1515" s="802">
        <v>40797</v>
      </c>
      <c r="F1515" s="189" t="s">
        <v>654</v>
      </c>
      <c r="G1515" s="40"/>
      <c r="H1515" s="632" t="s">
        <v>1116</v>
      </c>
      <c r="I1515" s="260">
        <v>364</v>
      </c>
      <c r="J1515" s="260">
        <v>21455</v>
      </c>
      <c r="K1515" s="618">
        <f t="shared" si="123"/>
        <v>7809620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909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1135</v>
      </c>
      <c r="E1516" s="802">
        <v>40797</v>
      </c>
      <c r="F1516" s="189" t="s">
        <v>541</v>
      </c>
      <c r="G1516" s="40"/>
      <c r="H1516" s="632" t="s">
        <v>1116</v>
      </c>
      <c r="I1516" s="260">
        <v>840</v>
      </c>
      <c r="J1516" s="260">
        <v>10930</v>
      </c>
      <c r="K1516" s="618">
        <f t="shared" si="123"/>
        <v>9181200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909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1135</v>
      </c>
      <c r="E1517" s="802">
        <v>40797</v>
      </c>
      <c r="F1517" s="189" t="s">
        <v>655</v>
      </c>
      <c r="G1517" s="40"/>
      <c r="H1517" s="632" t="s">
        <v>1116</v>
      </c>
      <c r="I1517" s="260">
        <v>260</v>
      </c>
      <c r="J1517" s="260">
        <v>11385</v>
      </c>
      <c r="K1517" s="618">
        <f t="shared" si="123"/>
        <v>2960100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909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1135</v>
      </c>
      <c r="E1518" s="802">
        <v>40797</v>
      </c>
      <c r="F1518" s="189" t="s">
        <v>654</v>
      </c>
      <c r="G1518" s="40"/>
      <c r="H1518" s="632" t="s">
        <v>1116</v>
      </c>
      <c r="I1518" s="260">
        <v>757</v>
      </c>
      <c r="J1518" s="260">
        <v>21455</v>
      </c>
      <c r="K1518" s="618">
        <f t="shared" si="123"/>
        <v>16241435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909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1135</v>
      </c>
      <c r="E1519" s="802">
        <v>40797</v>
      </c>
      <c r="F1519" s="189" t="s">
        <v>566</v>
      </c>
      <c r="G1519" s="40"/>
      <c r="H1519" s="632" t="s">
        <v>1116</v>
      </c>
      <c r="I1519" s="260">
        <v>130</v>
      </c>
      <c r="J1519" s="260">
        <v>28059</v>
      </c>
      <c r="K1519" s="618">
        <f t="shared" si="123"/>
        <v>3647670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909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1135</v>
      </c>
      <c r="E1520" s="802">
        <v>40797</v>
      </c>
      <c r="F1520" s="189" t="s">
        <v>591</v>
      </c>
      <c r="G1520" s="40"/>
      <c r="H1520" s="632" t="s">
        <v>1116</v>
      </c>
      <c r="I1520" s="260">
        <v>21</v>
      </c>
      <c r="J1520" s="260">
        <v>24030</v>
      </c>
      <c r="K1520" s="618">
        <f t="shared" si="123"/>
        <v>504630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909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1135</v>
      </c>
      <c r="E1521" s="802">
        <v>40797</v>
      </c>
      <c r="F1521" s="189" t="s">
        <v>574</v>
      </c>
      <c r="G1521" s="40"/>
      <c r="H1521" s="632" t="s">
        <v>1116</v>
      </c>
      <c r="I1521" s="260">
        <v>10</v>
      </c>
      <c r="J1521" s="260">
        <v>16973</v>
      </c>
      <c r="K1521" s="618">
        <f t="shared" si="123"/>
        <v>169730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909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978</v>
      </c>
      <c r="E1522" s="184">
        <v>40798</v>
      </c>
      <c r="F1522" s="189" t="s">
        <v>1180</v>
      </c>
      <c r="G1522" s="620" t="s">
        <v>353</v>
      </c>
      <c r="H1522" s="193" t="s">
        <v>386</v>
      </c>
      <c r="I1522" s="260"/>
      <c r="J1522" s="260"/>
      <c r="K1522" s="618">
        <v>86000000</v>
      </c>
      <c r="L1522" s="619" t="s">
        <v>47</v>
      </c>
      <c r="M1522" s="194" t="s">
        <v>24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909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687</v>
      </c>
      <c r="E1523" s="191">
        <v>40799</v>
      </c>
      <c r="F1523" s="192" t="s">
        <v>1181</v>
      </c>
      <c r="G1523" s="502" t="s">
        <v>1182</v>
      </c>
      <c r="H1523" s="193" t="s">
        <v>1183</v>
      </c>
      <c r="I1523" s="260"/>
      <c r="J1523" s="260"/>
      <c r="K1523" s="38">
        <v>6089091</v>
      </c>
      <c r="L1523" s="194" t="s">
        <v>791</v>
      </c>
      <c r="M1523" s="194" t="s">
        <v>47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909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687</v>
      </c>
      <c r="E1524" s="191">
        <v>40799</v>
      </c>
      <c r="F1524" s="192" t="s">
        <v>1184</v>
      </c>
      <c r="G1524" s="502" t="s">
        <v>1182</v>
      </c>
      <c r="H1524" s="193" t="s">
        <v>1183</v>
      </c>
      <c r="I1524" s="260"/>
      <c r="J1524" s="260"/>
      <c r="K1524" s="38">
        <v>608909</v>
      </c>
      <c r="L1524" s="194" t="s">
        <v>9</v>
      </c>
      <c r="M1524" s="194" t="s">
        <v>47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909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974</v>
      </c>
      <c r="E1525" s="191">
        <v>40801</v>
      </c>
      <c r="F1525" s="192" t="s">
        <v>358</v>
      </c>
      <c r="G1525" s="502" t="s">
        <v>1217</v>
      </c>
      <c r="H1525" s="193" t="s">
        <v>783</v>
      </c>
      <c r="I1525" s="260"/>
      <c r="J1525" s="260"/>
      <c r="K1525" s="618">
        <v>7139000</v>
      </c>
      <c r="L1525" s="194" t="s">
        <v>47</v>
      </c>
      <c r="M1525" s="194" t="s">
        <v>274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909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1001</v>
      </c>
      <c r="E1526" s="191">
        <v>40801</v>
      </c>
      <c r="F1526" s="192" t="s">
        <v>1043</v>
      </c>
      <c r="G1526" s="502" t="s">
        <v>1217</v>
      </c>
      <c r="H1526" s="193" t="s">
        <v>783</v>
      </c>
      <c r="I1526" s="260">
        <v>590</v>
      </c>
      <c r="J1526" s="260">
        <v>11000</v>
      </c>
      <c r="K1526" s="618">
        <v>6490000</v>
      </c>
      <c r="L1526" s="194" t="s">
        <v>274</v>
      </c>
      <c r="M1526" s="194" t="s">
        <v>181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909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1001</v>
      </c>
      <c r="E1527" s="191">
        <v>40801</v>
      </c>
      <c r="F1527" s="192" t="s">
        <v>1200</v>
      </c>
      <c r="G1527" s="502" t="s">
        <v>1217</v>
      </c>
      <c r="H1527" s="193" t="s">
        <v>783</v>
      </c>
      <c r="I1527" s="260"/>
      <c r="J1527" s="260"/>
      <c r="K1527" s="618">
        <v>649000</v>
      </c>
      <c r="L1527" s="194" t="s">
        <v>274</v>
      </c>
      <c r="M1527" s="194" t="s">
        <v>754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909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1153</v>
      </c>
      <c r="E1528" s="37">
        <v>40801</v>
      </c>
      <c r="F1528" s="40" t="s">
        <v>1043</v>
      </c>
      <c r="G1528" s="40"/>
      <c r="H1528" s="632" t="s">
        <v>1116</v>
      </c>
      <c r="I1528" s="260">
        <v>590</v>
      </c>
      <c r="J1528" s="260">
        <v>8992.1377182043252</v>
      </c>
      <c r="K1528" s="618">
        <f>ROUND(I1528*J1528,0)</f>
        <v>5305361</v>
      </c>
      <c r="L1528" s="39" t="s">
        <v>169</v>
      </c>
      <c r="M1528" s="39" t="s">
        <v>167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909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1001</v>
      </c>
      <c r="E1529" s="37">
        <v>40801</v>
      </c>
      <c r="F1529" s="40" t="s">
        <v>1043</v>
      </c>
      <c r="G1529" s="40" t="s">
        <v>1217</v>
      </c>
      <c r="H1529" s="632" t="s">
        <v>783</v>
      </c>
      <c r="I1529" s="260">
        <v>590</v>
      </c>
      <c r="J1529" s="260">
        <v>8992.1377182043252</v>
      </c>
      <c r="K1529" s="618">
        <f>ROUND(I1529*J1529,0)</f>
        <v>5305361</v>
      </c>
      <c r="L1529" s="39" t="s">
        <v>179</v>
      </c>
      <c r="M1529" s="39" t="s">
        <v>169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909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688</v>
      </c>
      <c r="E1530" s="184">
        <v>40802</v>
      </c>
      <c r="F1530" s="189" t="s">
        <v>385</v>
      </c>
      <c r="G1530" s="620" t="s">
        <v>353</v>
      </c>
      <c r="H1530" s="193" t="s">
        <v>386</v>
      </c>
      <c r="I1530" s="260"/>
      <c r="J1530" s="260"/>
      <c r="K1530" s="618">
        <v>33000000</v>
      </c>
      <c r="L1530" s="619" t="s">
        <v>24</v>
      </c>
      <c r="M1530" s="619" t="s">
        <v>47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909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357</v>
      </c>
      <c r="E1531" s="184">
        <v>40802</v>
      </c>
      <c r="F1531" s="189" t="s">
        <v>390</v>
      </c>
      <c r="G1531" s="620" t="s">
        <v>353</v>
      </c>
      <c r="H1531" s="7" t="s">
        <v>571</v>
      </c>
      <c r="I1531" s="260"/>
      <c r="J1531" s="260"/>
      <c r="K1531" s="618">
        <v>23413000</v>
      </c>
      <c r="L1531" s="619" t="s">
        <v>8</v>
      </c>
      <c r="M1531" s="619" t="s">
        <v>24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909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357</v>
      </c>
      <c r="E1532" s="184">
        <v>40802</v>
      </c>
      <c r="F1532" s="189" t="s">
        <v>390</v>
      </c>
      <c r="G1532" s="620" t="s">
        <v>353</v>
      </c>
      <c r="H1532" s="7" t="s">
        <v>522</v>
      </c>
      <c r="I1532" s="260"/>
      <c r="J1532" s="260"/>
      <c r="K1532" s="618">
        <v>10000000</v>
      </c>
      <c r="L1532" s="619" t="s">
        <v>8</v>
      </c>
      <c r="M1532" s="619" t="s">
        <v>24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909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357</v>
      </c>
      <c r="E1533" s="184">
        <v>40802</v>
      </c>
      <c r="F1533" s="189" t="s">
        <v>393</v>
      </c>
      <c r="G1533" s="620" t="s">
        <v>353</v>
      </c>
      <c r="H1533" s="7"/>
      <c r="I1533" s="260"/>
      <c r="J1533" s="260"/>
      <c r="K1533" s="618">
        <v>9091</v>
      </c>
      <c r="L1533" s="619" t="s">
        <v>83</v>
      </c>
      <c r="M1533" s="619" t="s">
        <v>24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909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357</v>
      </c>
      <c r="E1534" s="184">
        <v>40802</v>
      </c>
      <c r="F1534" s="189" t="s">
        <v>1457</v>
      </c>
      <c r="G1534" s="620" t="s">
        <v>353</v>
      </c>
      <c r="H1534" s="7"/>
      <c r="I1534" s="260"/>
      <c r="J1534" s="260"/>
      <c r="K1534" s="618">
        <v>909</v>
      </c>
      <c r="L1534" s="619" t="s">
        <v>9</v>
      </c>
      <c r="M1534" s="619" t="s">
        <v>24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909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357</v>
      </c>
      <c r="E1535" s="184">
        <v>40802</v>
      </c>
      <c r="F1535" s="189" t="s">
        <v>359</v>
      </c>
      <c r="G1535" s="620" t="s">
        <v>353</v>
      </c>
      <c r="H1535" s="7"/>
      <c r="I1535" s="260"/>
      <c r="J1535" s="260"/>
      <c r="K1535" s="618">
        <v>9091</v>
      </c>
      <c r="L1535" s="619" t="s">
        <v>83</v>
      </c>
      <c r="M1535" s="619" t="s">
        <v>24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909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357</v>
      </c>
      <c r="E1536" s="184">
        <v>40802</v>
      </c>
      <c r="F1536" s="189" t="s">
        <v>1458</v>
      </c>
      <c r="G1536" s="620" t="s">
        <v>353</v>
      </c>
      <c r="H1536" s="7"/>
      <c r="I1536" s="260"/>
      <c r="J1536" s="260"/>
      <c r="K1536" s="618">
        <v>909</v>
      </c>
      <c r="L1536" s="619" t="s">
        <v>9</v>
      </c>
      <c r="M1536" s="619" t="s">
        <v>24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909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690</v>
      </c>
      <c r="E1537" s="191">
        <v>40803</v>
      </c>
      <c r="F1537" s="192" t="s">
        <v>471</v>
      </c>
      <c r="G1537" s="502" t="s">
        <v>1185</v>
      </c>
      <c r="H1537" s="45" t="s">
        <v>474</v>
      </c>
      <c r="I1537" s="260"/>
      <c r="J1537" s="260"/>
      <c r="K1537" s="618">
        <v>250580</v>
      </c>
      <c r="L1537" s="194" t="s">
        <v>167</v>
      </c>
      <c r="M1537" s="194" t="s">
        <v>47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909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690</v>
      </c>
      <c r="E1538" s="191">
        <v>40803</v>
      </c>
      <c r="F1538" s="192" t="s">
        <v>472</v>
      </c>
      <c r="G1538" s="502" t="s">
        <v>1185</v>
      </c>
      <c r="H1538" s="45" t="s">
        <v>474</v>
      </c>
      <c r="I1538" s="260"/>
      <c r="J1538" s="260"/>
      <c r="K1538" s="38">
        <v>25058</v>
      </c>
      <c r="L1538" s="194" t="s">
        <v>9</v>
      </c>
      <c r="M1538" s="194" t="s">
        <v>47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909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1238</v>
      </c>
      <c r="E1539" s="802">
        <v>40803</v>
      </c>
      <c r="F1539" s="189" t="s">
        <v>601</v>
      </c>
      <c r="G1539" s="40"/>
      <c r="H1539" s="632" t="s">
        <v>1116</v>
      </c>
      <c r="I1539" s="260">
        <v>53</v>
      </c>
      <c r="J1539" s="260">
        <v>10344</v>
      </c>
      <c r="K1539" s="618">
        <f t="shared" ref="K1539:K1546" si="125">ROUND(I1539*J1539,0)</f>
        <v>548232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909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1238</v>
      </c>
      <c r="E1540" s="802">
        <v>40803</v>
      </c>
      <c r="F1540" s="302" t="s">
        <v>502</v>
      </c>
      <c r="G1540" s="40"/>
      <c r="H1540" s="632" t="s">
        <v>1116</v>
      </c>
      <c r="I1540" s="260">
        <v>499</v>
      </c>
      <c r="J1540" s="260">
        <v>6026</v>
      </c>
      <c r="K1540" s="618">
        <f t="shared" si="125"/>
        <v>3006974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909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1238</v>
      </c>
      <c r="E1541" s="802">
        <v>40803</v>
      </c>
      <c r="F1541" s="189" t="s">
        <v>410</v>
      </c>
      <c r="G1541" s="40"/>
      <c r="H1541" s="632" t="s">
        <v>1116</v>
      </c>
      <c r="I1541" s="851">
        <v>2</v>
      </c>
      <c r="J1541" s="260">
        <v>4449</v>
      </c>
      <c r="K1541" s="618">
        <f t="shared" si="125"/>
        <v>8898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909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1238</v>
      </c>
      <c r="E1542" s="802">
        <v>40803</v>
      </c>
      <c r="F1542" s="40" t="s">
        <v>625</v>
      </c>
      <c r="G1542" s="40"/>
      <c r="H1542" s="632" t="s">
        <v>1116</v>
      </c>
      <c r="I1542" s="260">
        <v>6</v>
      </c>
      <c r="J1542" s="260">
        <v>13090</v>
      </c>
      <c r="K1542" s="618">
        <f t="shared" si="125"/>
        <v>78540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909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1238</v>
      </c>
      <c r="E1543" s="802">
        <v>40803</v>
      </c>
      <c r="F1543" s="189" t="s">
        <v>546</v>
      </c>
      <c r="G1543" s="40"/>
      <c r="H1543" s="632" t="s">
        <v>1116</v>
      </c>
      <c r="I1543" s="260">
        <v>1</v>
      </c>
      <c r="J1543" s="260">
        <v>7268</v>
      </c>
      <c r="K1543" s="618">
        <f t="shared" si="125"/>
        <v>7268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909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1238</v>
      </c>
      <c r="E1544" s="802">
        <v>40803</v>
      </c>
      <c r="F1544" s="189" t="s">
        <v>410</v>
      </c>
      <c r="G1544" s="40"/>
      <c r="H1544" s="632" t="s">
        <v>1116</v>
      </c>
      <c r="I1544" s="851">
        <v>6</v>
      </c>
      <c r="J1544" s="260">
        <v>4449</v>
      </c>
      <c r="K1544" s="618">
        <f t="shared" si="125"/>
        <v>26694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909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1238</v>
      </c>
      <c r="E1545" s="802">
        <v>40803</v>
      </c>
      <c r="F1545" s="189" t="s">
        <v>410</v>
      </c>
      <c r="G1545" s="40"/>
      <c r="H1545" s="632" t="s">
        <v>1116</v>
      </c>
      <c r="I1545" s="851">
        <v>2</v>
      </c>
      <c r="J1545" s="260">
        <v>4449</v>
      </c>
      <c r="K1545" s="618">
        <f t="shared" si="125"/>
        <v>8898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909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1238</v>
      </c>
      <c r="E1546" s="802">
        <v>40803</v>
      </c>
      <c r="F1546" s="189" t="s">
        <v>410</v>
      </c>
      <c r="G1546" s="40"/>
      <c r="H1546" s="632" t="s">
        <v>1116</v>
      </c>
      <c r="I1546" s="851">
        <v>2</v>
      </c>
      <c r="J1546" s="260">
        <v>4449</v>
      </c>
      <c r="K1546" s="618">
        <f t="shared" si="125"/>
        <v>8898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909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1002</v>
      </c>
      <c r="E1547" s="191">
        <v>40804</v>
      </c>
      <c r="F1547" s="192" t="s">
        <v>1044</v>
      </c>
      <c r="G1547" s="502" t="s">
        <v>1218</v>
      </c>
      <c r="H1547" s="193" t="s">
        <v>756</v>
      </c>
      <c r="I1547" s="260">
        <v>123</v>
      </c>
      <c r="J1547" s="260">
        <v>19061</v>
      </c>
      <c r="K1547" s="618">
        <v>2344503</v>
      </c>
      <c r="L1547" s="194" t="s">
        <v>274</v>
      </c>
      <c r="M1547" s="194" t="s">
        <v>181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909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1002</v>
      </c>
      <c r="E1548" s="191">
        <v>40804</v>
      </c>
      <c r="F1548" s="192" t="s">
        <v>1045</v>
      </c>
      <c r="G1548" s="502" t="s">
        <v>1218</v>
      </c>
      <c r="H1548" s="193" t="s">
        <v>756</v>
      </c>
      <c r="I1548" s="260">
        <v>122</v>
      </c>
      <c r="J1548" s="260">
        <v>13090</v>
      </c>
      <c r="K1548" s="618">
        <v>1596980</v>
      </c>
      <c r="L1548" s="194" t="s">
        <v>274</v>
      </c>
      <c r="M1548" s="194" t="s">
        <v>181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909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1002</v>
      </c>
      <c r="E1549" s="191">
        <v>40804</v>
      </c>
      <c r="F1549" s="192" t="s">
        <v>779</v>
      </c>
      <c r="G1549" s="502" t="s">
        <v>1218</v>
      </c>
      <c r="H1549" s="193" t="s">
        <v>756</v>
      </c>
      <c r="I1549" s="260">
        <v>120</v>
      </c>
      <c r="J1549" s="260">
        <v>2528</v>
      </c>
      <c r="K1549" s="618">
        <v>303360</v>
      </c>
      <c r="L1549" s="194" t="s">
        <v>274</v>
      </c>
      <c r="M1549" s="194" t="s">
        <v>181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909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1002</v>
      </c>
      <c r="E1550" s="191">
        <v>40804</v>
      </c>
      <c r="F1550" s="192" t="s">
        <v>1046</v>
      </c>
      <c r="G1550" s="502" t="s">
        <v>1218</v>
      </c>
      <c r="H1550" s="193" t="s">
        <v>756</v>
      </c>
      <c r="I1550" s="260">
        <v>52</v>
      </c>
      <c r="J1550" s="260">
        <v>10535</v>
      </c>
      <c r="K1550" s="618">
        <v>547820</v>
      </c>
      <c r="L1550" s="194" t="s">
        <v>274</v>
      </c>
      <c r="M1550" s="194" t="s">
        <v>181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909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1002</v>
      </c>
      <c r="E1551" s="191">
        <v>40804</v>
      </c>
      <c r="F1551" s="192" t="s">
        <v>779</v>
      </c>
      <c r="G1551" s="502" t="s">
        <v>1218</v>
      </c>
      <c r="H1551" s="193" t="s">
        <v>756</v>
      </c>
      <c r="I1551" s="260">
        <v>48</v>
      </c>
      <c r="J1551" s="260">
        <v>1981</v>
      </c>
      <c r="K1551" s="618">
        <v>95088</v>
      </c>
      <c r="L1551" s="194" t="s">
        <v>274</v>
      </c>
      <c r="M1551" s="194" t="s">
        <v>181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909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1002</v>
      </c>
      <c r="E1552" s="191">
        <v>40804</v>
      </c>
      <c r="F1552" s="192" t="s">
        <v>1047</v>
      </c>
      <c r="G1552" s="502" t="s">
        <v>1218</v>
      </c>
      <c r="H1552" s="193" t="s">
        <v>756</v>
      </c>
      <c r="I1552" s="260">
        <v>142</v>
      </c>
      <c r="J1552" s="260">
        <v>19465</v>
      </c>
      <c r="K1552" s="618">
        <v>2764030</v>
      </c>
      <c r="L1552" s="194" t="s">
        <v>274</v>
      </c>
      <c r="M1552" s="194" t="s">
        <v>181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909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1002</v>
      </c>
      <c r="E1553" s="191">
        <v>40804</v>
      </c>
      <c r="F1553" s="192" t="s">
        <v>1048</v>
      </c>
      <c r="G1553" s="502" t="s">
        <v>1218</v>
      </c>
      <c r="H1553" s="193" t="s">
        <v>756</v>
      </c>
      <c r="I1553" s="260">
        <v>214</v>
      </c>
      <c r="J1553" s="260">
        <v>8398</v>
      </c>
      <c r="K1553" s="618">
        <v>1797172</v>
      </c>
      <c r="L1553" s="194" t="s">
        <v>274</v>
      </c>
      <c r="M1553" s="194" t="s">
        <v>181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909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1002</v>
      </c>
      <c r="E1554" s="191">
        <v>40804</v>
      </c>
      <c r="F1554" s="192" t="s">
        <v>1049</v>
      </c>
      <c r="G1554" s="502" t="s">
        <v>1218</v>
      </c>
      <c r="H1554" s="193" t="s">
        <v>756</v>
      </c>
      <c r="I1554" s="260">
        <v>281</v>
      </c>
      <c r="J1554" s="260">
        <v>10534</v>
      </c>
      <c r="K1554" s="618">
        <v>2960054</v>
      </c>
      <c r="L1554" s="194" t="s">
        <v>274</v>
      </c>
      <c r="M1554" s="194" t="s">
        <v>181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909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1002</v>
      </c>
      <c r="E1555" s="191">
        <v>40804</v>
      </c>
      <c r="F1555" s="192" t="s">
        <v>1200</v>
      </c>
      <c r="G1555" s="502" t="s">
        <v>1218</v>
      </c>
      <c r="H1555" s="193" t="s">
        <v>756</v>
      </c>
      <c r="I1555" s="260"/>
      <c r="J1555" s="260"/>
      <c r="K1555" s="618">
        <v>1240901</v>
      </c>
      <c r="L1555" s="194" t="s">
        <v>274</v>
      </c>
      <c r="M1555" s="194" t="s">
        <v>754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909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1154</v>
      </c>
      <c r="E1556" s="37">
        <v>40804</v>
      </c>
      <c r="F1556" s="40" t="s">
        <v>1044</v>
      </c>
      <c r="G1556" s="40"/>
      <c r="H1556" s="632" t="s">
        <v>1116</v>
      </c>
      <c r="I1556" s="260">
        <v>123</v>
      </c>
      <c r="J1556" s="260">
        <v>18714.902800194133</v>
      </c>
      <c r="K1556" s="618">
        <f t="shared" ref="K1556:K1571" si="127">ROUND(I1556*J1556,0)</f>
        <v>2301933</v>
      </c>
      <c r="L1556" s="39" t="s">
        <v>169</v>
      </c>
      <c r="M1556" s="39" t="s">
        <v>167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909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1154</v>
      </c>
      <c r="E1557" s="37">
        <v>40804</v>
      </c>
      <c r="F1557" s="40" t="s">
        <v>1045</v>
      </c>
      <c r="G1557" s="40"/>
      <c r="H1557" s="632" t="s">
        <v>1116</v>
      </c>
      <c r="I1557" s="260">
        <v>122</v>
      </c>
      <c r="J1557" s="260">
        <v>12041.39873515348</v>
      </c>
      <c r="K1557" s="618">
        <f t="shared" si="127"/>
        <v>1469051</v>
      </c>
      <c r="L1557" s="39" t="s">
        <v>169</v>
      </c>
      <c r="M1557" s="39" t="s">
        <v>167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909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1154</v>
      </c>
      <c r="E1558" s="37">
        <v>40804</v>
      </c>
      <c r="F1558" s="192" t="s">
        <v>779</v>
      </c>
      <c r="G1558" s="40"/>
      <c r="H1558" s="632" t="s">
        <v>1116</v>
      </c>
      <c r="I1558" s="260">
        <v>120</v>
      </c>
      <c r="J1558" s="260">
        <v>2681.5987351534782</v>
      </c>
      <c r="K1558" s="618">
        <f t="shared" si="127"/>
        <v>321792</v>
      </c>
      <c r="L1558" s="39" t="s">
        <v>169</v>
      </c>
      <c r="M1558" s="39" t="s">
        <v>167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909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1154</v>
      </c>
      <c r="E1559" s="37">
        <v>40804</v>
      </c>
      <c r="F1559" s="40" t="s">
        <v>1046</v>
      </c>
      <c r="G1559" s="40"/>
      <c r="H1559" s="632" t="s">
        <v>1116</v>
      </c>
      <c r="I1559" s="260">
        <v>52</v>
      </c>
      <c r="J1559" s="260">
        <v>9362.3987351534779</v>
      </c>
      <c r="K1559" s="618">
        <f t="shared" si="127"/>
        <v>486845</v>
      </c>
      <c r="L1559" s="39" t="s">
        <v>169</v>
      </c>
      <c r="M1559" s="39" t="s">
        <v>167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909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1154</v>
      </c>
      <c r="E1560" s="37">
        <v>40804</v>
      </c>
      <c r="F1560" s="192" t="s">
        <v>779</v>
      </c>
      <c r="G1560" s="40"/>
      <c r="H1560" s="632" t="s">
        <v>1116</v>
      </c>
      <c r="I1560" s="260">
        <v>48</v>
      </c>
      <c r="J1560" s="260">
        <v>2685.8362351534784</v>
      </c>
      <c r="K1560" s="618">
        <f t="shared" si="127"/>
        <v>128920</v>
      </c>
      <c r="L1560" s="39" t="s">
        <v>169</v>
      </c>
      <c r="M1560" s="39" t="s">
        <v>167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909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1154</v>
      </c>
      <c r="E1561" s="37">
        <v>40804</v>
      </c>
      <c r="F1561" s="40" t="s">
        <v>1047</v>
      </c>
      <c r="G1561" s="40"/>
      <c r="H1561" s="632" t="s">
        <v>1116</v>
      </c>
      <c r="I1561" s="260">
        <v>142</v>
      </c>
      <c r="J1561" s="260">
        <v>18714.891692899957</v>
      </c>
      <c r="K1561" s="618">
        <f t="shared" si="127"/>
        <v>2657515</v>
      </c>
      <c r="L1561" s="39" t="s">
        <v>169</v>
      </c>
      <c r="M1561" s="39" t="s">
        <v>167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909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1154</v>
      </c>
      <c r="E1562" s="37">
        <v>40804</v>
      </c>
      <c r="F1562" s="40" t="s">
        <v>1048</v>
      </c>
      <c r="G1562" s="40"/>
      <c r="H1562" s="632" t="s">
        <v>1116</v>
      </c>
      <c r="I1562" s="260">
        <v>214</v>
      </c>
      <c r="J1562" s="260">
        <v>7394.3987351534779</v>
      </c>
      <c r="K1562" s="618">
        <f t="shared" si="127"/>
        <v>1582401</v>
      </c>
      <c r="L1562" s="39" t="s">
        <v>169</v>
      </c>
      <c r="M1562" s="39" t="s">
        <v>167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909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1154</v>
      </c>
      <c r="E1563" s="37">
        <v>40804</v>
      </c>
      <c r="F1563" s="40" t="s">
        <v>1049</v>
      </c>
      <c r="G1563" s="40"/>
      <c r="H1563" s="632" t="s">
        <v>1116</v>
      </c>
      <c r="I1563" s="260">
        <v>281</v>
      </c>
      <c r="J1563" s="260">
        <v>8748.5909059719834</v>
      </c>
      <c r="K1563" s="618">
        <f t="shared" si="127"/>
        <v>2458354</v>
      </c>
      <c r="L1563" s="39" t="s">
        <v>169</v>
      </c>
      <c r="M1563" s="39" t="s">
        <v>167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909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1002</v>
      </c>
      <c r="E1564" s="37">
        <v>40804</v>
      </c>
      <c r="F1564" s="40" t="s">
        <v>1044</v>
      </c>
      <c r="G1564" s="40" t="s">
        <v>1218</v>
      </c>
      <c r="H1564" s="632" t="s">
        <v>756</v>
      </c>
      <c r="I1564" s="260">
        <v>123</v>
      </c>
      <c r="J1564" s="260">
        <v>18714.902800194133</v>
      </c>
      <c r="K1564" s="618">
        <f t="shared" si="127"/>
        <v>2301933</v>
      </c>
      <c r="L1564" s="39" t="s">
        <v>179</v>
      </c>
      <c r="M1564" s="39" t="s">
        <v>169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909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1002</v>
      </c>
      <c r="E1565" s="37">
        <v>40804</v>
      </c>
      <c r="F1565" s="40" t="s">
        <v>1045</v>
      </c>
      <c r="G1565" s="40" t="s">
        <v>1218</v>
      </c>
      <c r="H1565" s="632" t="s">
        <v>756</v>
      </c>
      <c r="I1565" s="260">
        <v>122</v>
      </c>
      <c r="J1565" s="260">
        <v>12041.39873515348</v>
      </c>
      <c r="K1565" s="618">
        <f t="shared" si="127"/>
        <v>1469051</v>
      </c>
      <c r="L1565" s="39" t="s">
        <v>179</v>
      </c>
      <c r="M1565" s="39" t="s">
        <v>169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909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1002</v>
      </c>
      <c r="E1566" s="37">
        <v>40804</v>
      </c>
      <c r="F1566" s="192" t="s">
        <v>779</v>
      </c>
      <c r="G1566" s="40" t="s">
        <v>1218</v>
      </c>
      <c r="H1566" s="632" t="s">
        <v>756</v>
      </c>
      <c r="I1566" s="260">
        <v>120</v>
      </c>
      <c r="J1566" s="260">
        <v>2681.5987351534782</v>
      </c>
      <c r="K1566" s="618">
        <f t="shared" si="127"/>
        <v>321792</v>
      </c>
      <c r="L1566" s="39" t="s">
        <v>179</v>
      </c>
      <c r="M1566" s="39" t="s">
        <v>169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909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1002</v>
      </c>
      <c r="E1567" s="37">
        <v>40804</v>
      </c>
      <c r="F1567" s="40" t="s">
        <v>1046</v>
      </c>
      <c r="G1567" s="40" t="s">
        <v>1218</v>
      </c>
      <c r="H1567" s="632" t="s">
        <v>756</v>
      </c>
      <c r="I1567" s="260">
        <v>52</v>
      </c>
      <c r="J1567" s="260">
        <v>9362.3987351534779</v>
      </c>
      <c r="K1567" s="618">
        <f t="shared" si="127"/>
        <v>486845</v>
      </c>
      <c r="L1567" s="39" t="s">
        <v>179</v>
      </c>
      <c r="M1567" s="39" t="s">
        <v>169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909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1002</v>
      </c>
      <c r="E1568" s="37">
        <v>40804</v>
      </c>
      <c r="F1568" s="192" t="s">
        <v>779</v>
      </c>
      <c r="G1568" s="40" t="s">
        <v>1218</v>
      </c>
      <c r="H1568" s="632" t="s">
        <v>756</v>
      </c>
      <c r="I1568" s="260">
        <v>48</v>
      </c>
      <c r="J1568" s="260">
        <v>2685.8362351534784</v>
      </c>
      <c r="K1568" s="618">
        <f t="shared" si="127"/>
        <v>128920</v>
      </c>
      <c r="L1568" s="39" t="s">
        <v>179</v>
      </c>
      <c r="M1568" s="39" t="s">
        <v>169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909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1002</v>
      </c>
      <c r="E1569" s="37">
        <v>40804</v>
      </c>
      <c r="F1569" s="40" t="s">
        <v>1047</v>
      </c>
      <c r="G1569" s="40" t="s">
        <v>1218</v>
      </c>
      <c r="H1569" s="632" t="s">
        <v>756</v>
      </c>
      <c r="I1569" s="260">
        <v>142</v>
      </c>
      <c r="J1569" s="260">
        <v>18714.891692899957</v>
      </c>
      <c r="K1569" s="618">
        <f t="shared" si="127"/>
        <v>2657515</v>
      </c>
      <c r="L1569" s="39" t="s">
        <v>179</v>
      </c>
      <c r="M1569" s="39" t="s">
        <v>169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909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1002</v>
      </c>
      <c r="E1570" s="37">
        <v>40804</v>
      </c>
      <c r="F1570" s="40" t="s">
        <v>1048</v>
      </c>
      <c r="G1570" s="40" t="s">
        <v>1218</v>
      </c>
      <c r="H1570" s="632" t="s">
        <v>756</v>
      </c>
      <c r="I1570" s="260">
        <v>214</v>
      </c>
      <c r="J1570" s="260">
        <v>7394.3987351534779</v>
      </c>
      <c r="K1570" s="618">
        <f t="shared" si="127"/>
        <v>1582401</v>
      </c>
      <c r="L1570" s="39" t="s">
        <v>179</v>
      </c>
      <c r="M1570" s="39" t="s">
        <v>169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909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1002</v>
      </c>
      <c r="E1571" s="37">
        <v>40804</v>
      </c>
      <c r="F1571" s="40" t="s">
        <v>1049</v>
      </c>
      <c r="G1571" s="40" t="s">
        <v>1218</v>
      </c>
      <c r="H1571" s="632" t="s">
        <v>756</v>
      </c>
      <c r="I1571" s="260">
        <v>281</v>
      </c>
      <c r="J1571" s="260">
        <v>8748.5909059719834</v>
      </c>
      <c r="K1571" s="618">
        <f t="shared" si="127"/>
        <v>2458354</v>
      </c>
      <c r="L1571" s="39" t="s">
        <v>179</v>
      </c>
      <c r="M1571" s="39" t="s">
        <v>169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909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691</v>
      </c>
      <c r="E1572" s="191">
        <v>40805</v>
      </c>
      <c r="F1572" s="192" t="s">
        <v>1186</v>
      </c>
      <c r="G1572" s="502" t="s">
        <v>1187</v>
      </c>
      <c r="H1572" s="193" t="s">
        <v>1188</v>
      </c>
      <c r="I1572" s="260"/>
      <c r="J1572" s="260"/>
      <c r="K1572" s="618">
        <v>2640000</v>
      </c>
      <c r="L1572" s="194" t="s">
        <v>167</v>
      </c>
      <c r="M1572" s="194" t="s">
        <v>47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909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691</v>
      </c>
      <c r="E1573" s="191">
        <v>40805</v>
      </c>
      <c r="F1573" s="192" t="s">
        <v>1189</v>
      </c>
      <c r="G1573" s="502" t="s">
        <v>1187</v>
      </c>
      <c r="H1573" s="193" t="s">
        <v>1188</v>
      </c>
      <c r="I1573" s="260"/>
      <c r="J1573" s="260"/>
      <c r="K1573" s="38">
        <v>264000</v>
      </c>
      <c r="L1573" s="194" t="s">
        <v>9</v>
      </c>
      <c r="M1573" s="194" t="s">
        <v>47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909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692</v>
      </c>
      <c r="E1574" s="191">
        <v>40807</v>
      </c>
      <c r="F1574" s="192" t="s">
        <v>491</v>
      </c>
      <c r="G1574" s="499" t="s">
        <v>1190</v>
      </c>
      <c r="H1574" s="45" t="s">
        <v>495</v>
      </c>
      <c r="I1574" s="262"/>
      <c r="J1574" s="260"/>
      <c r="K1574" s="38">
        <v>642847</v>
      </c>
      <c r="L1574" s="194" t="s">
        <v>83</v>
      </c>
      <c r="M1574" s="619" t="s">
        <v>47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909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692</v>
      </c>
      <c r="E1575" s="191">
        <v>40807</v>
      </c>
      <c r="F1575" s="192" t="s">
        <v>494</v>
      </c>
      <c r="G1575" s="499" t="s">
        <v>1190</v>
      </c>
      <c r="H1575" s="45" t="s">
        <v>495</v>
      </c>
      <c r="I1575" s="262"/>
      <c r="J1575" s="260"/>
      <c r="K1575" s="38">
        <v>64285</v>
      </c>
      <c r="L1575" s="194" t="s">
        <v>9</v>
      </c>
      <c r="M1575" s="619" t="s">
        <v>47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909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1239</v>
      </c>
      <c r="E1576" s="802">
        <v>40807</v>
      </c>
      <c r="F1576" s="189" t="s">
        <v>511</v>
      </c>
      <c r="G1576" s="40"/>
      <c r="H1576" s="632" t="s">
        <v>1116</v>
      </c>
      <c r="I1576" s="260">
        <v>2.5</v>
      </c>
      <c r="J1576" s="260">
        <v>16173</v>
      </c>
      <c r="K1576" s="618">
        <f t="shared" ref="K1576:K1583" si="130">ROUND(I1576*J1576,0)</f>
        <v>40433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909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1239</v>
      </c>
      <c r="E1577" s="802">
        <v>40807</v>
      </c>
      <c r="F1577" s="40" t="s">
        <v>624</v>
      </c>
      <c r="G1577" s="40"/>
      <c r="H1577" s="632" t="s">
        <v>1116</v>
      </c>
      <c r="I1577" s="260">
        <v>0.5</v>
      </c>
      <c r="J1577" s="260">
        <v>16303</v>
      </c>
      <c r="K1577" s="618">
        <f t="shared" si="130"/>
        <v>8152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909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1239</v>
      </c>
      <c r="E1578" s="802">
        <v>40807</v>
      </c>
      <c r="F1578" s="189" t="s">
        <v>542</v>
      </c>
      <c r="G1578" s="40"/>
      <c r="H1578" s="632" t="s">
        <v>1116</v>
      </c>
      <c r="I1578" s="260">
        <v>1</v>
      </c>
      <c r="J1578" s="260">
        <v>10603</v>
      </c>
      <c r="K1578" s="618">
        <f t="shared" si="130"/>
        <v>10603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909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1239</v>
      </c>
      <c r="E1579" s="802">
        <v>40807</v>
      </c>
      <c r="F1579" s="302" t="s">
        <v>502</v>
      </c>
      <c r="G1579" s="40"/>
      <c r="H1579" s="632" t="s">
        <v>1116</v>
      </c>
      <c r="I1579" s="260">
        <v>3</v>
      </c>
      <c r="J1579" s="260">
        <v>6026</v>
      </c>
      <c r="K1579" s="618">
        <f t="shared" si="130"/>
        <v>18078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909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1239</v>
      </c>
      <c r="E1580" s="802">
        <v>40807</v>
      </c>
      <c r="F1580" s="302" t="s">
        <v>502</v>
      </c>
      <c r="G1580" s="40"/>
      <c r="H1580" s="632" t="s">
        <v>1116</v>
      </c>
      <c r="I1580" s="260">
        <v>3</v>
      </c>
      <c r="J1580" s="260">
        <v>6026</v>
      </c>
      <c r="K1580" s="618">
        <f t="shared" si="130"/>
        <v>18078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909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1239</v>
      </c>
      <c r="E1581" s="802">
        <v>40807</v>
      </c>
      <c r="F1581" s="189" t="s">
        <v>410</v>
      </c>
      <c r="G1581" s="40"/>
      <c r="H1581" s="632" t="s">
        <v>1116</v>
      </c>
      <c r="I1581" s="851">
        <v>1</v>
      </c>
      <c r="J1581" s="260">
        <v>4449</v>
      </c>
      <c r="K1581" s="618">
        <f t="shared" si="130"/>
        <v>4449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909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1239</v>
      </c>
      <c r="E1582" s="802">
        <v>40807</v>
      </c>
      <c r="F1582" s="189" t="s">
        <v>511</v>
      </c>
      <c r="G1582" s="40"/>
      <c r="H1582" s="632" t="s">
        <v>1116</v>
      </c>
      <c r="I1582" s="260">
        <v>0.5</v>
      </c>
      <c r="J1582" s="260">
        <v>16173</v>
      </c>
      <c r="K1582" s="618">
        <f t="shared" si="130"/>
        <v>8087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909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1239</v>
      </c>
      <c r="E1583" s="802">
        <v>40807</v>
      </c>
      <c r="F1583" s="189" t="s">
        <v>410</v>
      </c>
      <c r="G1583" s="40"/>
      <c r="H1583" s="632" t="s">
        <v>1116</v>
      </c>
      <c r="I1583" s="851">
        <v>5</v>
      </c>
      <c r="J1583" s="260">
        <v>4449</v>
      </c>
      <c r="K1583" s="618">
        <f t="shared" si="130"/>
        <v>22245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909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693</v>
      </c>
      <c r="E1584" s="191">
        <v>40808</v>
      </c>
      <c r="F1584" s="192" t="s">
        <v>660</v>
      </c>
      <c r="G1584" s="502" t="s">
        <v>1191</v>
      </c>
      <c r="H1584" s="7" t="s">
        <v>414</v>
      </c>
      <c r="I1584" s="262"/>
      <c r="J1584" s="262"/>
      <c r="K1584" s="38">
        <v>1375000</v>
      </c>
      <c r="L1584" s="194" t="s">
        <v>8</v>
      </c>
      <c r="M1584" s="194" t="s">
        <v>47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909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694</v>
      </c>
      <c r="E1585" s="191">
        <v>40808</v>
      </c>
      <c r="F1585" s="192" t="s">
        <v>1192</v>
      </c>
      <c r="G1585" s="502" t="s">
        <v>1193</v>
      </c>
      <c r="H1585" s="193" t="s">
        <v>1170</v>
      </c>
      <c r="I1585" s="260"/>
      <c r="J1585" s="260"/>
      <c r="K1585" s="38">
        <v>500011</v>
      </c>
      <c r="L1585" s="194" t="s">
        <v>277</v>
      </c>
      <c r="M1585" s="619" t="s">
        <v>47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909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718</v>
      </c>
      <c r="E1586" s="191">
        <v>40808</v>
      </c>
      <c r="F1586" s="189" t="s">
        <v>411</v>
      </c>
      <c r="G1586" s="502" t="s">
        <v>1191</v>
      </c>
      <c r="H1586" s="7" t="s">
        <v>414</v>
      </c>
      <c r="I1586" s="260">
        <v>50</v>
      </c>
      <c r="J1586" s="260">
        <v>25000</v>
      </c>
      <c r="K1586" s="618">
        <v>1250000</v>
      </c>
      <c r="L1586" s="194" t="s">
        <v>161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909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718</v>
      </c>
      <c r="E1587" s="191">
        <v>40808</v>
      </c>
      <c r="F1587" s="189" t="s">
        <v>412</v>
      </c>
      <c r="G1587" s="502" t="s">
        <v>1191</v>
      </c>
      <c r="H1587" s="7" t="s">
        <v>414</v>
      </c>
      <c r="I1587" s="260"/>
      <c r="J1587" s="260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909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975</v>
      </c>
      <c r="E1588" s="191">
        <v>40809</v>
      </c>
      <c r="F1588" s="192" t="s">
        <v>358</v>
      </c>
      <c r="G1588" s="502" t="s">
        <v>1219</v>
      </c>
      <c r="H1588" s="210" t="s">
        <v>784</v>
      </c>
      <c r="I1588" s="260"/>
      <c r="J1588" s="260"/>
      <c r="K1588" s="618">
        <v>1610294</v>
      </c>
      <c r="L1588" s="194" t="s">
        <v>47</v>
      </c>
      <c r="M1588" s="194" t="s">
        <v>274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909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1003</v>
      </c>
      <c r="E1589" s="191">
        <v>40809</v>
      </c>
      <c r="F1589" s="192" t="s">
        <v>1050</v>
      </c>
      <c r="G1589" s="502" t="s">
        <v>1219</v>
      </c>
      <c r="H1589" s="210" t="s">
        <v>784</v>
      </c>
      <c r="I1589" s="260">
        <v>104</v>
      </c>
      <c r="J1589" s="260">
        <v>14076</v>
      </c>
      <c r="K1589" s="618">
        <v>1463904</v>
      </c>
      <c r="L1589" s="194" t="s">
        <v>274</v>
      </c>
      <c r="M1589" s="194" t="s">
        <v>181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909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1003</v>
      </c>
      <c r="E1590" s="191">
        <v>40809</v>
      </c>
      <c r="F1590" s="192" t="s">
        <v>1220</v>
      </c>
      <c r="G1590" s="502" t="s">
        <v>1219</v>
      </c>
      <c r="H1590" s="210" t="s">
        <v>784</v>
      </c>
      <c r="I1590" s="260"/>
      <c r="J1590" s="260"/>
      <c r="K1590" s="618">
        <v>146390</v>
      </c>
      <c r="L1590" s="194" t="s">
        <v>274</v>
      </c>
      <c r="M1590" s="194" t="s">
        <v>754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909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1240</v>
      </c>
      <c r="E1591" s="802">
        <v>40809</v>
      </c>
      <c r="F1591" s="40" t="s">
        <v>643</v>
      </c>
      <c r="G1591" s="40"/>
      <c r="H1591" s="632" t="s">
        <v>1116</v>
      </c>
      <c r="I1591" s="260">
        <v>192</v>
      </c>
      <c r="J1591" s="260">
        <v>20440</v>
      </c>
      <c r="K1591" s="618">
        <f t="shared" ref="K1591:K1599" si="132">ROUND(I1591*J1591,0)</f>
        <v>3924480</v>
      </c>
      <c r="L1591" s="39" t="s">
        <v>167</v>
      </c>
      <c r="M1591" s="39" t="s">
        <v>159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909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1240</v>
      </c>
      <c r="E1592" s="802">
        <v>40809</v>
      </c>
      <c r="F1592" s="189" t="s">
        <v>605</v>
      </c>
      <c r="G1592" s="40"/>
      <c r="H1592" s="632" t="s">
        <v>1116</v>
      </c>
      <c r="I1592" s="260">
        <v>62.5</v>
      </c>
      <c r="J1592" s="260">
        <v>19639</v>
      </c>
      <c r="K1592" s="618">
        <f t="shared" si="132"/>
        <v>1227438</v>
      </c>
      <c r="L1592" s="39" t="s">
        <v>167</v>
      </c>
      <c r="M1592" s="39" t="s">
        <v>159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909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1240</v>
      </c>
      <c r="E1593" s="802">
        <v>40809</v>
      </c>
      <c r="F1593" s="40" t="s">
        <v>649</v>
      </c>
      <c r="G1593" s="40"/>
      <c r="H1593" s="632" t="s">
        <v>1116</v>
      </c>
      <c r="I1593" s="260">
        <v>288</v>
      </c>
      <c r="J1593" s="260">
        <v>23975</v>
      </c>
      <c r="K1593" s="618">
        <f t="shared" si="132"/>
        <v>6904800</v>
      </c>
      <c r="L1593" s="39" t="s">
        <v>167</v>
      </c>
      <c r="M1593" s="39" t="s">
        <v>159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909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1240</v>
      </c>
      <c r="E1594" s="802">
        <v>40809</v>
      </c>
      <c r="F1594" s="40" t="s">
        <v>649</v>
      </c>
      <c r="G1594" s="40"/>
      <c r="H1594" s="632" t="s">
        <v>1116</v>
      </c>
      <c r="I1594" s="260">
        <v>300</v>
      </c>
      <c r="J1594" s="260">
        <v>23975</v>
      </c>
      <c r="K1594" s="618">
        <f t="shared" si="132"/>
        <v>7192500</v>
      </c>
      <c r="L1594" s="39" t="s">
        <v>167</v>
      </c>
      <c r="M1594" s="39" t="s">
        <v>159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909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1240</v>
      </c>
      <c r="E1595" s="802">
        <v>40809</v>
      </c>
      <c r="F1595" s="189" t="s">
        <v>605</v>
      </c>
      <c r="G1595" s="40"/>
      <c r="H1595" s="632" t="s">
        <v>1116</v>
      </c>
      <c r="I1595" s="260">
        <v>62.5</v>
      </c>
      <c r="J1595" s="260">
        <v>19638.991999999998</v>
      </c>
      <c r="K1595" s="618">
        <f t="shared" si="132"/>
        <v>1227437</v>
      </c>
      <c r="L1595" s="39" t="s">
        <v>167</v>
      </c>
      <c r="M1595" s="39" t="s">
        <v>159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909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1240</v>
      </c>
      <c r="E1596" s="802">
        <v>40809</v>
      </c>
      <c r="F1596" s="40" t="s">
        <v>647</v>
      </c>
      <c r="G1596" s="40"/>
      <c r="H1596" s="632" t="s">
        <v>1116</v>
      </c>
      <c r="I1596" s="260">
        <v>75</v>
      </c>
      <c r="J1596" s="260">
        <v>23688</v>
      </c>
      <c r="K1596" s="618">
        <f t="shared" si="132"/>
        <v>1776600</v>
      </c>
      <c r="L1596" s="39" t="s">
        <v>167</v>
      </c>
      <c r="M1596" s="39" t="s">
        <v>159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909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1240</v>
      </c>
      <c r="E1597" s="802">
        <v>40809</v>
      </c>
      <c r="F1597" s="189" t="s">
        <v>578</v>
      </c>
      <c r="G1597" s="40"/>
      <c r="H1597" s="632" t="s">
        <v>1116</v>
      </c>
      <c r="I1597" s="260">
        <v>45</v>
      </c>
      <c r="J1597" s="260">
        <v>15345</v>
      </c>
      <c r="K1597" s="618">
        <f t="shared" si="132"/>
        <v>690525</v>
      </c>
      <c r="L1597" s="39" t="s">
        <v>167</v>
      </c>
      <c r="M1597" s="39" t="s">
        <v>159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909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1155</v>
      </c>
      <c r="E1598" s="37">
        <v>40809</v>
      </c>
      <c r="F1598" s="40" t="s">
        <v>1050</v>
      </c>
      <c r="G1598" s="40"/>
      <c r="H1598" s="632" t="s">
        <v>1116</v>
      </c>
      <c r="I1598" s="260">
        <v>104</v>
      </c>
      <c r="J1598" s="260">
        <v>10643.937196691939</v>
      </c>
      <c r="K1598" s="618">
        <f t="shared" si="132"/>
        <v>1106969</v>
      </c>
      <c r="L1598" s="39" t="s">
        <v>169</v>
      </c>
      <c r="M1598" s="39" t="s">
        <v>167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909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1003</v>
      </c>
      <c r="E1599" s="37">
        <v>40809</v>
      </c>
      <c r="F1599" s="40" t="s">
        <v>1050</v>
      </c>
      <c r="G1599" s="40" t="s">
        <v>1219</v>
      </c>
      <c r="H1599" s="632" t="s">
        <v>784</v>
      </c>
      <c r="I1599" s="260">
        <v>104</v>
      </c>
      <c r="J1599" s="260">
        <v>10643.937196691939</v>
      </c>
      <c r="K1599" s="618">
        <f t="shared" si="132"/>
        <v>1106969</v>
      </c>
      <c r="L1599" s="39" t="s">
        <v>179</v>
      </c>
      <c r="M1599" s="39" t="s">
        <v>169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909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356</v>
      </c>
      <c r="E1600" s="184">
        <v>40810</v>
      </c>
      <c r="F1600" s="189" t="s">
        <v>387</v>
      </c>
      <c r="G1600" s="620" t="s">
        <v>353</v>
      </c>
      <c r="H1600" s="7"/>
      <c r="I1600" s="260"/>
      <c r="J1600" s="260"/>
      <c r="K1600" s="618">
        <v>44733</v>
      </c>
      <c r="L1600" s="619" t="s">
        <v>24</v>
      </c>
      <c r="M1600" s="619" t="s">
        <v>40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909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976</v>
      </c>
      <c r="E1601" s="191">
        <v>40810</v>
      </c>
      <c r="F1601" s="192" t="s">
        <v>358</v>
      </c>
      <c r="G1601" s="502" t="s">
        <v>1221</v>
      </c>
      <c r="H1601" s="210" t="s">
        <v>785</v>
      </c>
      <c r="I1601" s="260"/>
      <c r="J1601" s="260"/>
      <c r="K1601" s="618">
        <v>5078546</v>
      </c>
      <c r="L1601" s="194" t="s">
        <v>47</v>
      </c>
      <c r="M1601" s="194" t="s">
        <v>274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909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1004</v>
      </c>
      <c r="E1602" s="191">
        <v>40810</v>
      </c>
      <c r="F1602" s="192" t="s">
        <v>1051</v>
      </c>
      <c r="G1602" s="502" t="s">
        <v>1221</v>
      </c>
      <c r="H1602" s="210" t="s">
        <v>785</v>
      </c>
      <c r="I1602" s="260">
        <v>200</v>
      </c>
      <c r="J1602" s="260">
        <v>7340</v>
      </c>
      <c r="K1602" s="618">
        <v>1468000</v>
      </c>
      <c r="L1602" s="194" t="s">
        <v>274</v>
      </c>
      <c r="M1602" s="194" t="s">
        <v>181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909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1004</v>
      </c>
      <c r="E1603" s="191">
        <v>40810</v>
      </c>
      <c r="F1603" s="192" t="s">
        <v>1052</v>
      </c>
      <c r="G1603" s="502" t="s">
        <v>1221</v>
      </c>
      <c r="H1603" s="210" t="s">
        <v>785</v>
      </c>
      <c r="I1603" s="260">
        <v>385</v>
      </c>
      <c r="J1603" s="260">
        <v>7340</v>
      </c>
      <c r="K1603" s="618">
        <v>2825900</v>
      </c>
      <c r="L1603" s="194" t="s">
        <v>274</v>
      </c>
      <c r="M1603" s="194" t="s">
        <v>181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909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1004</v>
      </c>
      <c r="E1604" s="191">
        <v>40810</v>
      </c>
      <c r="F1604" s="192" t="s">
        <v>1053</v>
      </c>
      <c r="G1604" s="502" t="s">
        <v>1221</v>
      </c>
      <c r="H1604" s="210" t="s">
        <v>785</v>
      </c>
      <c r="I1604" s="260">
        <v>44</v>
      </c>
      <c r="J1604" s="260">
        <v>7340</v>
      </c>
      <c r="K1604" s="618">
        <v>322960</v>
      </c>
      <c r="L1604" s="194" t="s">
        <v>274</v>
      </c>
      <c r="M1604" s="194" t="s">
        <v>181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909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1004</v>
      </c>
      <c r="E1605" s="191">
        <v>40810</v>
      </c>
      <c r="F1605" s="192" t="s">
        <v>1200</v>
      </c>
      <c r="G1605" s="502" t="s">
        <v>1221</v>
      </c>
      <c r="H1605" s="210" t="s">
        <v>785</v>
      </c>
      <c r="I1605" s="260"/>
      <c r="J1605" s="260"/>
      <c r="K1605" s="618">
        <v>461686</v>
      </c>
      <c r="L1605" s="194" t="s">
        <v>274</v>
      </c>
      <c r="M1605" s="194" t="s">
        <v>754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909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1005</v>
      </c>
      <c r="E1606" s="191">
        <v>40810</v>
      </c>
      <c r="F1606" s="192" t="s">
        <v>1026</v>
      </c>
      <c r="G1606" s="502" t="s">
        <v>1222</v>
      </c>
      <c r="H1606" s="193" t="s">
        <v>756</v>
      </c>
      <c r="I1606" s="260">
        <v>727</v>
      </c>
      <c r="J1606" s="260">
        <v>14369</v>
      </c>
      <c r="K1606" s="618">
        <v>10446263</v>
      </c>
      <c r="L1606" s="194" t="s">
        <v>274</v>
      </c>
      <c r="M1606" s="194" t="s">
        <v>181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909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1005</v>
      </c>
      <c r="E1607" s="191">
        <v>40810</v>
      </c>
      <c r="F1607" s="192" t="s">
        <v>774</v>
      </c>
      <c r="G1607" s="502" t="s">
        <v>1222</v>
      </c>
      <c r="H1607" s="193" t="s">
        <v>756</v>
      </c>
      <c r="I1607" s="260">
        <v>2088</v>
      </c>
      <c r="J1607" s="260">
        <v>13939</v>
      </c>
      <c r="K1607" s="618">
        <v>29104632</v>
      </c>
      <c r="L1607" s="194" t="s">
        <v>274</v>
      </c>
      <c r="M1607" s="194" t="s">
        <v>181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909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1005</v>
      </c>
      <c r="E1608" s="191">
        <v>40810</v>
      </c>
      <c r="F1608" s="192" t="s">
        <v>1026</v>
      </c>
      <c r="G1608" s="502" t="s">
        <v>1222</v>
      </c>
      <c r="H1608" s="193" t="s">
        <v>756</v>
      </c>
      <c r="I1608" s="260">
        <v>1514</v>
      </c>
      <c r="J1608" s="260">
        <v>14369</v>
      </c>
      <c r="K1608" s="618">
        <v>21754666</v>
      </c>
      <c r="L1608" s="194" t="s">
        <v>274</v>
      </c>
      <c r="M1608" s="194" t="s">
        <v>181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909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1005</v>
      </c>
      <c r="E1609" s="191">
        <v>40810</v>
      </c>
      <c r="F1609" s="192" t="s">
        <v>769</v>
      </c>
      <c r="G1609" s="502" t="s">
        <v>1222</v>
      </c>
      <c r="H1609" s="193" t="s">
        <v>756</v>
      </c>
      <c r="I1609" s="260">
        <v>548</v>
      </c>
      <c r="J1609" s="260">
        <v>10534</v>
      </c>
      <c r="K1609" s="618">
        <v>5772632</v>
      </c>
      <c r="L1609" s="194" t="s">
        <v>274</v>
      </c>
      <c r="M1609" s="194" t="s">
        <v>181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909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1005</v>
      </c>
      <c r="E1610" s="191">
        <v>40810</v>
      </c>
      <c r="F1610" s="192" t="s">
        <v>773</v>
      </c>
      <c r="G1610" s="502" t="s">
        <v>1222</v>
      </c>
      <c r="H1610" s="193" t="s">
        <v>756</v>
      </c>
      <c r="I1610" s="260">
        <v>41</v>
      </c>
      <c r="J1610" s="260">
        <v>15549</v>
      </c>
      <c r="K1610" s="618">
        <v>637509</v>
      </c>
      <c r="L1610" s="194" t="s">
        <v>274</v>
      </c>
      <c r="M1610" s="194" t="s">
        <v>181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909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1005</v>
      </c>
      <c r="E1611" s="191">
        <v>40810</v>
      </c>
      <c r="F1611" s="192" t="s">
        <v>770</v>
      </c>
      <c r="G1611" s="502" t="s">
        <v>1222</v>
      </c>
      <c r="H1611" s="193" t="s">
        <v>756</v>
      </c>
      <c r="I1611" s="260">
        <v>20</v>
      </c>
      <c r="J1611" s="260">
        <v>11621</v>
      </c>
      <c r="K1611" s="618">
        <v>232420</v>
      </c>
      <c r="L1611" s="194" t="s">
        <v>274</v>
      </c>
      <c r="M1611" s="194" t="s">
        <v>181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909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1005</v>
      </c>
      <c r="E1612" s="191">
        <v>40810</v>
      </c>
      <c r="F1612" s="192" t="s">
        <v>1200</v>
      </c>
      <c r="G1612" s="502" t="s">
        <v>1222</v>
      </c>
      <c r="H1612" s="193" t="s">
        <v>756</v>
      </c>
      <c r="I1612" s="260"/>
      <c r="J1612" s="260"/>
      <c r="K1612" s="618">
        <f>6794812+1</f>
        <v>6794813</v>
      </c>
      <c r="L1612" s="194" t="s">
        <v>274</v>
      </c>
      <c r="M1612" s="194" t="s">
        <v>754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909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1156</v>
      </c>
      <c r="E1613" s="37">
        <v>40810</v>
      </c>
      <c r="F1613" s="40" t="s">
        <v>1051</v>
      </c>
      <c r="G1613" s="40"/>
      <c r="H1613" s="632" t="s">
        <v>1116</v>
      </c>
      <c r="I1613" s="260">
        <v>200</v>
      </c>
      <c r="J1613" s="260">
        <v>7394.3987351534779</v>
      </c>
      <c r="K1613" s="618">
        <f t="shared" ref="K1613:K1630" si="134">ROUND(I1613*J1613,0)</f>
        <v>1478880</v>
      </c>
      <c r="L1613" s="39" t="s">
        <v>169</v>
      </c>
      <c r="M1613" s="39" t="s">
        <v>167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909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1156</v>
      </c>
      <c r="E1614" s="37">
        <v>40810</v>
      </c>
      <c r="F1614" s="40" t="s">
        <v>1052</v>
      </c>
      <c r="G1614" s="40"/>
      <c r="H1614" s="632" t="s">
        <v>1116</v>
      </c>
      <c r="I1614" s="260">
        <v>385</v>
      </c>
      <c r="J1614" s="260">
        <v>7537.6688650236092</v>
      </c>
      <c r="K1614" s="618">
        <f t="shared" si="134"/>
        <v>2902003</v>
      </c>
      <c r="L1614" s="39" t="s">
        <v>169</v>
      </c>
      <c r="M1614" s="39" t="s">
        <v>167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909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1156</v>
      </c>
      <c r="E1615" s="37">
        <v>40810</v>
      </c>
      <c r="F1615" s="40" t="s">
        <v>1053</v>
      </c>
      <c r="G1615" s="40"/>
      <c r="H1615" s="632" t="s">
        <v>1116</v>
      </c>
      <c r="I1615" s="260">
        <v>44</v>
      </c>
      <c r="J1615" s="260">
        <v>6671.398735153477</v>
      </c>
      <c r="K1615" s="618">
        <f t="shared" si="134"/>
        <v>293542</v>
      </c>
      <c r="L1615" s="39" t="s">
        <v>169</v>
      </c>
      <c r="M1615" s="39" t="s">
        <v>167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909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1156</v>
      </c>
      <c r="E1616" s="37">
        <v>40810</v>
      </c>
      <c r="F1616" s="40" t="s">
        <v>1026</v>
      </c>
      <c r="G1616" s="40"/>
      <c r="H1616" s="632" t="s">
        <v>1116</v>
      </c>
      <c r="I1616" s="260">
        <v>727</v>
      </c>
      <c r="J1616" s="260">
        <v>12964.654581095709</v>
      </c>
      <c r="K1616" s="618">
        <f t="shared" si="134"/>
        <v>9425304</v>
      </c>
      <c r="L1616" s="39" t="s">
        <v>169</v>
      </c>
      <c r="M1616" s="39" t="s">
        <v>167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909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1156</v>
      </c>
      <c r="E1617" s="37">
        <v>40810</v>
      </c>
      <c r="F1617" s="40" t="s">
        <v>774</v>
      </c>
      <c r="G1617" s="40"/>
      <c r="H1617" s="632" t="s">
        <v>1116</v>
      </c>
      <c r="I1617" s="260">
        <v>2088</v>
      </c>
      <c r="J1617" s="260">
        <v>8037.1975857281905</v>
      </c>
      <c r="K1617" s="618">
        <f t="shared" si="134"/>
        <v>16781669</v>
      </c>
      <c r="L1617" s="39" t="s">
        <v>169</v>
      </c>
      <c r="M1617" s="39" t="s">
        <v>167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909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1156</v>
      </c>
      <c r="E1618" s="37">
        <v>40810</v>
      </c>
      <c r="F1618" s="40" t="s">
        <v>1026</v>
      </c>
      <c r="G1618" s="40"/>
      <c r="H1618" s="632" t="s">
        <v>1116</v>
      </c>
      <c r="I1618" s="260">
        <v>1514</v>
      </c>
      <c r="J1618" s="260">
        <v>12949.89873515348</v>
      </c>
      <c r="K1618" s="618">
        <f t="shared" si="134"/>
        <v>19606147</v>
      </c>
      <c r="L1618" s="39" t="s">
        <v>169</v>
      </c>
      <c r="M1618" s="39" t="s">
        <v>167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909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1156</v>
      </c>
      <c r="E1619" s="37">
        <v>40810</v>
      </c>
      <c r="F1619" s="40" t="s">
        <v>769</v>
      </c>
      <c r="G1619" s="40"/>
      <c r="H1619" s="632" t="s">
        <v>1116</v>
      </c>
      <c r="I1619" s="260">
        <v>548</v>
      </c>
      <c r="J1619" s="260">
        <v>8878.7308519417984</v>
      </c>
      <c r="K1619" s="618">
        <f t="shared" si="134"/>
        <v>4865545</v>
      </c>
      <c r="L1619" s="39" t="s">
        <v>169</v>
      </c>
      <c r="M1619" s="39" t="s">
        <v>167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909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1156</v>
      </c>
      <c r="E1620" s="37">
        <v>40810</v>
      </c>
      <c r="F1620" s="40" t="s">
        <v>773</v>
      </c>
      <c r="G1620" s="40"/>
      <c r="H1620" s="632" t="s">
        <v>1116</v>
      </c>
      <c r="I1620" s="260">
        <v>41</v>
      </c>
      <c r="J1620" s="260">
        <v>14530.447515641283</v>
      </c>
      <c r="K1620" s="618">
        <f t="shared" si="134"/>
        <v>595748</v>
      </c>
      <c r="L1620" s="39" t="s">
        <v>169</v>
      </c>
      <c r="M1620" s="39" t="s">
        <v>167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909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1156</v>
      </c>
      <c r="E1621" s="37">
        <v>40810</v>
      </c>
      <c r="F1621" s="40" t="s">
        <v>770</v>
      </c>
      <c r="G1621" s="40"/>
      <c r="H1621" s="632" t="s">
        <v>1116</v>
      </c>
      <c r="I1621" s="260">
        <v>20</v>
      </c>
      <c r="J1621" s="260">
        <v>10708.89873515348</v>
      </c>
      <c r="K1621" s="618">
        <f t="shared" si="134"/>
        <v>214178</v>
      </c>
      <c r="L1621" s="39" t="s">
        <v>169</v>
      </c>
      <c r="M1621" s="39" t="s">
        <v>167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909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1004</v>
      </c>
      <c r="E1622" s="37">
        <v>40810</v>
      </c>
      <c r="F1622" s="40" t="s">
        <v>1051</v>
      </c>
      <c r="G1622" s="40" t="s">
        <v>1221</v>
      </c>
      <c r="H1622" s="632" t="s">
        <v>785</v>
      </c>
      <c r="I1622" s="260">
        <v>200</v>
      </c>
      <c r="J1622" s="260">
        <v>7394.3987351534779</v>
      </c>
      <c r="K1622" s="618">
        <f t="shared" si="134"/>
        <v>1478880</v>
      </c>
      <c r="L1622" s="39" t="s">
        <v>179</v>
      </c>
      <c r="M1622" s="39" t="s">
        <v>169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909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1004</v>
      </c>
      <c r="E1623" s="37">
        <v>40810</v>
      </c>
      <c r="F1623" s="40" t="s">
        <v>1052</v>
      </c>
      <c r="G1623" s="40" t="s">
        <v>1221</v>
      </c>
      <c r="H1623" s="632" t="s">
        <v>785</v>
      </c>
      <c r="I1623" s="260">
        <v>385</v>
      </c>
      <c r="J1623" s="260">
        <v>7537.6688650236092</v>
      </c>
      <c r="K1623" s="618">
        <f t="shared" si="134"/>
        <v>2902003</v>
      </c>
      <c r="L1623" s="39" t="s">
        <v>179</v>
      </c>
      <c r="M1623" s="39" t="s">
        <v>169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909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1004</v>
      </c>
      <c r="E1624" s="37">
        <v>40810</v>
      </c>
      <c r="F1624" s="40" t="s">
        <v>1053</v>
      </c>
      <c r="G1624" s="40" t="s">
        <v>1221</v>
      </c>
      <c r="H1624" s="632" t="s">
        <v>785</v>
      </c>
      <c r="I1624" s="260">
        <v>44</v>
      </c>
      <c r="J1624" s="260">
        <v>6671.398735153477</v>
      </c>
      <c r="K1624" s="618">
        <f t="shared" si="134"/>
        <v>293542</v>
      </c>
      <c r="L1624" s="39" t="s">
        <v>179</v>
      </c>
      <c r="M1624" s="39" t="s">
        <v>169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909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1005</v>
      </c>
      <c r="E1625" s="37">
        <v>40810</v>
      </c>
      <c r="F1625" s="40" t="s">
        <v>1026</v>
      </c>
      <c r="G1625" s="40" t="s">
        <v>1222</v>
      </c>
      <c r="H1625" s="632" t="s">
        <v>756</v>
      </c>
      <c r="I1625" s="260">
        <v>727</v>
      </c>
      <c r="J1625" s="260">
        <v>12964.654581095709</v>
      </c>
      <c r="K1625" s="618">
        <f t="shared" si="134"/>
        <v>9425304</v>
      </c>
      <c r="L1625" s="39" t="s">
        <v>179</v>
      </c>
      <c r="M1625" s="39" t="s">
        <v>169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909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1005</v>
      </c>
      <c r="E1626" s="37">
        <v>40810</v>
      </c>
      <c r="F1626" s="40" t="s">
        <v>774</v>
      </c>
      <c r="G1626" s="40" t="s">
        <v>1222</v>
      </c>
      <c r="H1626" s="632" t="s">
        <v>756</v>
      </c>
      <c r="I1626" s="260">
        <v>2088</v>
      </c>
      <c r="J1626" s="260">
        <v>8037.1975857281905</v>
      </c>
      <c r="K1626" s="618">
        <f t="shared" si="134"/>
        <v>16781669</v>
      </c>
      <c r="L1626" s="39" t="s">
        <v>179</v>
      </c>
      <c r="M1626" s="39" t="s">
        <v>169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909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1005</v>
      </c>
      <c r="E1627" s="37">
        <v>40810</v>
      </c>
      <c r="F1627" s="40" t="s">
        <v>1026</v>
      </c>
      <c r="G1627" s="40" t="s">
        <v>1222</v>
      </c>
      <c r="H1627" s="632" t="s">
        <v>756</v>
      </c>
      <c r="I1627" s="260">
        <v>1514</v>
      </c>
      <c r="J1627" s="260">
        <v>12949.89873515348</v>
      </c>
      <c r="K1627" s="618">
        <f t="shared" si="134"/>
        <v>19606147</v>
      </c>
      <c r="L1627" s="39" t="s">
        <v>179</v>
      </c>
      <c r="M1627" s="39" t="s">
        <v>169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909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1005</v>
      </c>
      <c r="E1628" s="37">
        <v>40810</v>
      </c>
      <c r="F1628" s="40" t="s">
        <v>769</v>
      </c>
      <c r="G1628" s="40" t="s">
        <v>1222</v>
      </c>
      <c r="H1628" s="632" t="s">
        <v>756</v>
      </c>
      <c r="I1628" s="260">
        <v>548</v>
      </c>
      <c r="J1628" s="260">
        <v>8878.7308519417984</v>
      </c>
      <c r="K1628" s="618">
        <f t="shared" si="134"/>
        <v>4865545</v>
      </c>
      <c r="L1628" s="39" t="s">
        <v>179</v>
      </c>
      <c r="M1628" s="39" t="s">
        <v>169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909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1005</v>
      </c>
      <c r="E1629" s="37">
        <v>40810</v>
      </c>
      <c r="F1629" s="40" t="s">
        <v>773</v>
      </c>
      <c r="G1629" s="40" t="s">
        <v>1222</v>
      </c>
      <c r="H1629" s="632" t="s">
        <v>756</v>
      </c>
      <c r="I1629" s="260">
        <v>41</v>
      </c>
      <c r="J1629" s="260">
        <v>14530.447515641283</v>
      </c>
      <c r="K1629" s="618">
        <f t="shared" si="134"/>
        <v>595748</v>
      </c>
      <c r="L1629" s="39" t="s">
        <v>179</v>
      </c>
      <c r="M1629" s="39" t="s">
        <v>169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909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1005</v>
      </c>
      <c r="E1630" s="37">
        <v>40810</v>
      </c>
      <c r="F1630" s="40" t="s">
        <v>770</v>
      </c>
      <c r="G1630" s="40" t="s">
        <v>1222</v>
      </c>
      <c r="H1630" s="632" t="s">
        <v>756</v>
      </c>
      <c r="I1630" s="260">
        <v>20</v>
      </c>
      <c r="J1630" s="260">
        <v>10708.89873515348</v>
      </c>
      <c r="K1630" s="618">
        <f t="shared" si="134"/>
        <v>214178</v>
      </c>
      <c r="L1630" s="39" t="s">
        <v>179</v>
      </c>
      <c r="M1630" s="39" t="s">
        <v>169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909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1006</v>
      </c>
      <c r="E1631" s="191">
        <v>40811</v>
      </c>
      <c r="F1631" s="192" t="s">
        <v>946</v>
      </c>
      <c r="G1631" s="502" t="s">
        <v>1223</v>
      </c>
      <c r="H1631" s="193" t="s">
        <v>756</v>
      </c>
      <c r="I1631" s="260">
        <v>106</v>
      </c>
      <c r="J1631" s="260">
        <v>8398</v>
      </c>
      <c r="K1631" s="618">
        <v>890188</v>
      </c>
      <c r="L1631" s="194" t="s">
        <v>274</v>
      </c>
      <c r="M1631" s="194" t="s">
        <v>181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909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1006</v>
      </c>
      <c r="E1632" s="191">
        <v>40811</v>
      </c>
      <c r="F1632" s="192" t="s">
        <v>950</v>
      </c>
      <c r="G1632" s="502" t="s">
        <v>1223</v>
      </c>
      <c r="H1632" s="193" t="s">
        <v>756</v>
      </c>
      <c r="I1632" s="260">
        <v>499</v>
      </c>
      <c r="J1632" s="260">
        <v>9538</v>
      </c>
      <c r="K1632" s="618">
        <v>4759462</v>
      </c>
      <c r="L1632" s="194" t="s">
        <v>274</v>
      </c>
      <c r="M1632" s="194" t="s">
        <v>181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909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1006</v>
      </c>
      <c r="E1633" s="191">
        <v>40811</v>
      </c>
      <c r="F1633" s="192" t="s">
        <v>780</v>
      </c>
      <c r="G1633" s="502" t="s">
        <v>1223</v>
      </c>
      <c r="H1633" s="193" t="s">
        <v>756</v>
      </c>
      <c r="I1633" s="260">
        <v>3</v>
      </c>
      <c r="J1633" s="260">
        <v>5166</v>
      </c>
      <c r="K1633" s="618">
        <v>15498</v>
      </c>
      <c r="L1633" s="194" t="s">
        <v>274</v>
      </c>
      <c r="M1633" s="194" t="s">
        <v>181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909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1006</v>
      </c>
      <c r="E1634" s="191">
        <v>40811</v>
      </c>
      <c r="F1634" s="192" t="s">
        <v>771</v>
      </c>
      <c r="G1634" s="502" t="s">
        <v>1223</v>
      </c>
      <c r="H1634" s="193" t="s">
        <v>756</v>
      </c>
      <c r="I1634" s="260">
        <v>13</v>
      </c>
      <c r="J1634" s="260">
        <v>10189</v>
      </c>
      <c r="K1634" s="618">
        <v>132457</v>
      </c>
      <c r="L1634" s="194" t="s">
        <v>274</v>
      </c>
      <c r="M1634" s="194" t="s">
        <v>181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909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1006</v>
      </c>
      <c r="E1635" s="191">
        <v>40811</v>
      </c>
      <c r="F1635" s="192" t="s">
        <v>1295</v>
      </c>
      <c r="G1635" s="502" t="s">
        <v>1223</v>
      </c>
      <c r="H1635" s="193" t="s">
        <v>756</v>
      </c>
      <c r="I1635" s="260">
        <v>1</v>
      </c>
      <c r="J1635" s="260">
        <v>10211</v>
      </c>
      <c r="K1635" s="618">
        <v>10211</v>
      </c>
      <c r="L1635" s="194" t="s">
        <v>274</v>
      </c>
      <c r="M1635" s="194" t="s">
        <v>181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909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1006</v>
      </c>
      <c r="E1636" s="191">
        <v>40811</v>
      </c>
      <c r="F1636" s="189" t="s">
        <v>948</v>
      </c>
      <c r="G1636" s="502" t="s">
        <v>1223</v>
      </c>
      <c r="H1636" s="193" t="s">
        <v>756</v>
      </c>
      <c r="I1636" s="260">
        <v>6</v>
      </c>
      <c r="J1636" s="260">
        <v>7042</v>
      </c>
      <c r="K1636" s="618">
        <v>42252</v>
      </c>
      <c r="L1636" s="194" t="s">
        <v>274</v>
      </c>
      <c r="M1636" s="194" t="s">
        <v>181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909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1006</v>
      </c>
      <c r="E1637" s="191">
        <v>40811</v>
      </c>
      <c r="F1637" s="192" t="s">
        <v>1023</v>
      </c>
      <c r="G1637" s="502" t="s">
        <v>1223</v>
      </c>
      <c r="H1637" s="193" t="s">
        <v>756</v>
      </c>
      <c r="I1637" s="260">
        <v>2</v>
      </c>
      <c r="J1637" s="260">
        <v>6510</v>
      </c>
      <c r="K1637" s="618">
        <v>13020</v>
      </c>
      <c r="L1637" s="194" t="s">
        <v>274</v>
      </c>
      <c r="M1637" s="194" t="s">
        <v>181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909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1006</v>
      </c>
      <c r="E1638" s="191">
        <v>40811</v>
      </c>
      <c r="F1638" s="192" t="s">
        <v>1055</v>
      </c>
      <c r="G1638" s="502" t="s">
        <v>1223</v>
      </c>
      <c r="H1638" s="193" t="s">
        <v>756</v>
      </c>
      <c r="I1638" s="260">
        <v>2</v>
      </c>
      <c r="J1638" s="260">
        <v>7229</v>
      </c>
      <c r="K1638" s="618">
        <v>14458</v>
      </c>
      <c r="L1638" s="194" t="s">
        <v>274</v>
      </c>
      <c r="M1638" s="194" t="s">
        <v>181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909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1006</v>
      </c>
      <c r="E1639" s="191">
        <v>40811</v>
      </c>
      <c r="F1639" s="192" t="s">
        <v>1200</v>
      </c>
      <c r="G1639" s="502" t="s">
        <v>1223</v>
      </c>
      <c r="H1639" s="193" t="s">
        <v>756</v>
      </c>
      <c r="I1639" s="260"/>
      <c r="J1639" s="260"/>
      <c r="K1639" s="618">
        <v>587755</v>
      </c>
      <c r="L1639" s="194" t="s">
        <v>274</v>
      </c>
      <c r="M1639" s="194" t="s">
        <v>754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909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1241</v>
      </c>
      <c r="E1640" s="802">
        <v>40811</v>
      </c>
      <c r="F1640" s="189" t="s">
        <v>604</v>
      </c>
      <c r="G1640" s="40"/>
      <c r="H1640" s="632" t="s">
        <v>1116</v>
      </c>
      <c r="I1640" s="260">
        <v>100</v>
      </c>
      <c r="J1640" s="260">
        <v>16787</v>
      </c>
      <c r="K1640" s="618">
        <f t="shared" ref="K1640:K1659" si="137">ROUND(I1640*J1640,0)</f>
        <v>1678700</v>
      </c>
      <c r="L1640" s="39" t="s">
        <v>167</v>
      </c>
      <c r="M1640" s="39" t="s">
        <v>159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909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1241</v>
      </c>
      <c r="E1641" s="802">
        <v>40811</v>
      </c>
      <c r="F1641" s="302" t="s">
        <v>502</v>
      </c>
      <c r="G1641" s="40"/>
      <c r="H1641" s="632" t="s">
        <v>1116</v>
      </c>
      <c r="I1641" s="260">
        <v>110</v>
      </c>
      <c r="J1641" s="260">
        <v>6026</v>
      </c>
      <c r="K1641" s="618">
        <f t="shared" si="137"/>
        <v>662860</v>
      </c>
      <c r="L1641" s="39" t="s">
        <v>167</v>
      </c>
      <c r="M1641" s="39" t="s">
        <v>159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909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1241</v>
      </c>
      <c r="E1642" s="802">
        <v>40811</v>
      </c>
      <c r="F1642" s="40" t="s">
        <v>620</v>
      </c>
      <c r="G1642" s="40"/>
      <c r="H1642" s="632" t="s">
        <v>1116</v>
      </c>
      <c r="I1642" s="260">
        <v>138</v>
      </c>
      <c r="J1642" s="260">
        <v>25942</v>
      </c>
      <c r="K1642" s="618">
        <f t="shared" si="137"/>
        <v>3579996</v>
      </c>
      <c r="L1642" s="39" t="s">
        <v>167</v>
      </c>
      <c r="M1642" s="39" t="s">
        <v>159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909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1241</v>
      </c>
      <c r="E1643" s="802">
        <v>40811</v>
      </c>
      <c r="F1643" s="189" t="s">
        <v>565</v>
      </c>
      <c r="G1643" s="40"/>
      <c r="H1643" s="632" t="s">
        <v>1116</v>
      </c>
      <c r="I1643" s="260">
        <v>115</v>
      </c>
      <c r="J1643" s="260">
        <v>19638</v>
      </c>
      <c r="K1643" s="618">
        <f t="shared" si="137"/>
        <v>2258370</v>
      </c>
      <c r="L1643" s="39" t="s">
        <v>167</v>
      </c>
      <c r="M1643" s="39" t="s">
        <v>159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909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1234</v>
      </c>
      <c r="E1644" s="37">
        <v>40811</v>
      </c>
      <c r="F1644" s="192" t="s">
        <v>946</v>
      </c>
      <c r="G1644" s="40"/>
      <c r="H1644" s="632" t="s">
        <v>1116</v>
      </c>
      <c r="I1644" s="260">
        <v>106</v>
      </c>
      <c r="J1644" s="260">
        <v>7394.3987351534788</v>
      </c>
      <c r="K1644" s="618">
        <f t="shared" si="137"/>
        <v>783806</v>
      </c>
      <c r="L1644" s="39" t="s">
        <v>169</v>
      </c>
      <c r="M1644" s="39" t="s">
        <v>167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909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1234</v>
      </c>
      <c r="E1645" s="37">
        <v>40811</v>
      </c>
      <c r="F1645" s="192" t="s">
        <v>950</v>
      </c>
      <c r="G1645" s="40"/>
      <c r="H1645" s="632" t="s">
        <v>1116</v>
      </c>
      <c r="I1645" s="260">
        <v>499</v>
      </c>
      <c r="J1645" s="260">
        <v>8248.3987351534797</v>
      </c>
      <c r="K1645" s="618">
        <f t="shared" si="137"/>
        <v>4115951</v>
      </c>
      <c r="L1645" s="39" t="s">
        <v>169</v>
      </c>
      <c r="M1645" s="39" t="s">
        <v>167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909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1234</v>
      </c>
      <c r="E1646" s="37">
        <v>40811</v>
      </c>
      <c r="F1646" s="40" t="s">
        <v>780</v>
      </c>
      <c r="G1646" s="40"/>
      <c r="H1646" s="632" t="s">
        <v>1116</v>
      </c>
      <c r="I1646" s="260">
        <v>3</v>
      </c>
      <c r="J1646" s="260">
        <v>5188.3987351534788</v>
      </c>
      <c r="K1646" s="618">
        <f t="shared" si="137"/>
        <v>15565</v>
      </c>
      <c r="L1646" s="39" t="s">
        <v>169</v>
      </c>
      <c r="M1646" s="39" t="s">
        <v>167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909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1234</v>
      </c>
      <c r="E1647" s="37">
        <v>40811</v>
      </c>
      <c r="F1647" s="40" t="s">
        <v>771</v>
      </c>
      <c r="G1647" s="40"/>
      <c r="H1647" s="632" t="s">
        <v>1116</v>
      </c>
      <c r="I1647" s="260">
        <v>13</v>
      </c>
      <c r="J1647" s="260">
        <v>8263.9371966919389</v>
      </c>
      <c r="K1647" s="618">
        <f t="shared" si="137"/>
        <v>107431</v>
      </c>
      <c r="L1647" s="39" t="s">
        <v>169</v>
      </c>
      <c r="M1647" s="39" t="s">
        <v>167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909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1234</v>
      </c>
      <c r="E1648" s="37">
        <v>40811</v>
      </c>
      <c r="F1648" s="192" t="s">
        <v>1295</v>
      </c>
      <c r="G1648" s="40"/>
      <c r="H1648" s="632" t="s">
        <v>1116</v>
      </c>
      <c r="I1648" s="260">
        <v>1</v>
      </c>
      <c r="J1648" s="260">
        <v>9490.3987351534779</v>
      </c>
      <c r="K1648" s="618">
        <f t="shared" si="137"/>
        <v>9490</v>
      </c>
      <c r="L1648" s="39" t="s">
        <v>169</v>
      </c>
      <c r="M1648" s="39" t="s">
        <v>167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909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1234</v>
      </c>
      <c r="E1649" s="37">
        <v>40811</v>
      </c>
      <c r="F1649" s="189" t="s">
        <v>948</v>
      </c>
      <c r="G1649" s="40"/>
      <c r="H1649" s="632" t="s">
        <v>1116</v>
      </c>
      <c r="I1649" s="260">
        <v>6</v>
      </c>
      <c r="J1649" s="260">
        <v>6671.3987351534788</v>
      </c>
      <c r="K1649" s="618">
        <f t="shared" si="137"/>
        <v>40028</v>
      </c>
      <c r="L1649" s="39" t="s">
        <v>169</v>
      </c>
      <c r="M1649" s="39" t="s">
        <v>167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909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1234</v>
      </c>
      <c r="E1650" s="37">
        <v>40811</v>
      </c>
      <c r="F1650" s="40" t="s">
        <v>1023</v>
      </c>
      <c r="G1650" s="40"/>
      <c r="H1650" s="632" t="s">
        <v>1116</v>
      </c>
      <c r="I1650" s="260">
        <v>2</v>
      </c>
      <c r="J1650" s="260">
        <v>6671.3987351534788</v>
      </c>
      <c r="K1650" s="618">
        <f t="shared" si="137"/>
        <v>13343</v>
      </c>
      <c r="L1650" s="39" t="s">
        <v>169</v>
      </c>
      <c r="M1650" s="39" t="s">
        <v>167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909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1234</v>
      </c>
      <c r="E1651" s="37">
        <v>40811</v>
      </c>
      <c r="F1651" s="40" t="s">
        <v>1055</v>
      </c>
      <c r="G1651" s="40"/>
      <c r="H1651" s="632" t="s">
        <v>1116</v>
      </c>
      <c r="I1651" s="260">
        <v>2</v>
      </c>
      <c r="J1651" s="260">
        <v>6671.3987351534788</v>
      </c>
      <c r="K1651" s="618">
        <f t="shared" si="137"/>
        <v>13343</v>
      </c>
      <c r="L1651" s="39" t="s">
        <v>169</v>
      </c>
      <c r="M1651" s="39" t="s">
        <v>167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909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1006</v>
      </c>
      <c r="E1652" s="37">
        <v>40811</v>
      </c>
      <c r="F1652" s="192" t="s">
        <v>946</v>
      </c>
      <c r="G1652" s="40" t="s">
        <v>1223</v>
      </c>
      <c r="H1652" s="632" t="s">
        <v>756</v>
      </c>
      <c r="I1652" s="260">
        <v>106</v>
      </c>
      <c r="J1652" s="260">
        <v>7394.3987351534788</v>
      </c>
      <c r="K1652" s="618">
        <f t="shared" si="137"/>
        <v>783806</v>
      </c>
      <c r="L1652" s="39" t="s">
        <v>179</v>
      </c>
      <c r="M1652" s="39" t="s">
        <v>169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909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1006</v>
      </c>
      <c r="E1653" s="37">
        <v>40811</v>
      </c>
      <c r="F1653" s="192" t="s">
        <v>950</v>
      </c>
      <c r="G1653" s="40" t="s">
        <v>1223</v>
      </c>
      <c r="H1653" s="632" t="s">
        <v>756</v>
      </c>
      <c r="I1653" s="260">
        <v>499</v>
      </c>
      <c r="J1653" s="260">
        <v>8248.3987351534797</v>
      </c>
      <c r="K1653" s="618">
        <f t="shared" si="137"/>
        <v>4115951</v>
      </c>
      <c r="L1653" s="39" t="s">
        <v>179</v>
      </c>
      <c r="M1653" s="39" t="s">
        <v>169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909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1006</v>
      </c>
      <c r="E1654" s="37">
        <v>40811</v>
      </c>
      <c r="F1654" s="40" t="s">
        <v>780</v>
      </c>
      <c r="G1654" s="40" t="s">
        <v>1223</v>
      </c>
      <c r="H1654" s="632" t="s">
        <v>756</v>
      </c>
      <c r="I1654" s="260">
        <v>3</v>
      </c>
      <c r="J1654" s="260">
        <v>5188.3987351534788</v>
      </c>
      <c r="K1654" s="618">
        <f t="shared" si="137"/>
        <v>15565</v>
      </c>
      <c r="L1654" s="39" t="s">
        <v>179</v>
      </c>
      <c r="M1654" s="39" t="s">
        <v>169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909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1006</v>
      </c>
      <c r="E1655" s="37">
        <v>40811</v>
      </c>
      <c r="F1655" s="40" t="s">
        <v>771</v>
      </c>
      <c r="G1655" s="40" t="s">
        <v>1223</v>
      </c>
      <c r="H1655" s="632" t="s">
        <v>756</v>
      </c>
      <c r="I1655" s="260">
        <v>13</v>
      </c>
      <c r="J1655" s="260">
        <v>8263.9371966919389</v>
      </c>
      <c r="K1655" s="618">
        <f t="shared" si="137"/>
        <v>107431</v>
      </c>
      <c r="L1655" s="39" t="s">
        <v>179</v>
      </c>
      <c r="M1655" s="39" t="s">
        <v>169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909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1006</v>
      </c>
      <c r="E1656" s="37">
        <v>40811</v>
      </c>
      <c r="F1656" s="192" t="s">
        <v>1295</v>
      </c>
      <c r="G1656" s="40" t="s">
        <v>1223</v>
      </c>
      <c r="H1656" s="632" t="s">
        <v>756</v>
      </c>
      <c r="I1656" s="260">
        <v>1</v>
      </c>
      <c r="J1656" s="260">
        <v>9490.3987351534779</v>
      </c>
      <c r="K1656" s="618">
        <f t="shared" si="137"/>
        <v>9490</v>
      </c>
      <c r="L1656" s="39" t="s">
        <v>179</v>
      </c>
      <c r="M1656" s="39" t="s">
        <v>169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909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1006</v>
      </c>
      <c r="E1657" s="37">
        <v>40811</v>
      </c>
      <c r="F1657" s="189" t="s">
        <v>948</v>
      </c>
      <c r="G1657" s="40" t="s">
        <v>1223</v>
      </c>
      <c r="H1657" s="632" t="s">
        <v>756</v>
      </c>
      <c r="I1657" s="260">
        <v>6</v>
      </c>
      <c r="J1657" s="260">
        <v>6671.3987351534788</v>
      </c>
      <c r="K1657" s="618">
        <f t="shared" si="137"/>
        <v>40028</v>
      </c>
      <c r="L1657" s="39" t="s">
        <v>179</v>
      </c>
      <c r="M1657" s="39" t="s">
        <v>169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909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1006</v>
      </c>
      <c r="E1658" s="37">
        <v>40811</v>
      </c>
      <c r="F1658" s="40" t="s">
        <v>1023</v>
      </c>
      <c r="G1658" s="40" t="s">
        <v>1223</v>
      </c>
      <c r="H1658" s="632" t="s">
        <v>756</v>
      </c>
      <c r="I1658" s="260">
        <v>2</v>
      </c>
      <c r="J1658" s="260">
        <v>6671.3987351534788</v>
      </c>
      <c r="K1658" s="618">
        <f t="shared" si="137"/>
        <v>13343</v>
      </c>
      <c r="L1658" s="39" t="s">
        <v>179</v>
      </c>
      <c r="M1658" s="39" t="s">
        <v>169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909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1006</v>
      </c>
      <c r="E1659" s="37">
        <v>40811</v>
      </c>
      <c r="F1659" s="40" t="s">
        <v>1055</v>
      </c>
      <c r="G1659" s="40" t="s">
        <v>1223</v>
      </c>
      <c r="H1659" s="632" t="s">
        <v>756</v>
      </c>
      <c r="I1659" s="260">
        <v>2</v>
      </c>
      <c r="J1659" s="260">
        <v>6671.3987351534788</v>
      </c>
      <c r="K1659" s="618">
        <f t="shared" si="137"/>
        <v>13343</v>
      </c>
      <c r="L1659" s="39" t="s">
        <v>179</v>
      </c>
      <c r="M1659" s="39" t="s">
        <v>169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909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1007</v>
      </c>
      <c r="E1660" s="191">
        <v>40812</v>
      </c>
      <c r="F1660" s="192" t="s">
        <v>778</v>
      </c>
      <c r="G1660" s="502" t="s">
        <v>1224</v>
      </c>
      <c r="H1660" s="193" t="s">
        <v>756</v>
      </c>
      <c r="I1660" s="260">
        <v>5</v>
      </c>
      <c r="J1660" s="260">
        <v>12109</v>
      </c>
      <c r="K1660" s="618">
        <v>60545</v>
      </c>
      <c r="L1660" s="194" t="s">
        <v>274</v>
      </c>
      <c r="M1660" s="194" t="s">
        <v>181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909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1007</v>
      </c>
      <c r="E1661" s="191">
        <v>40812</v>
      </c>
      <c r="F1661" s="192" t="s">
        <v>1056</v>
      </c>
      <c r="G1661" s="502" t="s">
        <v>1224</v>
      </c>
      <c r="H1661" s="193" t="s">
        <v>756</v>
      </c>
      <c r="I1661" s="260">
        <v>1</v>
      </c>
      <c r="J1661" s="260">
        <v>11245</v>
      </c>
      <c r="K1661" s="618">
        <v>11245</v>
      </c>
      <c r="L1661" s="194" t="s">
        <v>274</v>
      </c>
      <c r="M1661" s="194" t="s">
        <v>181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909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1007</v>
      </c>
      <c r="E1662" s="191">
        <v>40812</v>
      </c>
      <c r="F1662" s="192" t="s">
        <v>1034</v>
      </c>
      <c r="G1662" s="502" t="s">
        <v>1224</v>
      </c>
      <c r="H1662" s="193" t="s">
        <v>756</v>
      </c>
      <c r="I1662" s="260">
        <v>1</v>
      </c>
      <c r="J1662" s="260">
        <v>13027</v>
      </c>
      <c r="K1662" s="618">
        <v>13027</v>
      </c>
      <c r="L1662" s="194" t="s">
        <v>274</v>
      </c>
      <c r="M1662" s="194" t="s">
        <v>181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909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1007</v>
      </c>
      <c r="E1663" s="191">
        <v>40812</v>
      </c>
      <c r="F1663" s="192" t="s">
        <v>1321</v>
      </c>
      <c r="G1663" s="502" t="s">
        <v>1224</v>
      </c>
      <c r="H1663" s="193" t="s">
        <v>756</v>
      </c>
      <c r="I1663" s="260">
        <v>3</v>
      </c>
      <c r="J1663" s="260">
        <v>9960</v>
      </c>
      <c r="K1663" s="618">
        <v>29880</v>
      </c>
      <c r="L1663" s="194" t="s">
        <v>274</v>
      </c>
      <c r="M1663" s="194" t="s">
        <v>181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909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1007</v>
      </c>
      <c r="E1664" s="191">
        <v>40812</v>
      </c>
      <c r="F1664" s="192" t="s">
        <v>768</v>
      </c>
      <c r="G1664" s="502" t="s">
        <v>1224</v>
      </c>
      <c r="H1664" s="193" t="s">
        <v>756</v>
      </c>
      <c r="I1664" s="260">
        <v>3</v>
      </c>
      <c r="J1664" s="260">
        <v>9202</v>
      </c>
      <c r="K1664" s="618">
        <v>27606</v>
      </c>
      <c r="L1664" s="194" t="s">
        <v>274</v>
      </c>
      <c r="M1664" s="194" t="s">
        <v>181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909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1007</v>
      </c>
      <c r="E1665" s="191">
        <v>40812</v>
      </c>
      <c r="F1665" s="192" t="s">
        <v>1057</v>
      </c>
      <c r="G1665" s="502" t="s">
        <v>1224</v>
      </c>
      <c r="H1665" s="193" t="s">
        <v>756</v>
      </c>
      <c r="I1665" s="260">
        <v>1</v>
      </c>
      <c r="J1665" s="260">
        <v>7302</v>
      </c>
      <c r="K1665" s="618">
        <v>7302</v>
      </c>
      <c r="L1665" s="194" t="s">
        <v>274</v>
      </c>
      <c r="M1665" s="194" t="s">
        <v>181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909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1007</v>
      </c>
      <c r="E1666" s="191">
        <v>40812</v>
      </c>
      <c r="F1666" s="192" t="s">
        <v>772</v>
      </c>
      <c r="G1666" s="502" t="s">
        <v>1224</v>
      </c>
      <c r="H1666" s="193" t="s">
        <v>756</v>
      </c>
      <c r="I1666" s="260">
        <v>1</v>
      </c>
      <c r="J1666" s="260">
        <v>12495</v>
      </c>
      <c r="K1666" s="618">
        <v>12495</v>
      </c>
      <c r="L1666" s="194" t="s">
        <v>274</v>
      </c>
      <c r="M1666" s="194" t="s">
        <v>181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909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1007</v>
      </c>
      <c r="E1667" s="191">
        <v>40812</v>
      </c>
      <c r="F1667" s="192" t="s">
        <v>781</v>
      </c>
      <c r="G1667" s="502" t="s">
        <v>1224</v>
      </c>
      <c r="H1667" s="193" t="s">
        <v>756</v>
      </c>
      <c r="I1667" s="260">
        <v>5</v>
      </c>
      <c r="J1667" s="260">
        <v>7295</v>
      </c>
      <c r="K1667" s="618">
        <v>36475</v>
      </c>
      <c r="L1667" s="194" t="s">
        <v>274</v>
      </c>
      <c r="M1667" s="194" t="s">
        <v>181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909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1007</v>
      </c>
      <c r="E1668" s="191">
        <v>40812</v>
      </c>
      <c r="F1668" s="192" t="s">
        <v>1200</v>
      </c>
      <c r="G1668" s="502" t="s">
        <v>1224</v>
      </c>
      <c r="H1668" s="193" t="s">
        <v>756</v>
      </c>
      <c r="I1668" s="260"/>
      <c r="J1668" s="260"/>
      <c r="K1668" s="618">
        <v>19858</v>
      </c>
      <c r="L1668" s="194" t="s">
        <v>274</v>
      </c>
      <c r="M1668" s="194" t="s">
        <v>754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909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1235</v>
      </c>
      <c r="E1669" s="37">
        <v>40812</v>
      </c>
      <c r="F1669" s="40" t="s">
        <v>778</v>
      </c>
      <c r="G1669" s="40"/>
      <c r="H1669" s="632" t="s">
        <v>1116</v>
      </c>
      <c r="I1669" s="260">
        <v>5</v>
      </c>
      <c r="J1669" s="260">
        <v>10308.99873515348</v>
      </c>
      <c r="K1669" s="618">
        <f t="shared" ref="K1669:K1684" si="139">ROUND(I1669*J1669,0)</f>
        <v>51545</v>
      </c>
      <c r="L1669" s="39" t="s">
        <v>169</v>
      </c>
      <c r="M1669" s="39" t="s">
        <v>167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909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1235</v>
      </c>
      <c r="E1670" s="37">
        <v>40812</v>
      </c>
      <c r="F1670" s="40" t="s">
        <v>1056</v>
      </c>
      <c r="G1670" s="40"/>
      <c r="H1670" s="632" t="s">
        <v>1116</v>
      </c>
      <c r="I1670" s="260">
        <v>1</v>
      </c>
      <c r="J1670" s="260">
        <v>10374.398735153478</v>
      </c>
      <c r="K1670" s="618">
        <f t="shared" si="139"/>
        <v>10374</v>
      </c>
      <c r="L1670" s="39" t="s">
        <v>169</v>
      </c>
      <c r="M1670" s="39" t="s">
        <v>167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909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1235</v>
      </c>
      <c r="E1671" s="37">
        <v>40812</v>
      </c>
      <c r="F1671" s="40" t="s">
        <v>1034</v>
      </c>
      <c r="G1671" s="40"/>
      <c r="H1671" s="632" t="s">
        <v>1116</v>
      </c>
      <c r="I1671" s="260">
        <v>1</v>
      </c>
      <c r="J1671" s="260">
        <v>12825.398735153478</v>
      </c>
      <c r="K1671" s="618">
        <f t="shared" si="139"/>
        <v>12825</v>
      </c>
      <c r="L1671" s="39" t="s">
        <v>169</v>
      </c>
      <c r="M1671" s="39" t="s">
        <v>167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909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1235</v>
      </c>
      <c r="E1672" s="37">
        <v>40812</v>
      </c>
      <c r="F1672" s="192" t="s">
        <v>1321</v>
      </c>
      <c r="G1672" s="40"/>
      <c r="H1672" s="632" t="s">
        <v>1116</v>
      </c>
      <c r="I1672" s="260">
        <v>3</v>
      </c>
      <c r="J1672" s="260">
        <v>8248.3987351534797</v>
      </c>
      <c r="K1672" s="618">
        <f t="shared" si="139"/>
        <v>24745</v>
      </c>
      <c r="L1672" s="39" t="s">
        <v>169</v>
      </c>
      <c r="M1672" s="39" t="s">
        <v>167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909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1235</v>
      </c>
      <c r="E1673" s="37">
        <v>40812</v>
      </c>
      <c r="F1673" s="40" t="s">
        <v>768</v>
      </c>
      <c r="G1673" s="40"/>
      <c r="H1673" s="632" t="s">
        <v>1116</v>
      </c>
      <c r="I1673" s="260">
        <v>3</v>
      </c>
      <c r="J1673" s="260">
        <v>8248.3987351534797</v>
      </c>
      <c r="K1673" s="618">
        <f t="shared" si="139"/>
        <v>24745</v>
      </c>
      <c r="L1673" s="39" t="s">
        <v>169</v>
      </c>
      <c r="M1673" s="39" t="s">
        <v>167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909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1235</v>
      </c>
      <c r="E1674" s="37">
        <v>40812</v>
      </c>
      <c r="F1674" s="40" t="s">
        <v>1057</v>
      </c>
      <c r="G1674" s="40"/>
      <c r="H1674" s="632" t="s">
        <v>1116</v>
      </c>
      <c r="I1674" s="260">
        <v>1</v>
      </c>
      <c r="J1674" s="260">
        <v>6671.3987351534788</v>
      </c>
      <c r="K1674" s="618">
        <f t="shared" si="139"/>
        <v>6671</v>
      </c>
      <c r="L1674" s="39" t="s">
        <v>169</v>
      </c>
      <c r="M1674" s="39" t="s">
        <v>167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909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1235</v>
      </c>
      <c r="E1675" s="37">
        <v>40812</v>
      </c>
      <c r="F1675" s="40" t="s">
        <v>772</v>
      </c>
      <c r="G1675" s="40"/>
      <c r="H1675" s="632" t="s">
        <v>1116</v>
      </c>
      <c r="I1675" s="260">
        <v>1</v>
      </c>
      <c r="J1675" s="260">
        <v>10309.398735153478</v>
      </c>
      <c r="K1675" s="618">
        <f t="shared" si="139"/>
        <v>10309</v>
      </c>
      <c r="L1675" s="39" t="s">
        <v>169</v>
      </c>
      <c r="M1675" s="39" t="s">
        <v>167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909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1235</v>
      </c>
      <c r="E1676" s="37">
        <v>40812</v>
      </c>
      <c r="F1676" s="40" t="s">
        <v>781</v>
      </c>
      <c r="G1676" s="40"/>
      <c r="H1676" s="632" t="s">
        <v>1116</v>
      </c>
      <c r="I1676" s="260">
        <v>5</v>
      </c>
      <c r="J1676" s="260">
        <v>6671.3987351534788</v>
      </c>
      <c r="K1676" s="618">
        <f t="shared" si="139"/>
        <v>33357</v>
      </c>
      <c r="L1676" s="39" t="s">
        <v>169</v>
      </c>
      <c r="M1676" s="39" t="s">
        <v>167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909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1007</v>
      </c>
      <c r="E1677" s="37">
        <v>40812</v>
      </c>
      <c r="F1677" s="40" t="s">
        <v>778</v>
      </c>
      <c r="G1677" s="40" t="s">
        <v>1224</v>
      </c>
      <c r="H1677" s="632" t="s">
        <v>756</v>
      </c>
      <c r="I1677" s="260">
        <v>5</v>
      </c>
      <c r="J1677" s="260">
        <v>10308.99873515348</v>
      </c>
      <c r="K1677" s="618">
        <f t="shared" si="139"/>
        <v>51545</v>
      </c>
      <c r="L1677" s="39" t="s">
        <v>179</v>
      </c>
      <c r="M1677" s="39" t="s">
        <v>169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909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1007</v>
      </c>
      <c r="E1678" s="37">
        <v>40812</v>
      </c>
      <c r="F1678" s="40" t="s">
        <v>1056</v>
      </c>
      <c r="G1678" s="40" t="s">
        <v>1224</v>
      </c>
      <c r="H1678" s="632" t="s">
        <v>756</v>
      </c>
      <c r="I1678" s="260">
        <v>1</v>
      </c>
      <c r="J1678" s="260">
        <v>10374.398735153478</v>
      </c>
      <c r="K1678" s="618">
        <f t="shared" si="139"/>
        <v>10374</v>
      </c>
      <c r="L1678" s="39" t="s">
        <v>179</v>
      </c>
      <c r="M1678" s="39" t="s">
        <v>169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909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1007</v>
      </c>
      <c r="E1679" s="37">
        <v>40812</v>
      </c>
      <c r="F1679" s="40" t="s">
        <v>1034</v>
      </c>
      <c r="G1679" s="40" t="s">
        <v>1224</v>
      </c>
      <c r="H1679" s="632" t="s">
        <v>756</v>
      </c>
      <c r="I1679" s="260">
        <v>1</v>
      </c>
      <c r="J1679" s="260">
        <v>12825.398735153478</v>
      </c>
      <c r="K1679" s="618">
        <f t="shared" si="139"/>
        <v>12825</v>
      </c>
      <c r="L1679" s="39" t="s">
        <v>179</v>
      </c>
      <c r="M1679" s="39" t="s">
        <v>169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909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1007</v>
      </c>
      <c r="E1680" s="37">
        <v>40812</v>
      </c>
      <c r="F1680" s="192" t="s">
        <v>1321</v>
      </c>
      <c r="G1680" s="40" t="s">
        <v>1224</v>
      </c>
      <c r="H1680" s="632" t="s">
        <v>756</v>
      </c>
      <c r="I1680" s="260">
        <v>3</v>
      </c>
      <c r="J1680" s="260">
        <v>8248.3987351534797</v>
      </c>
      <c r="K1680" s="618">
        <f t="shared" si="139"/>
        <v>24745</v>
      </c>
      <c r="L1680" s="39" t="s">
        <v>179</v>
      </c>
      <c r="M1680" s="39" t="s">
        <v>169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909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1007</v>
      </c>
      <c r="E1681" s="37">
        <v>40812</v>
      </c>
      <c r="F1681" s="40" t="s">
        <v>768</v>
      </c>
      <c r="G1681" s="40" t="s">
        <v>1224</v>
      </c>
      <c r="H1681" s="632" t="s">
        <v>756</v>
      </c>
      <c r="I1681" s="260">
        <v>3</v>
      </c>
      <c r="J1681" s="260">
        <v>8248.3987351534797</v>
      </c>
      <c r="K1681" s="618">
        <f t="shared" si="139"/>
        <v>24745</v>
      </c>
      <c r="L1681" s="39" t="s">
        <v>179</v>
      </c>
      <c r="M1681" s="39" t="s">
        <v>169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909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1007</v>
      </c>
      <c r="E1682" s="37">
        <v>40812</v>
      </c>
      <c r="F1682" s="40" t="s">
        <v>1057</v>
      </c>
      <c r="G1682" s="40" t="s">
        <v>1224</v>
      </c>
      <c r="H1682" s="632" t="s">
        <v>756</v>
      </c>
      <c r="I1682" s="260">
        <v>1</v>
      </c>
      <c r="J1682" s="260">
        <v>6671.3987351534788</v>
      </c>
      <c r="K1682" s="618">
        <f t="shared" si="139"/>
        <v>6671</v>
      </c>
      <c r="L1682" s="39" t="s">
        <v>179</v>
      </c>
      <c r="M1682" s="39" t="s">
        <v>169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909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1007</v>
      </c>
      <c r="E1683" s="37">
        <v>40812</v>
      </c>
      <c r="F1683" s="40" t="s">
        <v>772</v>
      </c>
      <c r="G1683" s="40" t="s">
        <v>1224</v>
      </c>
      <c r="H1683" s="632" t="s">
        <v>756</v>
      </c>
      <c r="I1683" s="260">
        <v>1</v>
      </c>
      <c r="J1683" s="260">
        <v>10309.398735153478</v>
      </c>
      <c r="K1683" s="618">
        <f t="shared" si="139"/>
        <v>10309</v>
      </c>
      <c r="L1683" s="39" t="s">
        <v>179</v>
      </c>
      <c r="M1683" s="39" t="s">
        <v>169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909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1007</v>
      </c>
      <c r="E1684" s="37">
        <v>40812</v>
      </c>
      <c r="F1684" s="40" t="s">
        <v>781</v>
      </c>
      <c r="G1684" s="40" t="s">
        <v>1224</v>
      </c>
      <c r="H1684" s="632" t="s">
        <v>756</v>
      </c>
      <c r="I1684" s="260">
        <v>5</v>
      </c>
      <c r="J1684" s="260">
        <v>6671.3987351534788</v>
      </c>
      <c r="K1684" s="618">
        <f t="shared" si="139"/>
        <v>33357</v>
      </c>
      <c r="L1684" s="39" t="s">
        <v>179</v>
      </c>
      <c r="M1684" s="39" t="s">
        <v>169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909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977</v>
      </c>
      <c r="E1685" s="191">
        <v>40813</v>
      </c>
      <c r="F1685" s="192" t="s">
        <v>358</v>
      </c>
      <c r="G1685" s="502" t="s">
        <v>1226</v>
      </c>
      <c r="H1685" s="846" t="s">
        <v>789</v>
      </c>
      <c r="I1685" s="260"/>
      <c r="J1685" s="260"/>
      <c r="K1685" s="618">
        <v>18998716</v>
      </c>
      <c r="L1685" s="194" t="s">
        <v>47</v>
      </c>
      <c r="M1685" s="194" t="s">
        <v>274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909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1008</v>
      </c>
      <c r="E1686" s="191">
        <v>40813</v>
      </c>
      <c r="F1686" s="192" t="s">
        <v>1058</v>
      </c>
      <c r="G1686" s="502" t="s">
        <v>1226</v>
      </c>
      <c r="H1686" s="846" t="s">
        <v>789</v>
      </c>
      <c r="I1686" s="260">
        <v>380</v>
      </c>
      <c r="J1686" s="260">
        <v>14892</v>
      </c>
      <c r="K1686" s="618">
        <v>5658960</v>
      </c>
      <c r="L1686" s="194" t="s">
        <v>274</v>
      </c>
      <c r="M1686" s="194" t="s">
        <v>181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909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1008</v>
      </c>
      <c r="E1687" s="191">
        <v>40813</v>
      </c>
      <c r="F1687" s="192" t="s">
        <v>1059</v>
      </c>
      <c r="G1687" s="502" t="s">
        <v>1226</v>
      </c>
      <c r="H1687" s="846" t="s">
        <v>789</v>
      </c>
      <c r="I1687" s="260">
        <v>125</v>
      </c>
      <c r="J1687" s="260">
        <v>13169</v>
      </c>
      <c r="K1687" s="618">
        <v>1646125</v>
      </c>
      <c r="L1687" s="194" t="s">
        <v>274</v>
      </c>
      <c r="M1687" s="194" t="s">
        <v>181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909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1008</v>
      </c>
      <c r="E1688" s="191">
        <v>40813</v>
      </c>
      <c r="F1688" s="192" t="s">
        <v>1060</v>
      </c>
      <c r="G1688" s="502" t="s">
        <v>1226</v>
      </c>
      <c r="H1688" s="846" t="s">
        <v>789</v>
      </c>
      <c r="I1688" s="260">
        <v>575</v>
      </c>
      <c r="J1688" s="260">
        <v>17333</v>
      </c>
      <c r="K1688" s="618">
        <v>9966475</v>
      </c>
      <c r="L1688" s="194" t="s">
        <v>274</v>
      </c>
      <c r="M1688" s="194" t="s">
        <v>181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909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1008</v>
      </c>
      <c r="E1689" s="191">
        <v>40813</v>
      </c>
      <c r="F1689" s="192" t="s">
        <v>1200</v>
      </c>
      <c r="G1689" s="502" t="s">
        <v>1226</v>
      </c>
      <c r="H1689" s="846" t="s">
        <v>789</v>
      </c>
      <c r="I1689" s="260"/>
      <c r="J1689" s="260"/>
      <c r="K1689" s="618">
        <v>1727156</v>
      </c>
      <c r="L1689" s="194" t="s">
        <v>274</v>
      </c>
      <c r="M1689" s="194" t="s">
        <v>754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909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1225</v>
      </c>
      <c r="E1690" s="191">
        <v>40813</v>
      </c>
      <c r="F1690" s="192" t="s">
        <v>1060</v>
      </c>
      <c r="G1690" s="502" t="s">
        <v>1228</v>
      </c>
      <c r="H1690" s="846" t="s">
        <v>789</v>
      </c>
      <c r="I1690" s="260">
        <v>600</v>
      </c>
      <c r="J1690" s="260">
        <v>17333</v>
      </c>
      <c r="K1690" s="618">
        <v>10399800</v>
      </c>
      <c r="L1690" s="194" t="s">
        <v>274</v>
      </c>
      <c r="M1690" s="194" t="s">
        <v>181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909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1225</v>
      </c>
      <c r="E1691" s="191">
        <v>40813</v>
      </c>
      <c r="F1691" s="192" t="s">
        <v>1059</v>
      </c>
      <c r="G1691" s="502" t="s">
        <v>1228</v>
      </c>
      <c r="H1691" s="846" t="s">
        <v>789</v>
      </c>
      <c r="I1691" s="260">
        <v>125</v>
      </c>
      <c r="J1691" s="260">
        <v>13169</v>
      </c>
      <c r="K1691" s="618">
        <v>1646125</v>
      </c>
      <c r="L1691" s="194" t="s">
        <v>274</v>
      </c>
      <c r="M1691" s="194" t="s">
        <v>181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909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1225</v>
      </c>
      <c r="E1692" s="191">
        <v>40813</v>
      </c>
      <c r="F1692" s="192" t="s">
        <v>1061</v>
      </c>
      <c r="G1692" s="502" t="s">
        <v>1228</v>
      </c>
      <c r="H1692" s="846" t="s">
        <v>789</v>
      </c>
      <c r="I1692" s="260">
        <v>150</v>
      </c>
      <c r="J1692" s="260">
        <v>15453</v>
      </c>
      <c r="K1692" s="618">
        <v>2317950</v>
      </c>
      <c r="L1692" s="194" t="s">
        <v>274</v>
      </c>
      <c r="M1692" s="194" t="s">
        <v>181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909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1225</v>
      </c>
      <c r="E1693" s="191">
        <v>40813</v>
      </c>
      <c r="F1693" s="192" t="s">
        <v>1062</v>
      </c>
      <c r="G1693" s="502" t="s">
        <v>1228</v>
      </c>
      <c r="H1693" s="846" t="s">
        <v>789</v>
      </c>
      <c r="I1693" s="260">
        <v>90</v>
      </c>
      <c r="J1693" s="260">
        <v>11613</v>
      </c>
      <c r="K1693" s="618">
        <v>1045170</v>
      </c>
      <c r="L1693" s="194" t="s">
        <v>274</v>
      </c>
      <c r="M1693" s="194" t="s">
        <v>181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909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1225</v>
      </c>
      <c r="E1694" s="191">
        <v>40813</v>
      </c>
      <c r="F1694" s="192" t="s">
        <v>1200</v>
      </c>
      <c r="G1694" s="502" t="s">
        <v>1228</v>
      </c>
      <c r="H1694" s="846" t="s">
        <v>789</v>
      </c>
      <c r="I1694" s="260"/>
      <c r="J1694" s="260"/>
      <c r="K1694" s="618">
        <v>1540905</v>
      </c>
      <c r="L1694" s="194" t="s">
        <v>274</v>
      </c>
      <c r="M1694" s="194" t="s">
        <v>754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909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1227</v>
      </c>
      <c r="E1695" s="191">
        <v>40813</v>
      </c>
      <c r="F1695" s="192" t="s">
        <v>1062</v>
      </c>
      <c r="G1695" s="502" t="s">
        <v>1229</v>
      </c>
      <c r="H1695" s="846" t="s">
        <v>789</v>
      </c>
      <c r="I1695" s="260">
        <v>200</v>
      </c>
      <c r="J1695" s="260">
        <v>11613</v>
      </c>
      <c r="K1695" s="618">
        <v>2322600</v>
      </c>
      <c r="L1695" s="194" t="s">
        <v>274</v>
      </c>
      <c r="M1695" s="194" t="s">
        <v>181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909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1227</v>
      </c>
      <c r="E1696" s="191">
        <v>40813</v>
      </c>
      <c r="F1696" s="192" t="s">
        <v>1063</v>
      </c>
      <c r="G1696" s="502" t="s">
        <v>1229</v>
      </c>
      <c r="H1696" s="846" t="s">
        <v>789</v>
      </c>
      <c r="I1696" s="260">
        <v>110</v>
      </c>
      <c r="J1696" s="260">
        <v>10580</v>
      </c>
      <c r="K1696" s="618">
        <v>1163800</v>
      </c>
      <c r="L1696" s="194" t="s">
        <v>274</v>
      </c>
      <c r="M1696" s="194" t="s">
        <v>181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909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1227</v>
      </c>
      <c r="E1697" s="191">
        <v>40813</v>
      </c>
      <c r="F1697" s="192" t="s">
        <v>1061</v>
      </c>
      <c r="G1697" s="502" t="s">
        <v>1229</v>
      </c>
      <c r="H1697" s="846" t="s">
        <v>789</v>
      </c>
      <c r="I1697" s="260">
        <v>275</v>
      </c>
      <c r="J1697" s="260">
        <v>15453</v>
      </c>
      <c r="K1697" s="618">
        <v>4249575</v>
      </c>
      <c r="L1697" s="194" t="s">
        <v>274</v>
      </c>
      <c r="M1697" s="194" t="s">
        <v>181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909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1227</v>
      </c>
      <c r="E1698" s="191">
        <v>40813</v>
      </c>
      <c r="F1698" s="192" t="s">
        <v>1061</v>
      </c>
      <c r="G1698" s="502" t="s">
        <v>1229</v>
      </c>
      <c r="H1698" s="846" t="s">
        <v>789</v>
      </c>
      <c r="I1698" s="260">
        <v>230</v>
      </c>
      <c r="J1698" s="260">
        <v>13169</v>
      </c>
      <c r="K1698" s="618">
        <v>3028870</v>
      </c>
      <c r="L1698" s="194" t="s">
        <v>274</v>
      </c>
      <c r="M1698" s="194" t="s">
        <v>181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909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1227</v>
      </c>
      <c r="E1699" s="191">
        <v>40813</v>
      </c>
      <c r="F1699" s="192" t="s">
        <v>1200</v>
      </c>
      <c r="G1699" s="502" t="s">
        <v>1229</v>
      </c>
      <c r="H1699" s="846" t="s">
        <v>789</v>
      </c>
      <c r="I1699" s="260"/>
      <c r="J1699" s="260"/>
      <c r="K1699" s="618">
        <f>1076485+1</f>
        <v>1076486</v>
      </c>
      <c r="L1699" s="194" t="s">
        <v>274</v>
      </c>
      <c r="M1699" s="194" t="s">
        <v>754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909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1236</v>
      </c>
      <c r="E1700" s="37">
        <v>40813</v>
      </c>
      <c r="F1700" s="40" t="s">
        <v>1058</v>
      </c>
      <c r="G1700" s="40"/>
      <c r="H1700" s="632" t="s">
        <v>1116</v>
      </c>
      <c r="I1700" s="260">
        <v>380</v>
      </c>
      <c r="J1700" s="260">
        <v>12549.9776825219</v>
      </c>
      <c r="K1700" s="618">
        <f t="shared" ref="K1700:K1721" si="142">ROUND(I1700*J1700,0)</f>
        <v>4768992</v>
      </c>
      <c r="L1700" s="39" t="s">
        <v>169</v>
      </c>
      <c r="M1700" s="39" t="s">
        <v>167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909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1236</v>
      </c>
      <c r="E1701" s="37">
        <v>40813</v>
      </c>
      <c r="F1701" s="40" t="s">
        <v>1059</v>
      </c>
      <c r="G1701" s="40"/>
      <c r="H1701" s="632" t="s">
        <v>1116</v>
      </c>
      <c r="I1701" s="260">
        <v>125</v>
      </c>
      <c r="J1701" s="260">
        <v>12041.902735153477</v>
      </c>
      <c r="K1701" s="618">
        <f t="shared" si="142"/>
        <v>1505238</v>
      </c>
      <c r="L1701" s="39" t="s">
        <v>169</v>
      </c>
      <c r="M1701" s="39" t="s">
        <v>167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909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1236</v>
      </c>
      <c r="E1702" s="37">
        <v>40813</v>
      </c>
      <c r="F1702" s="40" t="s">
        <v>1060</v>
      </c>
      <c r="G1702" s="40"/>
      <c r="H1702" s="632" t="s">
        <v>1116</v>
      </c>
      <c r="I1702" s="260">
        <v>575</v>
      </c>
      <c r="J1702" s="260">
        <v>14230.746561240434</v>
      </c>
      <c r="K1702" s="618">
        <f t="shared" si="142"/>
        <v>8182679</v>
      </c>
      <c r="L1702" s="39" t="s">
        <v>169</v>
      </c>
      <c r="M1702" s="39" t="s">
        <v>167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909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1236</v>
      </c>
      <c r="E1703" s="37">
        <v>40813</v>
      </c>
      <c r="F1703" s="40" t="s">
        <v>1060</v>
      </c>
      <c r="G1703" s="40"/>
      <c r="H1703" s="632" t="s">
        <v>1116</v>
      </c>
      <c r="I1703" s="260">
        <v>600</v>
      </c>
      <c r="J1703" s="260">
        <v>14209.898735153476</v>
      </c>
      <c r="K1703" s="618">
        <f t="shared" si="142"/>
        <v>8525939</v>
      </c>
      <c r="L1703" s="39" t="s">
        <v>169</v>
      </c>
      <c r="M1703" s="39" t="s">
        <v>167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909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1236</v>
      </c>
      <c r="E1704" s="37">
        <v>40813</v>
      </c>
      <c r="F1704" s="40" t="s">
        <v>1059</v>
      </c>
      <c r="G1704" s="40"/>
      <c r="H1704" s="632" t="s">
        <v>1116</v>
      </c>
      <c r="I1704" s="260">
        <v>125</v>
      </c>
      <c r="J1704" s="260">
        <v>12041.894735153477</v>
      </c>
      <c r="K1704" s="618">
        <f t="shared" si="142"/>
        <v>1505237</v>
      </c>
      <c r="L1704" s="39" t="s">
        <v>169</v>
      </c>
      <c r="M1704" s="39" t="s">
        <v>167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909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1236</v>
      </c>
      <c r="E1705" s="37">
        <v>40813</v>
      </c>
      <c r="F1705" s="40" t="s">
        <v>1061</v>
      </c>
      <c r="G1705" s="40"/>
      <c r="H1705" s="632" t="s">
        <v>1116</v>
      </c>
      <c r="I1705" s="260">
        <v>150</v>
      </c>
      <c r="J1705" s="260">
        <v>14066.398735153476</v>
      </c>
      <c r="K1705" s="618">
        <f t="shared" si="142"/>
        <v>2109960</v>
      </c>
      <c r="L1705" s="39" t="s">
        <v>169</v>
      </c>
      <c r="M1705" s="39" t="s">
        <v>167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909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1236</v>
      </c>
      <c r="E1706" s="37">
        <v>40813</v>
      </c>
      <c r="F1706" s="40" t="s">
        <v>1062</v>
      </c>
      <c r="G1706" s="40"/>
      <c r="H1706" s="632" t="s">
        <v>1116</v>
      </c>
      <c r="I1706" s="260">
        <v>90</v>
      </c>
      <c r="J1706" s="260">
        <v>9894.8987351534779</v>
      </c>
      <c r="K1706" s="618">
        <f t="shared" si="142"/>
        <v>890541</v>
      </c>
      <c r="L1706" s="39" t="s">
        <v>169</v>
      </c>
      <c r="M1706" s="39" t="s">
        <v>167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909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1237</v>
      </c>
      <c r="E1707" s="37">
        <v>40813</v>
      </c>
      <c r="F1707" s="40" t="s">
        <v>1062</v>
      </c>
      <c r="G1707" s="40"/>
      <c r="H1707" s="632" t="s">
        <v>1116</v>
      </c>
      <c r="I1707" s="260">
        <v>200</v>
      </c>
      <c r="J1707" s="260">
        <v>10615.898735153478</v>
      </c>
      <c r="K1707" s="618">
        <f t="shared" si="142"/>
        <v>2123180</v>
      </c>
      <c r="L1707" s="39" t="s">
        <v>169</v>
      </c>
      <c r="M1707" s="39" t="s">
        <v>167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909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1237</v>
      </c>
      <c r="E1708" s="37">
        <v>40813</v>
      </c>
      <c r="F1708" s="40" t="s">
        <v>1063</v>
      </c>
      <c r="G1708" s="40"/>
      <c r="H1708" s="632" t="s">
        <v>1116</v>
      </c>
      <c r="I1708" s="260">
        <v>110</v>
      </c>
      <c r="J1708" s="260">
        <v>8248.3987351534797</v>
      </c>
      <c r="K1708" s="618">
        <f t="shared" si="142"/>
        <v>907324</v>
      </c>
      <c r="L1708" s="39" t="s">
        <v>169</v>
      </c>
      <c r="M1708" s="39" t="s">
        <v>167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909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1237</v>
      </c>
      <c r="E1709" s="37">
        <v>40813</v>
      </c>
      <c r="F1709" s="40" t="s">
        <v>1061</v>
      </c>
      <c r="G1709" s="40"/>
      <c r="H1709" s="632" t="s">
        <v>1116</v>
      </c>
      <c r="I1709" s="260">
        <v>275</v>
      </c>
      <c r="J1709" s="260">
        <v>15240.56600788075</v>
      </c>
      <c r="K1709" s="618">
        <f t="shared" si="142"/>
        <v>4191156</v>
      </c>
      <c r="L1709" s="39" t="s">
        <v>169</v>
      </c>
      <c r="M1709" s="39" t="s">
        <v>167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909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1237</v>
      </c>
      <c r="E1710" s="37">
        <v>40813</v>
      </c>
      <c r="F1710" s="40" t="s">
        <v>1061</v>
      </c>
      <c r="G1710" s="40"/>
      <c r="H1710" s="632" t="s">
        <v>1116</v>
      </c>
      <c r="I1710" s="260">
        <v>230</v>
      </c>
      <c r="J1710" s="260">
        <v>12041.398735153478</v>
      </c>
      <c r="K1710" s="618">
        <f t="shared" si="142"/>
        <v>2769522</v>
      </c>
      <c r="L1710" s="39" t="s">
        <v>169</v>
      </c>
      <c r="M1710" s="39" t="s">
        <v>167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909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1008</v>
      </c>
      <c r="E1711" s="37">
        <v>40813</v>
      </c>
      <c r="F1711" s="40" t="s">
        <v>1058</v>
      </c>
      <c r="G1711" s="40" t="s">
        <v>1226</v>
      </c>
      <c r="H1711" s="632" t="s">
        <v>789</v>
      </c>
      <c r="I1711" s="260">
        <v>380</v>
      </c>
      <c r="J1711" s="260">
        <v>12549.9776825219</v>
      </c>
      <c r="K1711" s="618">
        <f t="shared" si="142"/>
        <v>4768992</v>
      </c>
      <c r="L1711" s="39" t="s">
        <v>179</v>
      </c>
      <c r="M1711" s="39" t="s">
        <v>169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909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1008</v>
      </c>
      <c r="E1712" s="37">
        <v>40813</v>
      </c>
      <c r="F1712" s="40" t="s">
        <v>1059</v>
      </c>
      <c r="G1712" s="40" t="s">
        <v>1226</v>
      </c>
      <c r="H1712" s="632" t="s">
        <v>789</v>
      </c>
      <c r="I1712" s="260">
        <v>125</v>
      </c>
      <c r="J1712" s="260">
        <v>12041.902735153477</v>
      </c>
      <c r="K1712" s="618">
        <f t="shared" si="142"/>
        <v>1505238</v>
      </c>
      <c r="L1712" s="39" t="s">
        <v>179</v>
      </c>
      <c r="M1712" s="39" t="s">
        <v>169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909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1008</v>
      </c>
      <c r="E1713" s="37">
        <v>40813</v>
      </c>
      <c r="F1713" s="40" t="s">
        <v>1060</v>
      </c>
      <c r="G1713" s="40" t="s">
        <v>1226</v>
      </c>
      <c r="H1713" s="632" t="s">
        <v>789</v>
      </c>
      <c r="I1713" s="260">
        <v>575</v>
      </c>
      <c r="J1713" s="260">
        <v>14230.746561240434</v>
      </c>
      <c r="K1713" s="618">
        <f t="shared" si="142"/>
        <v>8182679</v>
      </c>
      <c r="L1713" s="39" t="s">
        <v>179</v>
      </c>
      <c r="M1713" s="39" t="s">
        <v>169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909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1225</v>
      </c>
      <c r="E1714" s="37">
        <v>40813</v>
      </c>
      <c r="F1714" s="40" t="s">
        <v>1060</v>
      </c>
      <c r="G1714" s="40" t="s">
        <v>1228</v>
      </c>
      <c r="H1714" s="632" t="s">
        <v>789</v>
      </c>
      <c r="I1714" s="260">
        <v>600</v>
      </c>
      <c r="J1714" s="260">
        <v>14209.898735153476</v>
      </c>
      <c r="K1714" s="618">
        <f t="shared" si="142"/>
        <v>8525939</v>
      </c>
      <c r="L1714" s="39" t="s">
        <v>179</v>
      </c>
      <c r="M1714" s="39" t="s">
        <v>169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909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1225</v>
      </c>
      <c r="E1715" s="37">
        <v>40813</v>
      </c>
      <c r="F1715" s="40" t="s">
        <v>1059</v>
      </c>
      <c r="G1715" s="40" t="s">
        <v>1228</v>
      </c>
      <c r="H1715" s="632" t="s">
        <v>789</v>
      </c>
      <c r="I1715" s="260">
        <v>125</v>
      </c>
      <c r="J1715" s="260">
        <v>12041.894735153477</v>
      </c>
      <c r="K1715" s="618">
        <f t="shared" si="142"/>
        <v>1505237</v>
      </c>
      <c r="L1715" s="39" t="s">
        <v>179</v>
      </c>
      <c r="M1715" s="39" t="s">
        <v>169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909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1225</v>
      </c>
      <c r="E1716" s="37">
        <v>40813</v>
      </c>
      <c r="F1716" s="40" t="s">
        <v>1061</v>
      </c>
      <c r="G1716" s="40" t="s">
        <v>1228</v>
      </c>
      <c r="H1716" s="632" t="s">
        <v>789</v>
      </c>
      <c r="I1716" s="260">
        <v>150</v>
      </c>
      <c r="J1716" s="260">
        <v>14066.398735153476</v>
      </c>
      <c r="K1716" s="618">
        <f t="shared" si="142"/>
        <v>2109960</v>
      </c>
      <c r="L1716" s="39" t="s">
        <v>179</v>
      </c>
      <c r="M1716" s="39" t="s">
        <v>169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909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1225</v>
      </c>
      <c r="E1717" s="37">
        <v>40813</v>
      </c>
      <c r="F1717" s="40" t="s">
        <v>1062</v>
      </c>
      <c r="G1717" s="40" t="s">
        <v>1228</v>
      </c>
      <c r="H1717" s="632" t="s">
        <v>789</v>
      </c>
      <c r="I1717" s="260">
        <v>90</v>
      </c>
      <c r="J1717" s="260">
        <v>9894.8987351534779</v>
      </c>
      <c r="K1717" s="618">
        <f t="shared" si="142"/>
        <v>890541</v>
      </c>
      <c r="L1717" s="39" t="s">
        <v>179</v>
      </c>
      <c r="M1717" s="39" t="s">
        <v>169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909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1227</v>
      </c>
      <c r="E1718" s="37">
        <v>40813</v>
      </c>
      <c r="F1718" s="40" t="s">
        <v>1062</v>
      </c>
      <c r="G1718" s="40" t="s">
        <v>1229</v>
      </c>
      <c r="H1718" s="632" t="s">
        <v>789</v>
      </c>
      <c r="I1718" s="260">
        <v>200</v>
      </c>
      <c r="J1718" s="260">
        <v>10615.898735153478</v>
      </c>
      <c r="K1718" s="618">
        <f t="shared" si="142"/>
        <v>2123180</v>
      </c>
      <c r="L1718" s="39" t="s">
        <v>179</v>
      </c>
      <c r="M1718" s="39" t="s">
        <v>169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909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1227</v>
      </c>
      <c r="E1719" s="37">
        <v>40813</v>
      </c>
      <c r="F1719" s="40" t="s">
        <v>1063</v>
      </c>
      <c r="G1719" s="40" t="s">
        <v>1229</v>
      </c>
      <c r="H1719" s="632" t="s">
        <v>789</v>
      </c>
      <c r="I1719" s="260">
        <v>110</v>
      </c>
      <c r="J1719" s="260">
        <v>8248.3987351534797</v>
      </c>
      <c r="K1719" s="618">
        <f t="shared" si="142"/>
        <v>907324</v>
      </c>
      <c r="L1719" s="39" t="s">
        <v>179</v>
      </c>
      <c r="M1719" s="39" t="s">
        <v>169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909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1227</v>
      </c>
      <c r="E1720" s="37">
        <v>40813</v>
      </c>
      <c r="F1720" s="40" t="s">
        <v>1061</v>
      </c>
      <c r="G1720" s="40" t="s">
        <v>1229</v>
      </c>
      <c r="H1720" s="632" t="s">
        <v>789</v>
      </c>
      <c r="I1720" s="260">
        <v>275</v>
      </c>
      <c r="J1720" s="260">
        <v>15240.56600788075</v>
      </c>
      <c r="K1720" s="618">
        <f t="shared" si="142"/>
        <v>4191156</v>
      </c>
      <c r="L1720" s="39" t="s">
        <v>179</v>
      </c>
      <c r="M1720" s="39" t="s">
        <v>169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909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1227</v>
      </c>
      <c r="E1721" s="37">
        <v>40813</v>
      </c>
      <c r="F1721" s="40" t="s">
        <v>1061</v>
      </c>
      <c r="G1721" s="40" t="s">
        <v>1229</v>
      </c>
      <c r="H1721" s="632" t="s">
        <v>789</v>
      </c>
      <c r="I1721" s="260">
        <v>230</v>
      </c>
      <c r="J1721" s="260">
        <v>12041.398735153478</v>
      </c>
      <c r="K1721" s="618">
        <f t="shared" si="142"/>
        <v>2769522</v>
      </c>
      <c r="L1721" s="39" t="s">
        <v>179</v>
      </c>
      <c r="M1721" s="39" t="s">
        <v>169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909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7">
        <v>40816</v>
      </c>
      <c r="D1722" s="727" t="s">
        <v>695</v>
      </c>
      <c r="E1722" s="847">
        <v>40816</v>
      </c>
      <c r="F1722" s="728" t="s">
        <v>1159</v>
      </c>
      <c r="G1722" s="729"/>
      <c r="H1722" s="632" t="s">
        <v>386</v>
      </c>
      <c r="I1722" s="498"/>
      <c r="J1722" s="498"/>
      <c r="K1722" s="730">
        <v>13250000</v>
      </c>
      <c r="L1722" s="731" t="s">
        <v>278</v>
      </c>
      <c r="M1722" s="731" t="s">
        <v>47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909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7" t="s">
        <v>696</v>
      </c>
      <c r="E1723" s="184">
        <v>40816</v>
      </c>
      <c r="F1723" s="189" t="s">
        <v>385</v>
      </c>
      <c r="G1723" s="620" t="s">
        <v>353</v>
      </c>
      <c r="H1723" s="193" t="s">
        <v>386</v>
      </c>
      <c r="I1723" s="260"/>
      <c r="J1723" s="260"/>
      <c r="K1723" s="618">
        <v>105600000</v>
      </c>
      <c r="L1723" s="619" t="s">
        <v>24</v>
      </c>
      <c r="M1723" s="619" t="s">
        <v>47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909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697</v>
      </c>
      <c r="E1724" s="191">
        <v>40816</v>
      </c>
      <c r="F1724" s="302" t="s">
        <v>1194</v>
      </c>
      <c r="G1724" s="502" t="s">
        <v>1195</v>
      </c>
      <c r="H1724" s="7" t="s">
        <v>394</v>
      </c>
      <c r="I1724" s="260">
        <v>20</v>
      </c>
      <c r="J1724" s="260">
        <v>58000</v>
      </c>
      <c r="K1724" s="618">
        <v>1160000</v>
      </c>
      <c r="L1724" s="194" t="s">
        <v>167</v>
      </c>
      <c r="M1724" s="194" t="s">
        <v>47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909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697</v>
      </c>
      <c r="E1725" s="191">
        <v>40816</v>
      </c>
      <c r="F1725" s="302" t="s">
        <v>1196</v>
      </c>
      <c r="G1725" s="502" t="s">
        <v>1195</v>
      </c>
      <c r="H1725" s="7" t="s">
        <v>394</v>
      </c>
      <c r="I1725" s="262"/>
      <c r="J1725" s="262"/>
      <c r="K1725" s="38">
        <v>116000</v>
      </c>
      <c r="L1725" s="194" t="s">
        <v>9</v>
      </c>
      <c r="M1725" s="194" t="s">
        <v>47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909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7">
        <v>40816</v>
      </c>
      <c r="D1726" s="727" t="s">
        <v>360</v>
      </c>
      <c r="E1726" s="847">
        <v>40816</v>
      </c>
      <c r="F1726" s="728" t="s">
        <v>971</v>
      </c>
      <c r="G1726" s="729"/>
      <c r="H1726" s="632"/>
      <c r="I1726" s="498"/>
      <c r="J1726" s="498"/>
      <c r="K1726" s="730">
        <v>7025000</v>
      </c>
      <c r="L1726" s="731" t="s">
        <v>83</v>
      </c>
      <c r="M1726" s="731" t="s">
        <v>278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909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7">
        <v>40816</v>
      </c>
      <c r="D1727" s="727" t="s">
        <v>360</v>
      </c>
      <c r="E1727" s="847">
        <v>40816</v>
      </c>
      <c r="F1727" s="728" t="s">
        <v>809</v>
      </c>
      <c r="G1727" s="729"/>
      <c r="H1727" s="632"/>
      <c r="I1727" s="498"/>
      <c r="J1727" s="498"/>
      <c r="K1727" s="618">
        <v>6225000</v>
      </c>
      <c r="L1727" s="731" t="s">
        <v>167</v>
      </c>
      <c r="M1727" s="731" t="s">
        <v>278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909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357</v>
      </c>
      <c r="E1728" s="184">
        <v>40816</v>
      </c>
      <c r="F1728" s="189" t="s">
        <v>392</v>
      </c>
      <c r="G1728" s="620" t="s">
        <v>353</v>
      </c>
      <c r="H1728" s="7" t="s">
        <v>554</v>
      </c>
      <c r="I1728" s="260"/>
      <c r="J1728" s="260"/>
      <c r="K1728" s="618">
        <v>105600000</v>
      </c>
      <c r="L1728" s="619" t="s">
        <v>8</v>
      </c>
      <c r="M1728" s="619" t="s">
        <v>24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909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357</v>
      </c>
      <c r="E1729" s="184">
        <v>40816</v>
      </c>
      <c r="F1729" s="189" t="s">
        <v>393</v>
      </c>
      <c r="G1729" s="620" t="s">
        <v>353</v>
      </c>
      <c r="H1729" s="7"/>
      <c r="I1729" s="260"/>
      <c r="J1729" s="260"/>
      <c r="K1729" s="618">
        <v>16399</v>
      </c>
      <c r="L1729" s="619" t="s">
        <v>83</v>
      </c>
      <c r="M1729" s="619" t="s">
        <v>24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909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357</v>
      </c>
      <c r="E1730" s="184">
        <v>40816</v>
      </c>
      <c r="F1730" s="189" t="s">
        <v>1457</v>
      </c>
      <c r="G1730" s="620" t="s">
        <v>353</v>
      </c>
      <c r="H1730" s="7"/>
      <c r="I1730" s="260"/>
      <c r="J1730" s="260"/>
      <c r="K1730" s="618">
        <v>1640</v>
      </c>
      <c r="L1730" s="619" t="s">
        <v>9</v>
      </c>
      <c r="M1730" s="619" t="s">
        <v>24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909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7">
        <f t="shared" ref="C1731:C1736" si="143">E1731</f>
        <v>40817</v>
      </c>
      <c r="D1731" s="727" t="s">
        <v>360</v>
      </c>
      <c r="E1731" s="847">
        <v>40817</v>
      </c>
      <c r="F1731" s="728" t="s">
        <v>806</v>
      </c>
      <c r="G1731" s="729"/>
      <c r="H1731" s="632"/>
      <c r="I1731" s="498"/>
      <c r="J1731" s="498"/>
      <c r="K1731" s="730">
        <v>18250000</v>
      </c>
      <c r="L1731" s="731" t="s">
        <v>167</v>
      </c>
      <c r="M1731" s="731" t="s">
        <v>276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909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7">
        <f t="shared" si="143"/>
        <v>40817</v>
      </c>
      <c r="D1732" s="727" t="s">
        <v>360</v>
      </c>
      <c r="E1732" s="847">
        <v>40817</v>
      </c>
      <c r="F1732" s="728" t="s">
        <v>807</v>
      </c>
      <c r="G1732" s="729"/>
      <c r="H1732" s="632"/>
      <c r="I1732" s="498"/>
      <c r="J1732" s="498"/>
      <c r="K1732" s="730">
        <v>4687116</v>
      </c>
      <c r="L1732" s="731" t="s">
        <v>167</v>
      </c>
      <c r="M1732" s="731" t="s">
        <v>791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909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979</v>
      </c>
      <c r="E1733" s="802">
        <v>40817</v>
      </c>
      <c r="F1733" s="460" t="s">
        <v>411</v>
      </c>
      <c r="G1733" s="40"/>
      <c r="H1733" s="632" t="s">
        <v>1116</v>
      </c>
      <c r="I1733" s="260">
        <v>50</v>
      </c>
      <c r="J1733" s="260">
        <v>25000</v>
      </c>
      <c r="K1733" s="881">
        <f>ROUND(I1733*J1733,0)</f>
        <v>1250000</v>
      </c>
      <c r="L1733" s="39" t="s">
        <v>167</v>
      </c>
      <c r="M1733" s="39" t="s">
        <v>161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909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979</v>
      </c>
      <c r="E1734" s="802">
        <v>40817</v>
      </c>
      <c r="F1734" s="460" t="s">
        <v>498</v>
      </c>
      <c r="G1734" s="40"/>
      <c r="H1734" s="632" t="s">
        <v>1116</v>
      </c>
      <c r="I1734" s="260">
        <v>1</v>
      </c>
      <c r="J1734" s="260">
        <v>1300000</v>
      </c>
      <c r="K1734" s="881">
        <f>ROUND(I1734*J1734,0)</f>
        <v>1300000</v>
      </c>
      <c r="L1734" s="39" t="s">
        <v>167</v>
      </c>
      <c r="M1734" s="39" t="s">
        <v>161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909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9">
        <f t="shared" si="140"/>
        <v>10</v>
      </c>
      <c r="C1735" s="875">
        <f t="shared" si="143"/>
        <v>40817</v>
      </c>
      <c r="D1735" s="875" t="s">
        <v>1115</v>
      </c>
      <c r="E1735" s="875">
        <v>40817</v>
      </c>
      <c r="F1735" s="40" t="s">
        <v>675</v>
      </c>
      <c r="G1735" s="876"/>
      <c r="H1735" s="632" t="s">
        <v>1116</v>
      </c>
      <c r="I1735" s="258">
        <v>1200</v>
      </c>
      <c r="J1735" s="258">
        <v>18995</v>
      </c>
      <c r="K1735" s="618">
        <f>ROUND(I1735*J1735,0)</f>
        <v>22794000</v>
      </c>
      <c r="L1735" s="52" t="s">
        <v>167</v>
      </c>
      <c r="M1735" s="52" t="s">
        <v>159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909"/>
      <c r="AB1735" s="843"/>
      <c r="AC1735" s="843"/>
      <c r="AD1735" s="843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9">
        <f t="shared" si="140"/>
        <v>10</v>
      </c>
      <c r="C1736" s="875">
        <f t="shared" si="143"/>
        <v>40817</v>
      </c>
      <c r="D1736" s="875" t="s">
        <v>1115</v>
      </c>
      <c r="E1736" s="875">
        <v>40817</v>
      </c>
      <c r="F1736" s="40" t="s">
        <v>671</v>
      </c>
      <c r="G1736" s="876"/>
      <c r="H1736" s="632" t="s">
        <v>1116</v>
      </c>
      <c r="I1736" s="258">
        <v>1460</v>
      </c>
      <c r="J1736" s="258">
        <v>19365</v>
      </c>
      <c r="K1736" s="618">
        <f>ROUND(I1736*J1736,0)</f>
        <v>28272900</v>
      </c>
      <c r="L1736" s="52" t="s">
        <v>167</v>
      </c>
      <c r="M1736" s="52" t="s">
        <v>159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909"/>
      <c r="AB1736" s="843"/>
      <c r="AC1736" s="843"/>
      <c r="AD1736" s="843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457</v>
      </c>
      <c r="E1737" s="191">
        <v>40819</v>
      </c>
      <c r="F1737" s="302" t="s">
        <v>395</v>
      </c>
      <c r="G1737" s="502" t="s">
        <v>1245</v>
      </c>
      <c r="H1737" s="7" t="s">
        <v>394</v>
      </c>
      <c r="I1737" s="262">
        <v>40</v>
      </c>
      <c r="J1737" s="262">
        <v>40000</v>
      </c>
      <c r="K1737" s="618">
        <v>1600000</v>
      </c>
      <c r="L1737" s="194" t="s">
        <v>167</v>
      </c>
      <c r="M1737" s="194" t="s">
        <v>47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909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457</v>
      </c>
      <c r="E1738" s="191">
        <v>40819</v>
      </c>
      <c r="F1738" s="192" t="s">
        <v>1189</v>
      </c>
      <c r="G1738" s="502" t="s">
        <v>1245</v>
      </c>
      <c r="H1738" s="7" t="s">
        <v>394</v>
      </c>
      <c r="I1738" s="260"/>
      <c r="J1738" s="260"/>
      <c r="K1738" s="38">
        <v>160000</v>
      </c>
      <c r="L1738" s="194" t="s">
        <v>9</v>
      </c>
      <c r="M1738" s="194" t="s">
        <v>47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909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458</v>
      </c>
      <c r="E1739" s="191">
        <v>40821</v>
      </c>
      <c r="F1739" s="192" t="s">
        <v>1192</v>
      </c>
      <c r="G1739" s="502" t="s">
        <v>1246</v>
      </c>
      <c r="H1739" s="193" t="s">
        <v>1247</v>
      </c>
      <c r="I1739" s="260"/>
      <c r="J1739" s="260"/>
      <c r="K1739" s="38">
        <v>520000</v>
      </c>
      <c r="L1739" s="194" t="s">
        <v>277</v>
      </c>
      <c r="M1739" s="619" t="s">
        <v>47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909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981</v>
      </c>
      <c r="E1740" s="191">
        <v>40821</v>
      </c>
      <c r="F1740" s="192" t="s">
        <v>1258</v>
      </c>
      <c r="G1740" s="502" t="s">
        <v>1259</v>
      </c>
      <c r="H1740" s="193" t="s">
        <v>756</v>
      </c>
      <c r="I1740" s="260">
        <v>2420</v>
      </c>
      <c r="J1740" s="260">
        <v>17447.77438016529</v>
      </c>
      <c r="K1740" s="618">
        <v>42223614</v>
      </c>
      <c r="L1740" s="194" t="s">
        <v>274</v>
      </c>
      <c r="M1740" s="194" t="s">
        <v>181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909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981</v>
      </c>
      <c r="E1741" s="191">
        <v>40821</v>
      </c>
      <c r="F1741" s="192" t="s">
        <v>1200</v>
      </c>
      <c r="G1741" s="502" t="s">
        <v>1259</v>
      </c>
      <c r="H1741" s="193" t="s">
        <v>756</v>
      </c>
      <c r="I1741" s="260"/>
      <c r="J1741" s="260"/>
      <c r="K1741" s="618">
        <f>4222361+2</f>
        <v>4222363</v>
      </c>
      <c r="L1741" s="194" t="s">
        <v>274</v>
      </c>
      <c r="M1741" s="194" t="s">
        <v>754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909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9">
        <f t="shared" si="140"/>
        <v>10</v>
      </c>
      <c r="C1742" s="875">
        <f>E1742</f>
        <v>40821</v>
      </c>
      <c r="D1742" s="48" t="s">
        <v>1136</v>
      </c>
      <c r="E1742" s="875">
        <v>40821</v>
      </c>
      <c r="F1742" s="882" t="s">
        <v>1258</v>
      </c>
      <c r="G1742" s="49"/>
      <c r="H1742" s="883" t="s">
        <v>1116</v>
      </c>
      <c r="I1742" s="258">
        <v>2420</v>
      </c>
      <c r="J1742" s="258">
        <v>10717.516450308252</v>
      </c>
      <c r="K1742" s="723">
        <f>ROUND(I1742*J1742,0)</f>
        <v>25936390</v>
      </c>
      <c r="L1742" s="52" t="s">
        <v>169</v>
      </c>
      <c r="M1742" s="52" t="s">
        <v>167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909"/>
      <c r="AB1742" s="843"/>
      <c r="AC1742" s="843"/>
      <c r="AD1742" s="843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75">
        <f>E1743</f>
        <v>40821</v>
      </c>
      <c r="D1743" s="48" t="s">
        <v>981</v>
      </c>
      <c r="E1743" s="875">
        <v>40821</v>
      </c>
      <c r="F1743" s="192" t="s">
        <v>1258</v>
      </c>
      <c r="G1743" s="502" t="s">
        <v>1259</v>
      </c>
      <c r="H1743" s="193" t="s">
        <v>756</v>
      </c>
      <c r="I1743" s="260">
        <v>2420</v>
      </c>
      <c r="J1743" s="260">
        <v>10717.516450308252</v>
      </c>
      <c r="K1743" s="618">
        <f>ROUND(I1743*J1743,0)</f>
        <v>25936390</v>
      </c>
      <c r="L1743" s="52" t="s">
        <v>179</v>
      </c>
      <c r="M1743" s="52" t="s">
        <v>169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909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356</v>
      </c>
      <c r="E1744" s="184">
        <v>40822</v>
      </c>
      <c r="F1744" s="189" t="s">
        <v>358</v>
      </c>
      <c r="G1744" s="620" t="s">
        <v>353</v>
      </c>
      <c r="H1744" s="193" t="s">
        <v>756</v>
      </c>
      <c r="I1744" s="260"/>
      <c r="J1744" s="260"/>
      <c r="K1744" s="618">
        <v>95076575</v>
      </c>
      <c r="L1744" s="619" t="s">
        <v>24</v>
      </c>
      <c r="M1744" s="619" t="s">
        <v>274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909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717</v>
      </c>
      <c r="E1745" s="191">
        <v>40822</v>
      </c>
      <c r="F1745" s="899" t="s">
        <v>363</v>
      </c>
      <c r="G1745" s="683" t="s">
        <v>1248</v>
      </c>
      <c r="H1745" s="7" t="s">
        <v>415</v>
      </c>
      <c r="I1745" s="260">
        <v>48</v>
      </c>
      <c r="J1745" s="260">
        <v>42000</v>
      </c>
      <c r="K1745" s="618">
        <v>2016000</v>
      </c>
      <c r="L1745" s="619" t="s">
        <v>161</v>
      </c>
      <c r="M1745" s="619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909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717</v>
      </c>
      <c r="E1746" s="191">
        <v>40822</v>
      </c>
      <c r="F1746" s="899" t="s">
        <v>364</v>
      </c>
      <c r="G1746" s="683" t="s">
        <v>1248</v>
      </c>
      <c r="H1746" s="7" t="s">
        <v>415</v>
      </c>
      <c r="I1746" s="260"/>
      <c r="J1746" s="260"/>
      <c r="K1746" s="618">
        <v>201600</v>
      </c>
      <c r="L1746" s="619" t="s">
        <v>9</v>
      </c>
      <c r="M1746" s="619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909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459</v>
      </c>
      <c r="E1747" s="191">
        <v>40822</v>
      </c>
      <c r="F1747" s="192" t="s">
        <v>550</v>
      </c>
      <c r="G1747" s="683" t="s">
        <v>1248</v>
      </c>
      <c r="H1747" s="7" t="s">
        <v>415</v>
      </c>
      <c r="I1747" s="260"/>
      <c r="J1747" s="260"/>
      <c r="K1747" s="38">
        <v>2217600</v>
      </c>
      <c r="L1747" s="194" t="s">
        <v>8</v>
      </c>
      <c r="M1747" s="194" t="s">
        <v>47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909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459</v>
      </c>
      <c r="E1748" s="824">
        <v>40822</v>
      </c>
      <c r="F1748" s="192" t="s">
        <v>1192</v>
      </c>
      <c r="G1748" s="502" t="s">
        <v>1249</v>
      </c>
      <c r="H1748" s="193" t="s">
        <v>1247</v>
      </c>
      <c r="I1748" s="264"/>
      <c r="J1748" s="264"/>
      <c r="K1748" s="874">
        <v>510000</v>
      </c>
      <c r="L1748" s="194" t="s">
        <v>277</v>
      </c>
      <c r="M1748" s="619" t="s">
        <v>47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909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980</v>
      </c>
      <c r="E1749" s="802">
        <v>40822</v>
      </c>
      <c r="F1749" s="458" t="s">
        <v>363</v>
      </c>
      <c r="G1749" s="40"/>
      <c r="H1749" s="632" t="s">
        <v>1116</v>
      </c>
      <c r="I1749" s="260">
        <v>48</v>
      </c>
      <c r="J1749" s="260">
        <v>42000</v>
      </c>
      <c r="K1749" s="881">
        <f t="shared" ref="K1749:K1767" si="145">ROUND(I1749*J1749,0)</f>
        <v>2016000</v>
      </c>
      <c r="L1749" s="39" t="s">
        <v>167</v>
      </c>
      <c r="M1749" s="39" t="s">
        <v>161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909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9">
        <f t="shared" si="140"/>
        <v>10</v>
      </c>
      <c r="C1750" s="875">
        <f t="shared" si="144"/>
        <v>40823</v>
      </c>
      <c r="D1750" s="875" t="s">
        <v>1117</v>
      </c>
      <c r="E1750" s="875">
        <v>40823</v>
      </c>
      <c r="F1750" s="899" t="s">
        <v>507</v>
      </c>
      <c r="G1750" s="876"/>
      <c r="H1750" s="632" t="s">
        <v>1116</v>
      </c>
      <c r="I1750" s="258">
        <v>50</v>
      </c>
      <c r="J1750" s="258">
        <v>19112</v>
      </c>
      <c r="K1750" s="618">
        <f t="shared" si="145"/>
        <v>955600</v>
      </c>
      <c r="L1750" s="52" t="s">
        <v>167</v>
      </c>
      <c r="M1750" s="52" t="s">
        <v>159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909"/>
      <c r="AB1750" s="843"/>
      <c r="AC1750" s="843"/>
      <c r="AD1750" s="843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9">
        <f t="shared" si="140"/>
        <v>10</v>
      </c>
      <c r="C1751" s="875">
        <f t="shared" si="144"/>
        <v>40823</v>
      </c>
      <c r="D1751" s="875" t="s">
        <v>1117</v>
      </c>
      <c r="E1751" s="875">
        <v>40823</v>
      </c>
      <c r="F1751" s="189" t="s">
        <v>586</v>
      </c>
      <c r="G1751" s="876"/>
      <c r="H1751" s="632" t="s">
        <v>1116</v>
      </c>
      <c r="I1751" s="258">
        <v>43</v>
      </c>
      <c r="J1751" s="258">
        <v>29843</v>
      </c>
      <c r="K1751" s="618">
        <f t="shared" si="145"/>
        <v>1283249</v>
      </c>
      <c r="L1751" s="52" t="s">
        <v>167</v>
      </c>
      <c r="M1751" s="52" t="s">
        <v>159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909"/>
      <c r="AB1751" s="843"/>
      <c r="AC1751" s="843"/>
      <c r="AD1751" s="843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9">
        <f t="shared" si="140"/>
        <v>10</v>
      </c>
      <c r="C1752" s="875">
        <f t="shared" si="144"/>
        <v>40823</v>
      </c>
      <c r="D1752" s="875" t="s">
        <v>1117</v>
      </c>
      <c r="E1752" s="875">
        <v>40823</v>
      </c>
      <c r="F1752" s="302" t="s">
        <v>402</v>
      </c>
      <c r="G1752" s="876"/>
      <c r="H1752" s="632" t="s">
        <v>1116</v>
      </c>
      <c r="I1752" s="258">
        <v>130</v>
      </c>
      <c r="J1752" s="258">
        <v>24346</v>
      </c>
      <c r="K1752" s="618">
        <f t="shared" si="145"/>
        <v>3164980</v>
      </c>
      <c r="L1752" s="52" t="s">
        <v>167</v>
      </c>
      <c r="M1752" s="52" t="s">
        <v>159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909"/>
      <c r="AB1752" s="843"/>
      <c r="AC1752" s="843"/>
      <c r="AD1752" s="843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75">
        <f t="shared" si="144"/>
        <v>40823</v>
      </c>
      <c r="D1753" s="875" t="s">
        <v>1117</v>
      </c>
      <c r="E1753" s="875">
        <v>40823</v>
      </c>
      <c r="F1753" s="189" t="s">
        <v>602</v>
      </c>
      <c r="G1753" s="502"/>
      <c r="H1753" s="632" t="s">
        <v>1116</v>
      </c>
      <c r="I1753" s="260">
        <v>140</v>
      </c>
      <c r="J1753" s="260">
        <v>7543</v>
      </c>
      <c r="K1753" s="618">
        <f t="shared" si="145"/>
        <v>1056020</v>
      </c>
      <c r="L1753" s="52" t="s">
        <v>167</v>
      </c>
      <c r="M1753" s="52" t="s">
        <v>159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909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75">
        <f t="shared" si="144"/>
        <v>40823</v>
      </c>
      <c r="D1754" s="875" t="s">
        <v>1117</v>
      </c>
      <c r="E1754" s="875">
        <v>40823</v>
      </c>
      <c r="F1754" s="40" t="s">
        <v>642</v>
      </c>
      <c r="G1754" s="502"/>
      <c r="H1754" s="632" t="s">
        <v>1116</v>
      </c>
      <c r="I1754" s="260">
        <v>10</v>
      </c>
      <c r="J1754" s="260">
        <v>32844</v>
      </c>
      <c r="K1754" s="618">
        <f t="shared" si="145"/>
        <v>328440</v>
      </c>
      <c r="L1754" s="52" t="s">
        <v>167</v>
      </c>
      <c r="M1754" s="52" t="s">
        <v>159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909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75">
        <f t="shared" si="144"/>
        <v>40823</v>
      </c>
      <c r="D1755" s="875" t="s">
        <v>1117</v>
      </c>
      <c r="E1755" s="875">
        <v>40823</v>
      </c>
      <c r="F1755" s="40" t="s">
        <v>613</v>
      </c>
      <c r="G1755" s="502"/>
      <c r="H1755" s="632" t="s">
        <v>1116</v>
      </c>
      <c r="I1755" s="260">
        <v>20</v>
      </c>
      <c r="J1755" s="260">
        <v>29721.8</v>
      </c>
      <c r="K1755" s="618">
        <f t="shared" si="145"/>
        <v>594436</v>
      </c>
      <c r="L1755" s="52" t="s">
        <v>167</v>
      </c>
      <c r="M1755" s="52" t="s">
        <v>159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909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75">
        <f t="shared" si="144"/>
        <v>40823</v>
      </c>
      <c r="D1756" s="875" t="s">
        <v>1117</v>
      </c>
      <c r="E1756" s="875">
        <v>40823</v>
      </c>
      <c r="F1756" s="40" t="s">
        <v>636</v>
      </c>
      <c r="G1756" s="40"/>
      <c r="H1756" s="632" t="s">
        <v>1116</v>
      </c>
      <c r="I1756" s="260">
        <v>16</v>
      </c>
      <c r="J1756" s="260">
        <v>19180</v>
      </c>
      <c r="K1756" s="618">
        <f t="shared" si="145"/>
        <v>306880</v>
      </c>
      <c r="L1756" s="52" t="s">
        <v>167</v>
      </c>
      <c r="M1756" s="52" t="s">
        <v>159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909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75">
        <f t="shared" si="144"/>
        <v>40823</v>
      </c>
      <c r="D1757" s="875" t="s">
        <v>1117</v>
      </c>
      <c r="E1757" s="875">
        <v>40823</v>
      </c>
      <c r="F1757" s="40" t="s">
        <v>635</v>
      </c>
      <c r="G1757" s="40"/>
      <c r="H1757" s="632" t="s">
        <v>1116</v>
      </c>
      <c r="I1757" s="260">
        <v>45</v>
      </c>
      <c r="J1757" s="260">
        <v>29792</v>
      </c>
      <c r="K1757" s="618">
        <f t="shared" si="145"/>
        <v>1340640</v>
      </c>
      <c r="L1757" s="52" t="s">
        <v>167</v>
      </c>
      <c r="M1757" s="52" t="s">
        <v>159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909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75">
        <f t="shared" si="144"/>
        <v>40823</v>
      </c>
      <c r="D1758" s="875" t="s">
        <v>1117</v>
      </c>
      <c r="E1758" s="875">
        <v>40823</v>
      </c>
      <c r="F1758" s="40" t="s">
        <v>639</v>
      </c>
      <c r="G1758" s="40"/>
      <c r="H1758" s="632" t="s">
        <v>1116</v>
      </c>
      <c r="I1758" s="260">
        <v>37</v>
      </c>
      <c r="J1758" s="260">
        <v>30058</v>
      </c>
      <c r="K1758" s="618">
        <f t="shared" si="145"/>
        <v>1112146</v>
      </c>
      <c r="L1758" s="52" t="s">
        <v>167</v>
      </c>
      <c r="M1758" s="52" t="s">
        <v>159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909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75">
        <f t="shared" si="144"/>
        <v>40826</v>
      </c>
      <c r="D1759" s="875" t="s">
        <v>1118</v>
      </c>
      <c r="E1759" s="37">
        <v>40826</v>
      </c>
      <c r="F1759" s="40" t="s">
        <v>648</v>
      </c>
      <c r="G1759" s="40"/>
      <c r="H1759" s="632" t="s">
        <v>1116</v>
      </c>
      <c r="I1759" s="260">
        <v>94</v>
      </c>
      <c r="J1759" s="260">
        <v>28980</v>
      </c>
      <c r="K1759" s="618">
        <f t="shared" si="145"/>
        <v>2724120</v>
      </c>
      <c r="L1759" s="52" t="s">
        <v>167</v>
      </c>
      <c r="M1759" s="52" t="s">
        <v>159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909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75">
        <f t="shared" si="144"/>
        <v>40826</v>
      </c>
      <c r="D1760" s="875" t="s">
        <v>1118</v>
      </c>
      <c r="E1760" s="37">
        <v>40826</v>
      </c>
      <c r="F1760" s="40" t="s">
        <v>641</v>
      </c>
      <c r="G1760" s="40"/>
      <c r="H1760" s="632" t="s">
        <v>1116</v>
      </c>
      <c r="I1760" s="260">
        <v>20</v>
      </c>
      <c r="J1760" s="260">
        <v>28560</v>
      </c>
      <c r="K1760" s="618">
        <f t="shared" si="145"/>
        <v>571200</v>
      </c>
      <c r="L1760" s="52" t="s">
        <v>167</v>
      </c>
      <c r="M1760" s="52" t="s">
        <v>159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909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75">
        <f t="shared" si="144"/>
        <v>40826</v>
      </c>
      <c r="D1761" s="875" t="s">
        <v>1118</v>
      </c>
      <c r="E1761" s="37">
        <v>40826</v>
      </c>
      <c r="F1761" s="189" t="s">
        <v>588</v>
      </c>
      <c r="G1761" s="40"/>
      <c r="H1761" s="632" t="s">
        <v>1116</v>
      </c>
      <c r="I1761" s="260">
        <v>17</v>
      </c>
      <c r="J1761" s="260">
        <v>29579</v>
      </c>
      <c r="K1761" s="618">
        <f t="shared" si="145"/>
        <v>502843</v>
      </c>
      <c r="L1761" s="52" t="s">
        <v>167</v>
      </c>
      <c r="M1761" s="52" t="s">
        <v>159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909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75">
        <f t="shared" si="144"/>
        <v>40826</v>
      </c>
      <c r="D1762" s="875" t="s">
        <v>1118</v>
      </c>
      <c r="E1762" s="37">
        <v>40826</v>
      </c>
      <c r="F1762" s="189" t="s">
        <v>513</v>
      </c>
      <c r="G1762" s="40"/>
      <c r="H1762" s="632" t="s">
        <v>1116</v>
      </c>
      <c r="I1762" s="260">
        <v>50</v>
      </c>
      <c r="J1762" s="260">
        <v>17427</v>
      </c>
      <c r="K1762" s="618">
        <f t="shared" si="145"/>
        <v>871350</v>
      </c>
      <c r="L1762" s="52" t="s">
        <v>167</v>
      </c>
      <c r="M1762" s="52" t="s">
        <v>159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909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75">
        <f t="shared" si="144"/>
        <v>40826</v>
      </c>
      <c r="D1763" s="875" t="s">
        <v>1118</v>
      </c>
      <c r="E1763" s="37">
        <v>40826</v>
      </c>
      <c r="F1763" s="189" t="s">
        <v>507</v>
      </c>
      <c r="G1763" s="40"/>
      <c r="H1763" s="632" t="s">
        <v>1116</v>
      </c>
      <c r="I1763" s="260">
        <v>100</v>
      </c>
      <c r="J1763" s="260">
        <v>19112</v>
      </c>
      <c r="K1763" s="618">
        <f t="shared" si="145"/>
        <v>1911200</v>
      </c>
      <c r="L1763" s="52" t="s">
        <v>167</v>
      </c>
      <c r="M1763" s="52" t="s">
        <v>159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909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75">
        <f t="shared" si="144"/>
        <v>40826</v>
      </c>
      <c r="D1764" s="875" t="s">
        <v>1118</v>
      </c>
      <c r="E1764" s="37">
        <v>40826</v>
      </c>
      <c r="F1764" s="189" t="s">
        <v>585</v>
      </c>
      <c r="G1764" s="40"/>
      <c r="H1764" s="632" t="s">
        <v>1116</v>
      </c>
      <c r="I1764" s="260">
        <v>100</v>
      </c>
      <c r="J1764" s="260">
        <v>18390</v>
      </c>
      <c r="K1764" s="618">
        <f t="shared" si="145"/>
        <v>1839000</v>
      </c>
      <c r="L1764" s="52" t="s">
        <v>167</v>
      </c>
      <c r="M1764" s="52" t="s">
        <v>159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909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75">
        <f t="shared" si="144"/>
        <v>40826</v>
      </c>
      <c r="D1765" s="875" t="s">
        <v>1118</v>
      </c>
      <c r="E1765" s="37">
        <v>40826</v>
      </c>
      <c r="F1765" s="40" t="s">
        <v>634</v>
      </c>
      <c r="G1765" s="40"/>
      <c r="H1765" s="632" t="s">
        <v>1116</v>
      </c>
      <c r="I1765" s="260">
        <v>60</v>
      </c>
      <c r="J1765" s="260">
        <v>18396</v>
      </c>
      <c r="K1765" s="618">
        <f t="shared" si="145"/>
        <v>1103760</v>
      </c>
      <c r="L1765" s="52" t="s">
        <v>167</v>
      </c>
      <c r="M1765" s="52" t="s">
        <v>159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909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75">
        <f t="shared" si="144"/>
        <v>40826</v>
      </c>
      <c r="D1766" s="875" t="s">
        <v>1118</v>
      </c>
      <c r="E1766" s="37">
        <v>40826</v>
      </c>
      <c r="F1766" s="189" t="s">
        <v>573</v>
      </c>
      <c r="G1766" s="40"/>
      <c r="H1766" s="632" t="s">
        <v>1116</v>
      </c>
      <c r="I1766" s="260">
        <v>130</v>
      </c>
      <c r="J1766" s="260">
        <v>22476</v>
      </c>
      <c r="K1766" s="618">
        <f t="shared" si="145"/>
        <v>2921880</v>
      </c>
      <c r="L1766" s="52" t="s">
        <v>167</v>
      </c>
      <c r="M1766" s="52" t="s">
        <v>159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909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75">
        <f t="shared" si="144"/>
        <v>40826</v>
      </c>
      <c r="D1767" s="875" t="s">
        <v>1118</v>
      </c>
      <c r="E1767" s="37">
        <v>40826</v>
      </c>
      <c r="F1767" s="189" t="s">
        <v>577</v>
      </c>
      <c r="G1767" s="40"/>
      <c r="H1767" s="632" t="s">
        <v>1116</v>
      </c>
      <c r="I1767" s="260">
        <v>150</v>
      </c>
      <c r="J1767" s="260">
        <v>21158</v>
      </c>
      <c r="K1767" s="618">
        <f t="shared" si="145"/>
        <v>3173700</v>
      </c>
      <c r="L1767" s="52" t="s">
        <v>167</v>
      </c>
      <c r="M1767" s="52" t="s">
        <v>159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909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455</v>
      </c>
      <c r="E1768" s="184">
        <v>40827</v>
      </c>
      <c r="F1768" s="899" t="s">
        <v>1180</v>
      </c>
      <c r="G1768" s="620" t="s">
        <v>353</v>
      </c>
      <c r="H1768" s="193" t="s">
        <v>386</v>
      </c>
      <c r="I1768" s="260"/>
      <c r="J1768" s="260"/>
      <c r="K1768" s="618">
        <v>95000000</v>
      </c>
      <c r="L1768" s="619" t="s">
        <v>47</v>
      </c>
      <c r="M1768" s="619" t="s">
        <v>24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909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982</v>
      </c>
      <c r="E1769" s="191">
        <v>40831</v>
      </c>
      <c r="F1769" s="192" t="s">
        <v>1260</v>
      </c>
      <c r="G1769" s="502" t="s">
        <v>1261</v>
      </c>
      <c r="H1769" s="193" t="s">
        <v>756</v>
      </c>
      <c r="I1769" s="260">
        <v>2954.1641048824595</v>
      </c>
      <c r="J1769" s="260">
        <v>19908</v>
      </c>
      <c r="K1769" s="618">
        <v>58811499</v>
      </c>
      <c r="L1769" s="194" t="s">
        <v>274</v>
      </c>
      <c r="M1769" s="194" t="s">
        <v>181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909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982</v>
      </c>
      <c r="E1770" s="191">
        <v>40831</v>
      </c>
      <c r="F1770" s="192" t="s">
        <v>1200</v>
      </c>
      <c r="G1770" s="502" t="s">
        <v>1261</v>
      </c>
      <c r="H1770" s="193" t="s">
        <v>756</v>
      </c>
      <c r="I1770" s="260"/>
      <c r="J1770" s="260"/>
      <c r="K1770" s="618">
        <f>5881150+1</f>
        <v>5881151</v>
      </c>
      <c r="L1770" s="194" t="s">
        <v>274</v>
      </c>
      <c r="M1770" s="194" t="s">
        <v>754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909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75">
        <f t="shared" ref="C1771:C1788" si="147">E1771</f>
        <v>40831</v>
      </c>
      <c r="D1771" s="875" t="s">
        <v>1119</v>
      </c>
      <c r="E1771" s="37">
        <v>40831</v>
      </c>
      <c r="F1771" s="40" t="s">
        <v>580</v>
      </c>
      <c r="G1771" s="40"/>
      <c r="H1771" s="632" t="s">
        <v>1116</v>
      </c>
      <c r="I1771" s="260">
        <v>90</v>
      </c>
      <c r="J1771" s="260">
        <v>24004.988888888889</v>
      </c>
      <c r="K1771" s="618">
        <f t="shared" ref="K1771:K1788" si="148">ROUND(I1771*J1771,0)</f>
        <v>2160449</v>
      </c>
      <c r="L1771" s="52" t="s">
        <v>167</v>
      </c>
      <c r="M1771" s="52" t="s">
        <v>159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909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75">
        <f t="shared" si="147"/>
        <v>40831</v>
      </c>
      <c r="D1772" s="875" t="s">
        <v>1119</v>
      </c>
      <c r="E1772" s="37">
        <v>40831</v>
      </c>
      <c r="F1772" s="189" t="s">
        <v>652</v>
      </c>
      <c r="G1772" s="40"/>
      <c r="H1772" s="632" t="s">
        <v>1116</v>
      </c>
      <c r="I1772" s="260">
        <v>94</v>
      </c>
      <c r="J1772" s="260">
        <v>27175</v>
      </c>
      <c r="K1772" s="618">
        <f t="shared" si="148"/>
        <v>2554450</v>
      </c>
      <c r="L1772" s="52" t="s">
        <v>167</v>
      </c>
      <c r="M1772" s="52" t="s">
        <v>159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909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75">
        <f t="shared" si="147"/>
        <v>40831</v>
      </c>
      <c r="D1773" s="875" t="s">
        <v>1119</v>
      </c>
      <c r="E1773" s="37">
        <v>40831</v>
      </c>
      <c r="F1773" s="189" t="s">
        <v>513</v>
      </c>
      <c r="G1773" s="40"/>
      <c r="H1773" s="632" t="s">
        <v>1116</v>
      </c>
      <c r="I1773" s="260">
        <v>64</v>
      </c>
      <c r="J1773" s="260">
        <v>17427</v>
      </c>
      <c r="K1773" s="618">
        <f t="shared" si="148"/>
        <v>1115328</v>
      </c>
      <c r="L1773" s="52" t="s">
        <v>167</v>
      </c>
      <c r="M1773" s="52" t="s">
        <v>159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909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75">
        <f t="shared" si="147"/>
        <v>40831</v>
      </c>
      <c r="D1774" s="875" t="s">
        <v>1119</v>
      </c>
      <c r="E1774" s="37">
        <v>40831</v>
      </c>
      <c r="F1774" s="189" t="s">
        <v>513</v>
      </c>
      <c r="G1774" s="40"/>
      <c r="H1774" s="632" t="s">
        <v>1116</v>
      </c>
      <c r="I1774" s="260">
        <v>107</v>
      </c>
      <c r="J1774" s="260">
        <v>17427</v>
      </c>
      <c r="K1774" s="618">
        <f t="shared" si="148"/>
        <v>1864689</v>
      </c>
      <c r="L1774" s="52" t="s">
        <v>167</v>
      </c>
      <c r="M1774" s="52" t="s">
        <v>159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909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75">
        <f t="shared" si="147"/>
        <v>40831</v>
      </c>
      <c r="D1775" s="875" t="s">
        <v>1119</v>
      </c>
      <c r="E1775" s="37">
        <v>40831</v>
      </c>
      <c r="F1775" s="189" t="s">
        <v>594</v>
      </c>
      <c r="G1775" s="40"/>
      <c r="H1775" s="632" t="s">
        <v>1116</v>
      </c>
      <c r="I1775" s="260">
        <v>104</v>
      </c>
      <c r="J1775" s="260">
        <v>23340</v>
      </c>
      <c r="K1775" s="618">
        <f t="shared" si="148"/>
        <v>2427360</v>
      </c>
      <c r="L1775" s="52" t="s">
        <v>167</v>
      </c>
      <c r="M1775" s="52" t="s">
        <v>159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909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75">
        <f t="shared" si="147"/>
        <v>40831</v>
      </c>
      <c r="D1776" s="875" t="s">
        <v>1119</v>
      </c>
      <c r="E1776" s="37">
        <v>40831</v>
      </c>
      <c r="F1776" s="40" t="s">
        <v>632</v>
      </c>
      <c r="G1776" s="40"/>
      <c r="H1776" s="632" t="s">
        <v>1116</v>
      </c>
      <c r="I1776" s="260">
        <v>182</v>
      </c>
      <c r="J1776" s="260">
        <v>19418</v>
      </c>
      <c r="K1776" s="618">
        <f t="shared" si="148"/>
        <v>3534076</v>
      </c>
      <c r="L1776" s="52" t="s">
        <v>167</v>
      </c>
      <c r="M1776" s="52" t="s">
        <v>159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909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75">
        <f t="shared" si="147"/>
        <v>40831</v>
      </c>
      <c r="D1777" s="875" t="s">
        <v>1119</v>
      </c>
      <c r="E1777" s="37">
        <v>40831</v>
      </c>
      <c r="F1777" s="189" t="s">
        <v>593</v>
      </c>
      <c r="G1777" s="40"/>
      <c r="H1777" s="632" t="s">
        <v>1116</v>
      </c>
      <c r="I1777" s="260">
        <v>104</v>
      </c>
      <c r="J1777" s="260">
        <v>27479</v>
      </c>
      <c r="K1777" s="618">
        <f t="shared" si="148"/>
        <v>2857816</v>
      </c>
      <c r="L1777" s="52" t="s">
        <v>167</v>
      </c>
      <c r="M1777" s="52" t="s">
        <v>159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909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75">
        <f t="shared" si="147"/>
        <v>40831</v>
      </c>
      <c r="D1778" s="875" t="s">
        <v>1119</v>
      </c>
      <c r="E1778" s="37">
        <v>40831</v>
      </c>
      <c r="F1778" s="302" t="s">
        <v>506</v>
      </c>
      <c r="G1778" s="40"/>
      <c r="H1778" s="632" t="s">
        <v>1116</v>
      </c>
      <c r="I1778" s="260">
        <v>52</v>
      </c>
      <c r="J1778" s="260">
        <v>35390</v>
      </c>
      <c r="K1778" s="618">
        <f t="shared" si="148"/>
        <v>1840280</v>
      </c>
      <c r="L1778" s="52" t="s">
        <v>167</v>
      </c>
      <c r="M1778" s="52" t="s">
        <v>159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909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9">
        <f t="shared" si="146"/>
        <v>10</v>
      </c>
      <c r="C1779" s="875">
        <f t="shared" si="147"/>
        <v>40831</v>
      </c>
      <c r="D1779" s="48" t="s">
        <v>1137</v>
      </c>
      <c r="E1779" s="875">
        <v>40831</v>
      </c>
      <c r="F1779" s="882" t="s">
        <v>1260</v>
      </c>
      <c r="G1779" s="49"/>
      <c r="H1779" s="883" t="s">
        <v>1116</v>
      </c>
      <c r="I1779" s="258">
        <v>2954.1641048824595</v>
      </c>
      <c r="J1779" s="258">
        <v>10869.032366703337</v>
      </c>
      <c r="K1779" s="723">
        <f t="shared" si="148"/>
        <v>32108905</v>
      </c>
      <c r="L1779" s="52" t="s">
        <v>169</v>
      </c>
      <c r="M1779" s="52" t="s">
        <v>167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909"/>
      <c r="AB1779" s="843"/>
      <c r="AC1779" s="843"/>
      <c r="AD1779" s="843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75">
        <f t="shared" si="147"/>
        <v>40831</v>
      </c>
      <c r="D1780" s="48" t="s">
        <v>982</v>
      </c>
      <c r="E1780" s="875">
        <v>40831</v>
      </c>
      <c r="F1780" s="192" t="s">
        <v>1260</v>
      </c>
      <c r="G1780" s="502" t="s">
        <v>1261</v>
      </c>
      <c r="H1780" s="193" t="s">
        <v>756</v>
      </c>
      <c r="I1780" s="260">
        <v>2954.1641048824595</v>
      </c>
      <c r="J1780" s="260">
        <v>10869.032366703337</v>
      </c>
      <c r="K1780" s="618">
        <f t="shared" si="148"/>
        <v>32108905</v>
      </c>
      <c r="L1780" s="52" t="s">
        <v>179</v>
      </c>
      <c r="M1780" s="52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909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75">
        <f t="shared" si="147"/>
        <v>40832</v>
      </c>
      <c r="D1781" s="875" t="s">
        <v>1121</v>
      </c>
      <c r="E1781" s="37">
        <v>40832</v>
      </c>
      <c r="F1781" s="40" t="s">
        <v>638</v>
      </c>
      <c r="G1781" s="40"/>
      <c r="H1781" s="632" t="s">
        <v>1116</v>
      </c>
      <c r="I1781" s="260">
        <v>58</v>
      </c>
      <c r="J1781" s="260">
        <v>28476</v>
      </c>
      <c r="K1781" s="618">
        <f t="shared" si="148"/>
        <v>1651608</v>
      </c>
      <c r="L1781" s="52" t="s">
        <v>167</v>
      </c>
      <c r="M1781" s="52" t="s">
        <v>159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909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75">
        <f t="shared" si="147"/>
        <v>40832</v>
      </c>
      <c r="D1782" s="875" t="s">
        <v>1121</v>
      </c>
      <c r="E1782" s="37">
        <v>40832</v>
      </c>
      <c r="F1782" s="302" t="s">
        <v>505</v>
      </c>
      <c r="G1782" s="40"/>
      <c r="H1782" s="632" t="s">
        <v>1116</v>
      </c>
      <c r="I1782" s="260">
        <v>52</v>
      </c>
      <c r="J1782" s="260">
        <v>27720</v>
      </c>
      <c r="K1782" s="618">
        <f t="shared" si="148"/>
        <v>1441440</v>
      </c>
      <c r="L1782" s="52" t="s">
        <v>167</v>
      </c>
      <c r="M1782" s="52" t="s">
        <v>159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909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75">
        <f t="shared" si="147"/>
        <v>40832</v>
      </c>
      <c r="D1783" s="875" t="s">
        <v>1121</v>
      </c>
      <c r="E1783" s="37">
        <v>40832</v>
      </c>
      <c r="F1783" s="189" t="s">
        <v>568</v>
      </c>
      <c r="G1783" s="40"/>
      <c r="H1783" s="632" t="s">
        <v>1116</v>
      </c>
      <c r="I1783" s="260">
        <v>52</v>
      </c>
      <c r="J1783" s="260">
        <v>32850</v>
      </c>
      <c r="K1783" s="618">
        <f t="shared" si="148"/>
        <v>1708200</v>
      </c>
      <c r="L1783" s="52" t="s">
        <v>167</v>
      </c>
      <c r="M1783" s="52" t="s">
        <v>159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909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75">
        <f t="shared" si="147"/>
        <v>40832</v>
      </c>
      <c r="D1784" s="875" t="s">
        <v>1121</v>
      </c>
      <c r="E1784" s="37">
        <v>40832</v>
      </c>
      <c r="F1784" s="189" t="s">
        <v>544</v>
      </c>
      <c r="G1784" s="40"/>
      <c r="H1784" s="632" t="s">
        <v>1116</v>
      </c>
      <c r="I1784" s="260">
        <v>58</v>
      </c>
      <c r="J1784" s="260">
        <v>26880</v>
      </c>
      <c r="K1784" s="618">
        <f t="shared" si="148"/>
        <v>1559040</v>
      </c>
      <c r="L1784" s="52" t="s">
        <v>167</v>
      </c>
      <c r="M1784" s="52" t="s">
        <v>159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909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75">
        <f t="shared" si="147"/>
        <v>40832</v>
      </c>
      <c r="D1785" s="875" t="s">
        <v>1121</v>
      </c>
      <c r="E1785" s="37">
        <v>40832</v>
      </c>
      <c r="F1785" s="189" t="s">
        <v>659</v>
      </c>
      <c r="G1785" s="40"/>
      <c r="H1785" s="632" t="s">
        <v>1116</v>
      </c>
      <c r="I1785" s="260">
        <v>22</v>
      </c>
      <c r="J1785" s="260">
        <v>35812</v>
      </c>
      <c r="K1785" s="618">
        <f t="shared" si="148"/>
        <v>787864</v>
      </c>
      <c r="L1785" s="52" t="s">
        <v>167</v>
      </c>
      <c r="M1785" s="52" t="s">
        <v>159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909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75">
        <f t="shared" si="147"/>
        <v>40832</v>
      </c>
      <c r="D1786" s="875" t="s">
        <v>1121</v>
      </c>
      <c r="E1786" s="37">
        <v>40832</v>
      </c>
      <c r="F1786" s="189" t="s">
        <v>518</v>
      </c>
      <c r="G1786" s="40"/>
      <c r="H1786" s="632" t="s">
        <v>1116</v>
      </c>
      <c r="I1786" s="260">
        <v>52</v>
      </c>
      <c r="J1786" s="260">
        <v>43904</v>
      </c>
      <c r="K1786" s="618">
        <f t="shared" si="148"/>
        <v>2283008</v>
      </c>
      <c r="L1786" s="52" t="s">
        <v>167</v>
      </c>
      <c r="M1786" s="52" t="s">
        <v>159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909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75">
        <f t="shared" si="147"/>
        <v>40832</v>
      </c>
      <c r="D1787" s="875" t="s">
        <v>1121</v>
      </c>
      <c r="E1787" s="37">
        <v>40832</v>
      </c>
      <c r="F1787" s="189" t="s">
        <v>587</v>
      </c>
      <c r="G1787" s="40"/>
      <c r="H1787" s="632" t="s">
        <v>1116</v>
      </c>
      <c r="I1787" s="260">
        <v>43</v>
      </c>
      <c r="J1787" s="260">
        <v>28273</v>
      </c>
      <c r="K1787" s="618">
        <f t="shared" si="148"/>
        <v>1215739</v>
      </c>
      <c r="L1787" s="52" t="s">
        <v>167</v>
      </c>
      <c r="M1787" s="52" t="s">
        <v>159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909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75">
        <f t="shared" si="147"/>
        <v>40832</v>
      </c>
      <c r="D1788" s="875" t="s">
        <v>1121</v>
      </c>
      <c r="E1788" s="37">
        <v>40832</v>
      </c>
      <c r="F1788" s="189" t="s">
        <v>425</v>
      </c>
      <c r="G1788" s="40"/>
      <c r="H1788" s="632" t="s">
        <v>1116</v>
      </c>
      <c r="I1788" s="260">
        <v>10</v>
      </c>
      <c r="J1788" s="260">
        <v>24325</v>
      </c>
      <c r="K1788" s="618">
        <f t="shared" si="148"/>
        <v>243250</v>
      </c>
      <c r="L1788" s="52" t="s">
        <v>167</v>
      </c>
      <c r="M1788" s="52" t="s">
        <v>159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909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983</v>
      </c>
      <c r="E1789" s="191">
        <v>40833</v>
      </c>
      <c r="F1789" s="192" t="s">
        <v>1278</v>
      </c>
      <c r="G1789" s="502" t="s">
        <v>1262</v>
      </c>
      <c r="H1789" s="193" t="s">
        <v>756</v>
      </c>
      <c r="I1789" s="260">
        <v>100</v>
      </c>
      <c r="J1789" s="260">
        <v>14880</v>
      </c>
      <c r="K1789" s="618">
        <v>1488000</v>
      </c>
      <c r="L1789" s="194" t="s">
        <v>274</v>
      </c>
      <c r="M1789" s="194" t="s">
        <v>181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909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983</v>
      </c>
      <c r="E1790" s="191">
        <v>40833</v>
      </c>
      <c r="F1790" s="192" t="s">
        <v>1279</v>
      </c>
      <c r="G1790" s="502" t="s">
        <v>1262</v>
      </c>
      <c r="H1790" s="193" t="s">
        <v>756</v>
      </c>
      <c r="I1790" s="260">
        <v>120</v>
      </c>
      <c r="J1790" s="260">
        <v>20820</v>
      </c>
      <c r="K1790" s="618">
        <v>2498400</v>
      </c>
      <c r="L1790" s="194" t="s">
        <v>274</v>
      </c>
      <c r="M1790" s="194" t="s">
        <v>181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909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983</v>
      </c>
      <c r="E1791" s="191">
        <v>40833</v>
      </c>
      <c r="F1791" s="192" t="s">
        <v>1280</v>
      </c>
      <c r="G1791" s="502" t="s">
        <v>1262</v>
      </c>
      <c r="H1791" s="193" t="s">
        <v>756</v>
      </c>
      <c r="I1791" s="260">
        <v>250</v>
      </c>
      <c r="J1791" s="260">
        <v>26203</v>
      </c>
      <c r="K1791" s="618">
        <v>6550750</v>
      </c>
      <c r="L1791" s="194" t="s">
        <v>274</v>
      </c>
      <c r="M1791" s="194" t="s">
        <v>181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909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983</v>
      </c>
      <c r="E1792" s="191">
        <v>40833</v>
      </c>
      <c r="F1792" s="192" t="s">
        <v>1281</v>
      </c>
      <c r="G1792" s="502" t="s">
        <v>1262</v>
      </c>
      <c r="H1792" s="193" t="s">
        <v>756</v>
      </c>
      <c r="I1792" s="260">
        <v>140</v>
      </c>
      <c r="J1792" s="260">
        <v>11355</v>
      </c>
      <c r="K1792" s="618">
        <v>1589700</v>
      </c>
      <c r="L1792" s="194" t="s">
        <v>274</v>
      </c>
      <c r="M1792" s="194" t="s">
        <v>181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909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983</v>
      </c>
      <c r="E1793" s="191">
        <v>40833</v>
      </c>
      <c r="F1793" s="192" t="s">
        <v>1282</v>
      </c>
      <c r="G1793" s="502" t="s">
        <v>1262</v>
      </c>
      <c r="H1793" s="193" t="s">
        <v>756</v>
      </c>
      <c r="I1793" s="260">
        <v>50</v>
      </c>
      <c r="J1793" s="260">
        <v>11420</v>
      </c>
      <c r="K1793" s="618">
        <v>571000</v>
      </c>
      <c r="L1793" s="194" t="s">
        <v>274</v>
      </c>
      <c r="M1793" s="194" t="s">
        <v>181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909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983</v>
      </c>
      <c r="E1794" s="191">
        <v>40833</v>
      </c>
      <c r="F1794" s="192" t="s">
        <v>1283</v>
      </c>
      <c r="G1794" s="502" t="s">
        <v>1262</v>
      </c>
      <c r="H1794" s="193" t="s">
        <v>756</v>
      </c>
      <c r="I1794" s="260">
        <v>70</v>
      </c>
      <c r="J1794" s="260">
        <v>14450</v>
      </c>
      <c r="K1794" s="618">
        <v>1011500</v>
      </c>
      <c r="L1794" s="194" t="s">
        <v>274</v>
      </c>
      <c r="M1794" s="194" t="s">
        <v>181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909"/>
    </row>
    <row r="1795" spans="1:30" s="843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983</v>
      </c>
      <c r="E1795" s="191">
        <v>40833</v>
      </c>
      <c r="F1795" s="192" t="s">
        <v>1284</v>
      </c>
      <c r="G1795" s="502" t="s">
        <v>1262</v>
      </c>
      <c r="H1795" s="193" t="s">
        <v>756</v>
      </c>
      <c r="I1795" s="260">
        <v>54</v>
      </c>
      <c r="J1795" s="260">
        <v>13881</v>
      </c>
      <c r="K1795" s="618">
        <v>749574</v>
      </c>
      <c r="L1795" s="194" t="s">
        <v>274</v>
      </c>
      <c r="M1795" s="194" t="s">
        <v>181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909"/>
      <c r="AB1795" s="198"/>
      <c r="AC1795" s="198"/>
      <c r="AD1795" s="198"/>
    </row>
    <row r="1796" spans="1:30" s="843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983</v>
      </c>
      <c r="E1796" s="191">
        <v>40833</v>
      </c>
      <c r="F1796" s="192" t="s">
        <v>1285</v>
      </c>
      <c r="G1796" s="502" t="s">
        <v>1262</v>
      </c>
      <c r="H1796" s="193" t="s">
        <v>756</v>
      </c>
      <c r="I1796" s="260">
        <v>90</v>
      </c>
      <c r="J1796" s="260">
        <v>20891</v>
      </c>
      <c r="K1796" s="618">
        <v>1880190</v>
      </c>
      <c r="L1796" s="194" t="s">
        <v>274</v>
      </c>
      <c r="M1796" s="194" t="s">
        <v>181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909"/>
      <c r="AB1796" s="198"/>
      <c r="AC1796" s="198"/>
      <c r="AD1796" s="198"/>
    </row>
    <row r="1797" spans="1:30" s="843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983</v>
      </c>
      <c r="E1797" s="191">
        <v>40833</v>
      </c>
      <c r="F1797" s="192" t="s">
        <v>1286</v>
      </c>
      <c r="G1797" s="502" t="s">
        <v>1262</v>
      </c>
      <c r="H1797" s="193" t="s">
        <v>756</v>
      </c>
      <c r="I1797" s="260">
        <v>100</v>
      </c>
      <c r="J1797" s="260">
        <v>16534</v>
      </c>
      <c r="K1797" s="618">
        <v>1653400</v>
      </c>
      <c r="L1797" s="194" t="s">
        <v>274</v>
      </c>
      <c r="M1797" s="194" t="s">
        <v>181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909"/>
      <c r="AB1797" s="198"/>
      <c r="AC1797" s="198"/>
      <c r="AD1797" s="198"/>
    </row>
    <row r="1798" spans="1:30" s="843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983</v>
      </c>
      <c r="E1798" s="191">
        <v>40833</v>
      </c>
      <c r="F1798" s="192" t="s">
        <v>1285</v>
      </c>
      <c r="G1798" s="502" t="s">
        <v>1262</v>
      </c>
      <c r="H1798" s="193" t="s">
        <v>756</v>
      </c>
      <c r="I1798" s="260">
        <v>200</v>
      </c>
      <c r="J1798" s="260">
        <v>20981</v>
      </c>
      <c r="K1798" s="618">
        <v>4196200</v>
      </c>
      <c r="L1798" s="194" t="s">
        <v>274</v>
      </c>
      <c r="M1798" s="194" t="s">
        <v>181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909"/>
      <c r="AB1798" s="198"/>
      <c r="AC1798" s="198"/>
      <c r="AD1798" s="198"/>
    </row>
    <row r="1799" spans="1:30" s="843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983</v>
      </c>
      <c r="E1799" s="191">
        <v>40833</v>
      </c>
      <c r="F1799" s="192" t="s">
        <v>1287</v>
      </c>
      <c r="G1799" s="502" t="s">
        <v>1262</v>
      </c>
      <c r="H1799" s="193" t="s">
        <v>756</v>
      </c>
      <c r="I1799" s="260">
        <v>50</v>
      </c>
      <c r="J1799" s="260">
        <v>15669</v>
      </c>
      <c r="K1799" s="618">
        <v>783450</v>
      </c>
      <c r="L1799" s="194" t="s">
        <v>274</v>
      </c>
      <c r="M1799" s="194" t="s">
        <v>181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909"/>
      <c r="AB1799" s="198"/>
      <c r="AC1799" s="198"/>
      <c r="AD1799" s="198"/>
    </row>
    <row r="1800" spans="1:30" s="843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983</v>
      </c>
      <c r="E1800" s="191">
        <v>40833</v>
      </c>
      <c r="F1800" s="192" t="s">
        <v>1288</v>
      </c>
      <c r="G1800" s="502" t="s">
        <v>1262</v>
      </c>
      <c r="H1800" s="193" t="s">
        <v>756</v>
      </c>
      <c r="I1800" s="260">
        <v>30</v>
      </c>
      <c r="J1800" s="260">
        <v>20326</v>
      </c>
      <c r="K1800" s="618">
        <v>609780</v>
      </c>
      <c r="L1800" s="194" t="s">
        <v>274</v>
      </c>
      <c r="M1800" s="194" t="s">
        <v>181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909"/>
      <c r="AB1800" s="198"/>
      <c r="AC1800" s="198"/>
      <c r="AD1800" s="198"/>
    </row>
    <row r="1801" spans="1:30" s="843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983</v>
      </c>
      <c r="E1801" s="191">
        <v>40833</v>
      </c>
      <c r="F1801" s="192" t="s">
        <v>1200</v>
      </c>
      <c r="G1801" s="502" t="s">
        <v>1262</v>
      </c>
      <c r="H1801" s="193" t="s">
        <v>756</v>
      </c>
      <c r="I1801" s="260"/>
      <c r="J1801" s="260"/>
      <c r="K1801" s="618">
        <f>2358194+1</f>
        <v>2358195</v>
      </c>
      <c r="L1801" s="194" t="s">
        <v>274</v>
      </c>
      <c r="M1801" s="194" t="s">
        <v>754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909"/>
      <c r="AB1801" s="198"/>
      <c r="AC1801" s="198"/>
      <c r="AD1801" s="198"/>
    </row>
    <row r="1802" spans="1:30" s="843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75">
        <f t="shared" ref="C1802:C1835" si="149">E1802</f>
        <v>40833</v>
      </c>
      <c r="D1802" s="875" t="s">
        <v>1120</v>
      </c>
      <c r="E1802" s="37">
        <v>40833</v>
      </c>
      <c r="F1802" s="189" t="s">
        <v>513</v>
      </c>
      <c r="G1802" s="40"/>
      <c r="H1802" s="632" t="s">
        <v>1116</v>
      </c>
      <c r="I1802" s="260">
        <v>70</v>
      </c>
      <c r="J1802" s="260">
        <v>17427</v>
      </c>
      <c r="K1802" s="618">
        <f t="shared" ref="K1802:K1835" si="150">ROUND(I1802*J1802,0)</f>
        <v>1219890</v>
      </c>
      <c r="L1802" s="52" t="s">
        <v>167</v>
      </c>
      <c r="M1802" s="52" t="s">
        <v>159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909"/>
      <c r="AB1802" s="198"/>
      <c r="AC1802" s="198"/>
      <c r="AD1802" s="198"/>
    </row>
    <row r="1803" spans="1:30" s="843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75">
        <f t="shared" si="149"/>
        <v>40833</v>
      </c>
      <c r="D1803" s="875" t="s">
        <v>1120</v>
      </c>
      <c r="E1803" s="37">
        <v>40833</v>
      </c>
      <c r="F1803" s="40" t="s">
        <v>649</v>
      </c>
      <c r="G1803" s="40"/>
      <c r="H1803" s="632" t="s">
        <v>1116</v>
      </c>
      <c r="I1803" s="260">
        <v>46</v>
      </c>
      <c r="J1803" s="260">
        <v>23975</v>
      </c>
      <c r="K1803" s="618">
        <f t="shared" si="150"/>
        <v>1102850</v>
      </c>
      <c r="L1803" s="52" t="s">
        <v>167</v>
      </c>
      <c r="M1803" s="52" t="s">
        <v>159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909"/>
      <c r="AB1803" s="198"/>
      <c r="AC1803" s="198"/>
      <c r="AD1803" s="198"/>
    </row>
    <row r="1804" spans="1:30" s="843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75">
        <f t="shared" si="149"/>
        <v>40833</v>
      </c>
      <c r="D1804" s="875" t="s">
        <v>1120</v>
      </c>
      <c r="E1804" s="37">
        <v>40833</v>
      </c>
      <c r="F1804" s="40" t="s">
        <v>630</v>
      </c>
      <c r="G1804" s="40"/>
      <c r="H1804" s="632" t="s">
        <v>1116</v>
      </c>
      <c r="I1804" s="260">
        <v>132</v>
      </c>
      <c r="J1804" s="260">
        <v>21098</v>
      </c>
      <c r="K1804" s="618">
        <f t="shared" si="150"/>
        <v>2784936</v>
      </c>
      <c r="L1804" s="52" t="s">
        <v>167</v>
      </c>
      <c r="M1804" s="52" t="s">
        <v>159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909"/>
      <c r="AB1804" s="198"/>
      <c r="AC1804" s="198"/>
      <c r="AD1804" s="198"/>
    </row>
    <row r="1805" spans="1:30" s="843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75">
        <f t="shared" si="149"/>
        <v>40833</v>
      </c>
      <c r="D1805" s="875" t="s">
        <v>1120</v>
      </c>
      <c r="E1805" s="37">
        <v>40833</v>
      </c>
      <c r="F1805" s="40" t="s">
        <v>634</v>
      </c>
      <c r="G1805" s="40"/>
      <c r="H1805" s="632" t="s">
        <v>1116</v>
      </c>
      <c r="I1805" s="260">
        <v>50</v>
      </c>
      <c r="J1805" s="260">
        <v>18396</v>
      </c>
      <c r="K1805" s="618">
        <f t="shared" si="150"/>
        <v>919800</v>
      </c>
      <c r="L1805" s="52" t="s">
        <v>167</v>
      </c>
      <c r="M1805" s="52" t="s">
        <v>159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909"/>
      <c r="AB1805" s="198"/>
      <c r="AC1805" s="198"/>
      <c r="AD1805" s="198"/>
    </row>
    <row r="1806" spans="1:30" s="843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75">
        <f t="shared" si="149"/>
        <v>40833</v>
      </c>
      <c r="D1806" s="875" t="s">
        <v>1120</v>
      </c>
      <c r="E1806" s="37">
        <v>40833</v>
      </c>
      <c r="F1806" s="189" t="s">
        <v>513</v>
      </c>
      <c r="G1806" s="40"/>
      <c r="H1806" s="632" t="s">
        <v>1116</v>
      </c>
      <c r="I1806" s="260">
        <v>54</v>
      </c>
      <c r="J1806" s="260">
        <v>17427</v>
      </c>
      <c r="K1806" s="618">
        <f t="shared" si="150"/>
        <v>941058</v>
      </c>
      <c r="L1806" s="52" t="s">
        <v>167</v>
      </c>
      <c r="M1806" s="52" t="s">
        <v>159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909"/>
      <c r="AB1806" s="198"/>
      <c r="AC1806" s="198"/>
      <c r="AD1806" s="198"/>
    </row>
    <row r="1807" spans="1:30" s="843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75">
        <f t="shared" si="149"/>
        <v>40833</v>
      </c>
      <c r="D1807" s="875" t="s">
        <v>1120</v>
      </c>
      <c r="E1807" s="37">
        <v>40833</v>
      </c>
      <c r="F1807" s="40" t="s">
        <v>634</v>
      </c>
      <c r="G1807" s="40"/>
      <c r="H1807" s="632" t="s">
        <v>1116</v>
      </c>
      <c r="I1807" s="260">
        <v>50</v>
      </c>
      <c r="J1807" s="260">
        <v>18396</v>
      </c>
      <c r="K1807" s="618">
        <f t="shared" si="150"/>
        <v>919800</v>
      </c>
      <c r="L1807" s="52" t="s">
        <v>167</v>
      </c>
      <c r="M1807" s="52" t="s">
        <v>159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909"/>
      <c r="AB1807" s="198"/>
      <c r="AC1807" s="198"/>
      <c r="AD1807" s="198"/>
    </row>
    <row r="1808" spans="1:30" s="843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75">
        <f t="shared" si="149"/>
        <v>40833</v>
      </c>
      <c r="D1808" s="875" t="s">
        <v>1120</v>
      </c>
      <c r="E1808" s="37">
        <v>40833</v>
      </c>
      <c r="F1808" s="189" t="s">
        <v>507</v>
      </c>
      <c r="G1808" s="40"/>
      <c r="H1808" s="632" t="s">
        <v>1116</v>
      </c>
      <c r="I1808" s="260">
        <v>80</v>
      </c>
      <c r="J1808" s="260">
        <v>19112</v>
      </c>
      <c r="K1808" s="618">
        <f t="shared" si="150"/>
        <v>1528960</v>
      </c>
      <c r="L1808" s="52" t="s">
        <v>167</v>
      </c>
      <c r="M1808" s="52" t="s">
        <v>159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909"/>
      <c r="AB1808" s="198"/>
      <c r="AC1808" s="198"/>
      <c r="AD1808" s="198"/>
    </row>
    <row r="1809" spans="1:30" s="843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75">
        <f t="shared" si="149"/>
        <v>40833</v>
      </c>
      <c r="D1809" s="875" t="s">
        <v>1120</v>
      </c>
      <c r="E1809" s="37">
        <v>40833</v>
      </c>
      <c r="F1809" s="189" t="s">
        <v>538</v>
      </c>
      <c r="G1809" s="40"/>
      <c r="H1809" s="632" t="s">
        <v>1116</v>
      </c>
      <c r="I1809" s="260">
        <v>110</v>
      </c>
      <c r="J1809" s="260">
        <v>19316</v>
      </c>
      <c r="K1809" s="618">
        <f t="shared" si="150"/>
        <v>2124760</v>
      </c>
      <c r="L1809" s="52" t="s">
        <v>167</v>
      </c>
      <c r="M1809" s="52" t="s">
        <v>159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909"/>
      <c r="AB1809" s="198"/>
      <c r="AC1809" s="198"/>
      <c r="AD1809" s="198"/>
    </row>
    <row r="1810" spans="1:30" s="843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75">
        <f t="shared" si="149"/>
        <v>40833</v>
      </c>
      <c r="D1810" s="875" t="s">
        <v>1120</v>
      </c>
      <c r="E1810" s="37">
        <v>40833</v>
      </c>
      <c r="F1810" s="40" t="s">
        <v>634</v>
      </c>
      <c r="G1810" s="40"/>
      <c r="H1810" s="632" t="s">
        <v>1116</v>
      </c>
      <c r="I1810" s="260">
        <v>37</v>
      </c>
      <c r="J1810" s="260">
        <v>18396</v>
      </c>
      <c r="K1810" s="618">
        <f t="shared" si="150"/>
        <v>680652</v>
      </c>
      <c r="L1810" s="52" t="s">
        <v>167</v>
      </c>
      <c r="M1810" s="52" t="s">
        <v>159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909"/>
      <c r="AB1810" s="198"/>
      <c r="AC1810" s="198"/>
      <c r="AD1810" s="198"/>
    </row>
    <row r="1811" spans="1:30" s="843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75">
        <f t="shared" si="149"/>
        <v>40833</v>
      </c>
      <c r="D1811" s="875" t="s">
        <v>1120</v>
      </c>
      <c r="E1811" s="37">
        <v>40833</v>
      </c>
      <c r="F1811" s="40" t="s">
        <v>629</v>
      </c>
      <c r="G1811" s="40"/>
      <c r="H1811" s="632" t="s">
        <v>1116</v>
      </c>
      <c r="I1811" s="260">
        <v>90</v>
      </c>
      <c r="J1811" s="260">
        <v>26656</v>
      </c>
      <c r="K1811" s="618">
        <f t="shared" si="150"/>
        <v>2399040</v>
      </c>
      <c r="L1811" s="52" t="s">
        <v>167</v>
      </c>
      <c r="M1811" s="52" t="s">
        <v>159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909"/>
      <c r="AB1811" s="198"/>
      <c r="AC1811" s="198"/>
      <c r="AD1811" s="198"/>
    </row>
    <row r="1812" spans="1:30" s="843" customFormat="1" ht="15.75" customHeight="1">
      <c r="A1812" s="204" t="str">
        <f>IF(B1812&lt;&gt;"",IF(AND(B1812&gt;=_TM1,B1812&lt;=_TM2,OR(TH!L1812="1111",TH!M1812="1111")),TH!D1812,""),"")</f>
        <v/>
      </c>
      <c r="B1812" s="719">
        <f t="shared" si="146"/>
        <v>10</v>
      </c>
      <c r="C1812" s="875">
        <f t="shared" si="149"/>
        <v>40833</v>
      </c>
      <c r="D1812" s="48" t="s">
        <v>1138</v>
      </c>
      <c r="E1812" s="875">
        <v>40833</v>
      </c>
      <c r="F1812" s="882" t="s">
        <v>1278</v>
      </c>
      <c r="G1812" s="49"/>
      <c r="H1812" s="883" t="s">
        <v>1116</v>
      </c>
      <c r="I1812" s="258">
        <v>100</v>
      </c>
      <c r="J1812" s="258">
        <v>10854.498185845441</v>
      </c>
      <c r="K1812" s="723">
        <f t="shared" si="150"/>
        <v>1085450</v>
      </c>
      <c r="L1812" s="52" t="s">
        <v>169</v>
      </c>
      <c r="M1812" s="52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909"/>
    </row>
    <row r="1813" spans="1:30" s="843" customFormat="1" ht="15.75" customHeight="1">
      <c r="A1813" s="204" t="str">
        <f>IF(B1813&lt;&gt;"",IF(AND(B1813&gt;=_TM1,B1813&lt;=_TM2,OR(TH!L1813="1111",TH!M1813="1111")),TH!D1813,""),"")</f>
        <v/>
      </c>
      <c r="B1813" s="719">
        <f t="shared" si="146"/>
        <v>10</v>
      </c>
      <c r="C1813" s="875">
        <f t="shared" si="149"/>
        <v>40833</v>
      </c>
      <c r="D1813" s="48" t="s">
        <v>1138</v>
      </c>
      <c r="E1813" s="875">
        <v>40833</v>
      </c>
      <c r="F1813" s="882" t="s">
        <v>1279</v>
      </c>
      <c r="G1813" s="49"/>
      <c r="H1813" s="883" t="s">
        <v>1116</v>
      </c>
      <c r="I1813" s="258">
        <v>120</v>
      </c>
      <c r="J1813" s="258">
        <v>11992.241519178777</v>
      </c>
      <c r="K1813" s="723">
        <f t="shared" si="150"/>
        <v>1439069</v>
      </c>
      <c r="L1813" s="52" t="s">
        <v>169</v>
      </c>
      <c r="M1813" s="52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909"/>
    </row>
    <row r="1814" spans="1:30" s="843" customFormat="1" ht="15.75" customHeight="1">
      <c r="A1814" s="204" t="str">
        <f>IF(B1814&lt;&gt;"",IF(AND(B1814&gt;=_TM1,B1814&lt;=_TM2,OR(TH!L1814="1111",TH!M1814="1111")),TH!D1814,""),"")</f>
        <v/>
      </c>
      <c r="B1814" s="719">
        <f t="shared" si="146"/>
        <v>10</v>
      </c>
      <c r="C1814" s="875">
        <f t="shared" si="149"/>
        <v>40833</v>
      </c>
      <c r="D1814" s="48" t="s">
        <v>1138</v>
      </c>
      <c r="E1814" s="875">
        <v>40833</v>
      </c>
      <c r="F1814" s="882" t="s">
        <v>1280</v>
      </c>
      <c r="G1814" s="49"/>
      <c r="H1814" s="883" t="s">
        <v>1116</v>
      </c>
      <c r="I1814" s="258">
        <v>250</v>
      </c>
      <c r="J1814" s="258">
        <v>13958.424185845442</v>
      </c>
      <c r="K1814" s="723">
        <f t="shared" si="150"/>
        <v>3489606</v>
      </c>
      <c r="L1814" s="52" t="s">
        <v>169</v>
      </c>
      <c r="M1814" s="52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909"/>
    </row>
    <row r="1815" spans="1:30" s="843" customFormat="1" ht="15.75" customHeight="1">
      <c r="A1815" s="204" t="str">
        <f>IF(B1815&lt;&gt;"",IF(AND(B1815&gt;=_TM1,B1815&lt;=_TM2,OR(TH!L1815="1111",TH!M1815="1111")),TH!D1815,""),"")</f>
        <v/>
      </c>
      <c r="B1815" s="719">
        <f t="shared" si="146"/>
        <v>10</v>
      </c>
      <c r="C1815" s="875">
        <f t="shared" si="149"/>
        <v>40833</v>
      </c>
      <c r="D1815" s="48" t="s">
        <v>1138</v>
      </c>
      <c r="E1815" s="875">
        <v>40833</v>
      </c>
      <c r="F1815" s="882" t="s">
        <v>1281</v>
      </c>
      <c r="G1815" s="49"/>
      <c r="H1815" s="883" t="s">
        <v>1116</v>
      </c>
      <c r="I1815" s="258">
        <v>140</v>
      </c>
      <c r="J1815" s="258">
        <v>8841.5010429882987</v>
      </c>
      <c r="K1815" s="723">
        <f t="shared" si="150"/>
        <v>1237810</v>
      </c>
      <c r="L1815" s="52" t="s">
        <v>169</v>
      </c>
      <c r="M1815" s="52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909"/>
    </row>
    <row r="1816" spans="1:30" s="843" customFormat="1" ht="15.75" customHeight="1">
      <c r="A1816" s="204" t="str">
        <f>IF(B1816&lt;&gt;"",IF(AND(B1816&gt;=_TM1,B1816&lt;=_TM2,OR(TH!L1816="1111",TH!M1816="1111")),TH!D1816,""),"")</f>
        <v/>
      </c>
      <c r="B1816" s="719">
        <f t="shared" si="146"/>
        <v>10</v>
      </c>
      <c r="C1816" s="875">
        <f t="shared" si="149"/>
        <v>40833</v>
      </c>
      <c r="D1816" s="48" t="s">
        <v>1138</v>
      </c>
      <c r="E1816" s="875">
        <v>40833</v>
      </c>
      <c r="F1816" s="882" t="s">
        <v>1282</v>
      </c>
      <c r="G1816" s="49"/>
      <c r="H1816" s="883" t="s">
        <v>1116</v>
      </c>
      <c r="I1816" s="258">
        <v>50</v>
      </c>
      <c r="J1816" s="258">
        <v>7867.2881858454421</v>
      </c>
      <c r="K1816" s="723">
        <f t="shared" si="150"/>
        <v>393364</v>
      </c>
      <c r="L1816" s="52" t="s">
        <v>169</v>
      </c>
      <c r="M1816" s="52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909"/>
    </row>
    <row r="1817" spans="1:30" s="843" customFormat="1" ht="15.75" customHeight="1">
      <c r="A1817" s="204" t="str">
        <f>IF(B1817&lt;&gt;"",IF(AND(B1817&gt;=_TM1,B1817&lt;=_TM2,OR(TH!L1817="1111",TH!M1817="1111")),TH!D1817,""),"")</f>
        <v/>
      </c>
      <c r="B1817" s="719">
        <f t="shared" ref="B1817:B1880" si="151">IF(C1817&lt;&gt;"",MONTH(C1817),"")</f>
        <v>10</v>
      </c>
      <c r="C1817" s="875">
        <f t="shared" si="149"/>
        <v>40833</v>
      </c>
      <c r="D1817" s="48" t="s">
        <v>1138</v>
      </c>
      <c r="E1817" s="875">
        <v>40833</v>
      </c>
      <c r="F1817" s="882" t="s">
        <v>1283</v>
      </c>
      <c r="G1817" s="49"/>
      <c r="H1817" s="883" t="s">
        <v>1116</v>
      </c>
      <c r="I1817" s="258">
        <v>70</v>
      </c>
      <c r="J1817" s="258">
        <v>9790.4367572740139</v>
      </c>
      <c r="K1817" s="723">
        <f t="shared" si="150"/>
        <v>685331</v>
      </c>
      <c r="L1817" s="52" t="s">
        <v>169</v>
      </c>
      <c r="M1817" s="52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909"/>
    </row>
    <row r="1818" spans="1:30" s="843" customFormat="1" ht="15.75" customHeight="1">
      <c r="A1818" s="204" t="str">
        <f>IF(B1818&lt;&gt;"",IF(AND(B1818&gt;=_TM1,B1818&lt;=_TM2,OR(TH!L1818="1111",TH!M1818="1111")),TH!D1818,""),"")</f>
        <v/>
      </c>
      <c r="B1818" s="719">
        <f t="shared" si="151"/>
        <v>10</v>
      </c>
      <c r="C1818" s="875">
        <f t="shared" si="149"/>
        <v>40833</v>
      </c>
      <c r="D1818" s="48" t="s">
        <v>1138</v>
      </c>
      <c r="E1818" s="48">
        <v>40833</v>
      </c>
      <c r="F1818" s="882" t="s">
        <v>1284</v>
      </c>
      <c r="G1818" s="49"/>
      <c r="H1818" s="883" t="s">
        <v>1116</v>
      </c>
      <c r="I1818" s="258">
        <v>54</v>
      </c>
      <c r="J1818" s="258">
        <v>6981.4526302898867</v>
      </c>
      <c r="K1818" s="723">
        <f t="shared" si="150"/>
        <v>376998</v>
      </c>
      <c r="L1818" s="52" t="s">
        <v>169</v>
      </c>
      <c r="M1818" s="52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909"/>
    </row>
    <row r="1819" spans="1:30" s="843" customFormat="1" ht="15.75" customHeight="1">
      <c r="A1819" s="204" t="str">
        <f>IF(B1819&lt;&gt;"",IF(AND(B1819&gt;=_TM1,B1819&lt;=_TM2,OR(TH!L1819="1111",TH!M1819="1111")),TH!D1819,""),"")</f>
        <v/>
      </c>
      <c r="B1819" s="719">
        <f t="shared" si="151"/>
        <v>10</v>
      </c>
      <c r="C1819" s="875">
        <f t="shared" si="149"/>
        <v>40833</v>
      </c>
      <c r="D1819" s="48" t="s">
        <v>1138</v>
      </c>
      <c r="E1819" s="48">
        <v>40833</v>
      </c>
      <c r="F1819" s="882" t="s">
        <v>1285</v>
      </c>
      <c r="G1819" s="49"/>
      <c r="H1819" s="883" t="s">
        <v>1116</v>
      </c>
      <c r="I1819" s="258">
        <v>90</v>
      </c>
      <c r="J1819" s="258">
        <v>16194.497074734332</v>
      </c>
      <c r="K1819" s="723">
        <f t="shared" si="150"/>
        <v>1457505</v>
      </c>
      <c r="L1819" s="52" t="s">
        <v>169</v>
      </c>
      <c r="M1819" s="52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909"/>
    </row>
    <row r="1820" spans="1:30" s="843" customFormat="1" ht="15.75" customHeight="1">
      <c r="A1820" s="204" t="str">
        <f>IF(B1820&lt;&gt;"",IF(AND(B1820&gt;=_TM1,B1820&lt;=_TM2,OR(TH!L1820="1111",TH!M1820="1111")),TH!D1820,""),"")</f>
        <v/>
      </c>
      <c r="B1820" s="719">
        <f t="shared" si="151"/>
        <v>10</v>
      </c>
      <c r="C1820" s="875">
        <f t="shared" si="149"/>
        <v>40833</v>
      </c>
      <c r="D1820" s="48" t="s">
        <v>1139</v>
      </c>
      <c r="E1820" s="48">
        <v>40833</v>
      </c>
      <c r="F1820" s="882" t="s">
        <v>1286</v>
      </c>
      <c r="G1820" s="49"/>
      <c r="H1820" s="883" t="s">
        <v>1116</v>
      </c>
      <c r="I1820" s="258">
        <v>100</v>
      </c>
      <c r="J1820" s="258">
        <v>12419.958185845444</v>
      </c>
      <c r="K1820" s="723">
        <f t="shared" si="150"/>
        <v>1241996</v>
      </c>
      <c r="L1820" s="52" t="s">
        <v>169</v>
      </c>
      <c r="M1820" s="52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909"/>
    </row>
    <row r="1821" spans="1:30" s="843" customFormat="1" ht="15.75" customHeight="1">
      <c r="A1821" s="204" t="str">
        <f>IF(B1821&lt;&gt;"",IF(AND(B1821&gt;=_TM1,B1821&lt;=_TM2,OR(TH!L1821="1111",TH!M1821="1111")),TH!D1821,""),"")</f>
        <v/>
      </c>
      <c r="B1821" s="719">
        <f t="shared" si="151"/>
        <v>10</v>
      </c>
      <c r="C1821" s="875">
        <f t="shared" si="149"/>
        <v>40833</v>
      </c>
      <c r="D1821" s="48" t="s">
        <v>1139</v>
      </c>
      <c r="E1821" s="48">
        <v>40833</v>
      </c>
      <c r="F1821" s="882" t="s">
        <v>1285</v>
      </c>
      <c r="G1821" s="49"/>
      <c r="H1821" s="883" t="s">
        <v>1116</v>
      </c>
      <c r="I1821" s="258">
        <v>200</v>
      </c>
      <c r="J1821" s="258">
        <v>14919.103185845444</v>
      </c>
      <c r="K1821" s="723">
        <f t="shared" si="150"/>
        <v>2983821</v>
      </c>
      <c r="L1821" s="52" t="s">
        <v>169</v>
      </c>
      <c r="M1821" s="52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909"/>
    </row>
    <row r="1822" spans="1:30" s="843" customFormat="1" ht="15.75" customHeight="1">
      <c r="A1822" s="204" t="str">
        <f>IF(B1822&lt;&gt;"",IF(AND(B1822&gt;=_TM1,B1822&lt;=_TM2,OR(TH!L1822="1111",TH!M1822="1111")),TH!D1822,""),"")</f>
        <v/>
      </c>
      <c r="B1822" s="719">
        <f t="shared" si="151"/>
        <v>10</v>
      </c>
      <c r="C1822" s="875">
        <f t="shared" si="149"/>
        <v>40833</v>
      </c>
      <c r="D1822" s="48" t="s">
        <v>1139</v>
      </c>
      <c r="E1822" s="48">
        <v>40833</v>
      </c>
      <c r="F1822" s="882" t="s">
        <v>1287</v>
      </c>
      <c r="G1822" s="49"/>
      <c r="H1822" s="883" t="s">
        <v>1116</v>
      </c>
      <c r="I1822" s="258">
        <v>50</v>
      </c>
      <c r="J1822" s="258">
        <v>12722.488185845443</v>
      </c>
      <c r="K1822" s="723">
        <f t="shared" si="150"/>
        <v>636124</v>
      </c>
      <c r="L1822" s="52" t="s">
        <v>169</v>
      </c>
      <c r="M1822" s="52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909"/>
    </row>
    <row r="1823" spans="1:30" s="843" customFormat="1" ht="15.75" customHeight="1">
      <c r="A1823" s="204" t="str">
        <f>IF(B1823&lt;&gt;"",IF(AND(B1823&gt;=_TM1,B1823&lt;=_TM2,OR(TH!L1823="1111",TH!M1823="1111")),TH!D1823,""),"")</f>
        <v/>
      </c>
      <c r="B1823" s="719">
        <f t="shared" si="151"/>
        <v>10</v>
      </c>
      <c r="C1823" s="875">
        <f t="shared" si="149"/>
        <v>40833</v>
      </c>
      <c r="D1823" s="48" t="s">
        <v>1139</v>
      </c>
      <c r="E1823" s="48">
        <v>40833</v>
      </c>
      <c r="F1823" s="882" t="s">
        <v>1288</v>
      </c>
      <c r="G1823" s="49"/>
      <c r="H1823" s="883" t="s">
        <v>1116</v>
      </c>
      <c r="I1823" s="258">
        <v>30</v>
      </c>
      <c r="J1823" s="258">
        <v>18059.908185845437</v>
      </c>
      <c r="K1823" s="723">
        <f t="shared" si="150"/>
        <v>541797</v>
      </c>
      <c r="L1823" s="52" t="s">
        <v>169</v>
      </c>
      <c r="M1823" s="52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909"/>
    </row>
    <row r="1824" spans="1:30" s="843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75">
        <f t="shared" si="149"/>
        <v>40833</v>
      </c>
      <c r="D1824" s="48" t="s">
        <v>983</v>
      </c>
      <c r="E1824" s="875">
        <v>40833</v>
      </c>
      <c r="F1824" s="192" t="s">
        <v>1278</v>
      </c>
      <c r="G1824" s="502" t="s">
        <v>1262</v>
      </c>
      <c r="H1824" s="193" t="s">
        <v>756</v>
      </c>
      <c r="I1824" s="260">
        <v>100</v>
      </c>
      <c r="J1824" s="260">
        <v>10854.498185845441</v>
      </c>
      <c r="K1824" s="618">
        <f t="shared" si="150"/>
        <v>1085450</v>
      </c>
      <c r="L1824" s="52" t="s">
        <v>179</v>
      </c>
      <c r="M1824" s="52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909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75">
        <f t="shared" si="149"/>
        <v>40833</v>
      </c>
      <c r="D1825" s="48" t="s">
        <v>983</v>
      </c>
      <c r="E1825" s="875">
        <v>40833</v>
      </c>
      <c r="F1825" s="192" t="s">
        <v>1279</v>
      </c>
      <c r="G1825" s="502" t="s">
        <v>1262</v>
      </c>
      <c r="H1825" s="193" t="s">
        <v>756</v>
      </c>
      <c r="I1825" s="260">
        <v>120</v>
      </c>
      <c r="J1825" s="260">
        <v>11992.241519178777</v>
      </c>
      <c r="K1825" s="618">
        <f t="shared" si="150"/>
        <v>1439069</v>
      </c>
      <c r="L1825" s="52" t="s">
        <v>179</v>
      </c>
      <c r="M1825" s="52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909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75">
        <f t="shared" si="149"/>
        <v>40833</v>
      </c>
      <c r="D1826" s="48" t="s">
        <v>983</v>
      </c>
      <c r="E1826" s="875">
        <v>40833</v>
      </c>
      <c r="F1826" s="192" t="s">
        <v>1280</v>
      </c>
      <c r="G1826" s="502" t="s">
        <v>1262</v>
      </c>
      <c r="H1826" s="193" t="s">
        <v>756</v>
      </c>
      <c r="I1826" s="260">
        <v>250</v>
      </c>
      <c r="J1826" s="260">
        <v>13958.424185845442</v>
      </c>
      <c r="K1826" s="618">
        <f t="shared" si="150"/>
        <v>3489606</v>
      </c>
      <c r="L1826" s="52" t="s">
        <v>179</v>
      </c>
      <c r="M1826" s="52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909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75">
        <f t="shared" si="149"/>
        <v>40833</v>
      </c>
      <c r="D1827" s="48" t="s">
        <v>983</v>
      </c>
      <c r="E1827" s="191">
        <v>40833</v>
      </c>
      <c r="F1827" s="192" t="s">
        <v>1281</v>
      </c>
      <c r="G1827" s="502" t="s">
        <v>1262</v>
      </c>
      <c r="H1827" s="193" t="s">
        <v>756</v>
      </c>
      <c r="I1827" s="260">
        <v>140</v>
      </c>
      <c r="J1827" s="260">
        <v>8841.5010429882987</v>
      </c>
      <c r="K1827" s="618">
        <f t="shared" si="150"/>
        <v>1237810</v>
      </c>
      <c r="L1827" s="52" t="s">
        <v>179</v>
      </c>
      <c r="M1827" s="52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909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75">
        <f t="shared" si="149"/>
        <v>40833</v>
      </c>
      <c r="D1828" s="48" t="s">
        <v>983</v>
      </c>
      <c r="E1828" s="191">
        <v>40833</v>
      </c>
      <c r="F1828" s="192" t="s">
        <v>1282</v>
      </c>
      <c r="G1828" s="502" t="s">
        <v>1262</v>
      </c>
      <c r="H1828" s="193" t="s">
        <v>756</v>
      </c>
      <c r="I1828" s="260">
        <v>50</v>
      </c>
      <c r="J1828" s="260">
        <v>7867.2881858454421</v>
      </c>
      <c r="K1828" s="618">
        <f t="shared" si="150"/>
        <v>393364</v>
      </c>
      <c r="L1828" s="52" t="s">
        <v>179</v>
      </c>
      <c r="M1828" s="52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909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75">
        <f t="shared" si="149"/>
        <v>40833</v>
      </c>
      <c r="D1829" s="48" t="s">
        <v>983</v>
      </c>
      <c r="E1829" s="191">
        <v>40833</v>
      </c>
      <c r="F1829" s="192" t="s">
        <v>1283</v>
      </c>
      <c r="G1829" s="502" t="s">
        <v>1262</v>
      </c>
      <c r="H1829" s="193" t="s">
        <v>756</v>
      </c>
      <c r="I1829" s="260">
        <v>70</v>
      </c>
      <c r="J1829" s="260">
        <v>9790.4367572740139</v>
      </c>
      <c r="K1829" s="618">
        <f t="shared" si="150"/>
        <v>685331</v>
      </c>
      <c r="L1829" s="52" t="s">
        <v>179</v>
      </c>
      <c r="M1829" s="52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909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75">
        <f t="shared" si="149"/>
        <v>40833</v>
      </c>
      <c r="D1830" s="48" t="s">
        <v>983</v>
      </c>
      <c r="E1830" s="37">
        <v>40833</v>
      </c>
      <c r="F1830" s="192" t="s">
        <v>1284</v>
      </c>
      <c r="G1830" s="502" t="s">
        <v>1262</v>
      </c>
      <c r="H1830" s="193" t="s">
        <v>756</v>
      </c>
      <c r="I1830" s="260">
        <v>54</v>
      </c>
      <c r="J1830" s="260">
        <v>6981.4526302898867</v>
      </c>
      <c r="K1830" s="618">
        <f t="shared" si="150"/>
        <v>376998</v>
      </c>
      <c r="L1830" s="52" t="s">
        <v>179</v>
      </c>
      <c r="M1830" s="52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909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75">
        <f t="shared" si="149"/>
        <v>40833</v>
      </c>
      <c r="D1831" s="48" t="s">
        <v>983</v>
      </c>
      <c r="E1831" s="37">
        <v>40833</v>
      </c>
      <c r="F1831" s="192" t="s">
        <v>1285</v>
      </c>
      <c r="G1831" s="502" t="s">
        <v>1262</v>
      </c>
      <c r="H1831" s="193" t="s">
        <v>756</v>
      </c>
      <c r="I1831" s="260">
        <v>90</v>
      </c>
      <c r="J1831" s="260">
        <v>16194.497074734332</v>
      </c>
      <c r="K1831" s="618">
        <f t="shared" si="150"/>
        <v>1457505</v>
      </c>
      <c r="L1831" s="52" t="s">
        <v>179</v>
      </c>
      <c r="M1831" s="52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909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75">
        <f t="shared" si="149"/>
        <v>40833</v>
      </c>
      <c r="D1832" s="48" t="s">
        <v>983</v>
      </c>
      <c r="E1832" s="37">
        <v>40833</v>
      </c>
      <c r="F1832" s="192" t="s">
        <v>1286</v>
      </c>
      <c r="G1832" s="502" t="s">
        <v>1262</v>
      </c>
      <c r="H1832" s="193" t="s">
        <v>756</v>
      </c>
      <c r="I1832" s="260">
        <v>100</v>
      </c>
      <c r="J1832" s="260">
        <v>12419.958185845444</v>
      </c>
      <c r="K1832" s="618">
        <f t="shared" si="150"/>
        <v>1241996</v>
      </c>
      <c r="L1832" s="52" t="s">
        <v>179</v>
      </c>
      <c r="M1832" s="52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909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75">
        <f t="shared" si="149"/>
        <v>40833</v>
      </c>
      <c r="D1833" s="48" t="s">
        <v>983</v>
      </c>
      <c r="E1833" s="37">
        <v>40833</v>
      </c>
      <c r="F1833" s="192" t="s">
        <v>1285</v>
      </c>
      <c r="G1833" s="502" t="s">
        <v>1262</v>
      </c>
      <c r="H1833" s="193" t="s">
        <v>756</v>
      </c>
      <c r="I1833" s="260">
        <v>200</v>
      </c>
      <c r="J1833" s="260">
        <v>14919.103185845444</v>
      </c>
      <c r="K1833" s="618">
        <f t="shared" si="150"/>
        <v>2983821</v>
      </c>
      <c r="L1833" s="52" t="s">
        <v>179</v>
      </c>
      <c r="M1833" s="52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909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75">
        <f t="shared" si="149"/>
        <v>40833</v>
      </c>
      <c r="D1834" s="48" t="s">
        <v>983</v>
      </c>
      <c r="E1834" s="37">
        <v>40833</v>
      </c>
      <c r="F1834" s="873" t="s">
        <v>1287</v>
      </c>
      <c r="G1834" s="502" t="s">
        <v>1262</v>
      </c>
      <c r="H1834" s="193" t="s">
        <v>756</v>
      </c>
      <c r="I1834" s="260">
        <v>50</v>
      </c>
      <c r="J1834" s="260">
        <v>12722.488185845443</v>
      </c>
      <c r="K1834" s="618">
        <f t="shared" si="150"/>
        <v>636124</v>
      </c>
      <c r="L1834" s="52" t="s">
        <v>179</v>
      </c>
      <c r="M1834" s="52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909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75">
        <f t="shared" si="149"/>
        <v>40833</v>
      </c>
      <c r="D1835" s="48" t="s">
        <v>983</v>
      </c>
      <c r="E1835" s="37">
        <v>40833</v>
      </c>
      <c r="F1835" s="192" t="s">
        <v>1288</v>
      </c>
      <c r="G1835" s="502" t="s">
        <v>1262</v>
      </c>
      <c r="H1835" s="193" t="s">
        <v>756</v>
      </c>
      <c r="I1835" s="260">
        <v>30</v>
      </c>
      <c r="J1835" s="260">
        <v>18059.908185845437</v>
      </c>
      <c r="K1835" s="618">
        <f t="shared" si="150"/>
        <v>541797</v>
      </c>
      <c r="L1835" s="52" t="s">
        <v>179</v>
      </c>
      <c r="M1835" s="52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909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460</v>
      </c>
      <c r="E1836" s="184">
        <v>40835</v>
      </c>
      <c r="F1836" s="189" t="s">
        <v>385</v>
      </c>
      <c r="G1836" s="620" t="s">
        <v>353</v>
      </c>
      <c r="H1836" s="193" t="s">
        <v>386</v>
      </c>
      <c r="I1836" s="260"/>
      <c r="J1836" s="260"/>
      <c r="K1836" s="618">
        <v>20000000</v>
      </c>
      <c r="L1836" s="619" t="s">
        <v>24</v>
      </c>
      <c r="M1836" s="619" t="s">
        <v>47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909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357</v>
      </c>
      <c r="E1837" s="184">
        <v>40835</v>
      </c>
      <c r="F1837" s="189" t="s">
        <v>390</v>
      </c>
      <c r="G1837" s="620" t="s">
        <v>353</v>
      </c>
      <c r="H1837" s="7" t="s">
        <v>522</v>
      </c>
      <c r="I1837" s="260"/>
      <c r="J1837" s="260"/>
      <c r="K1837" s="618">
        <v>20000000</v>
      </c>
      <c r="L1837" s="619" t="s">
        <v>8</v>
      </c>
      <c r="M1837" s="619" t="s">
        <v>24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909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357</v>
      </c>
      <c r="E1838" s="184">
        <v>40835</v>
      </c>
      <c r="F1838" s="189" t="s">
        <v>393</v>
      </c>
      <c r="G1838" s="620" t="s">
        <v>353</v>
      </c>
      <c r="H1838" s="7"/>
      <c r="I1838" s="260"/>
      <c r="J1838" s="260"/>
      <c r="K1838" s="618">
        <v>9091</v>
      </c>
      <c r="L1838" s="619" t="s">
        <v>83</v>
      </c>
      <c r="M1838" s="619" t="s">
        <v>24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909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357</v>
      </c>
      <c r="E1839" s="184">
        <v>40835</v>
      </c>
      <c r="F1839" s="189" t="s">
        <v>1457</v>
      </c>
      <c r="G1839" s="620" t="s">
        <v>353</v>
      </c>
      <c r="H1839" s="7"/>
      <c r="I1839" s="260"/>
      <c r="J1839" s="260"/>
      <c r="K1839" s="618">
        <v>909</v>
      </c>
      <c r="L1839" s="619" t="s">
        <v>9</v>
      </c>
      <c r="M1839" s="619" t="s">
        <v>24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909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357</v>
      </c>
      <c r="E1840" s="184">
        <v>40835</v>
      </c>
      <c r="F1840" s="189" t="s">
        <v>359</v>
      </c>
      <c r="G1840" s="620" t="s">
        <v>353</v>
      </c>
      <c r="H1840" s="7"/>
      <c r="I1840" s="260"/>
      <c r="J1840" s="260"/>
      <c r="K1840" s="618">
        <v>9091</v>
      </c>
      <c r="L1840" s="619" t="s">
        <v>83</v>
      </c>
      <c r="M1840" s="619" t="s">
        <v>24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909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357</v>
      </c>
      <c r="E1841" s="184">
        <v>40835</v>
      </c>
      <c r="F1841" s="189" t="s">
        <v>1458</v>
      </c>
      <c r="G1841" s="620" t="s">
        <v>353</v>
      </c>
      <c r="H1841" s="7"/>
      <c r="I1841" s="260"/>
      <c r="J1841" s="260"/>
      <c r="K1841" s="618">
        <v>909</v>
      </c>
      <c r="L1841" s="619" t="s">
        <v>9</v>
      </c>
      <c r="M1841" s="619" t="s">
        <v>24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909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461</v>
      </c>
      <c r="E1842" s="191">
        <v>40835</v>
      </c>
      <c r="F1842" s="192" t="s">
        <v>1250</v>
      </c>
      <c r="G1842" s="502" t="s">
        <v>1251</v>
      </c>
      <c r="H1842" s="7" t="s">
        <v>394</v>
      </c>
      <c r="I1842" s="260">
        <v>20</v>
      </c>
      <c r="J1842" s="260">
        <v>64000</v>
      </c>
      <c r="K1842" s="618">
        <v>1280000</v>
      </c>
      <c r="L1842" s="194" t="s">
        <v>167</v>
      </c>
      <c r="M1842" s="194" t="s">
        <v>47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909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461</v>
      </c>
      <c r="E1843" s="191">
        <v>40835</v>
      </c>
      <c r="F1843" s="192" t="s">
        <v>1189</v>
      </c>
      <c r="G1843" s="502" t="s">
        <v>1251</v>
      </c>
      <c r="H1843" s="7" t="s">
        <v>394</v>
      </c>
      <c r="I1843" s="260"/>
      <c r="J1843" s="260"/>
      <c r="K1843" s="38">
        <v>128000</v>
      </c>
      <c r="L1843" s="194" t="s">
        <v>9</v>
      </c>
      <c r="M1843" s="194" t="s">
        <v>47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909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462</v>
      </c>
      <c r="E1844" s="191">
        <v>40836</v>
      </c>
      <c r="F1844" s="192" t="s">
        <v>1252</v>
      </c>
      <c r="G1844" s="502" t="s">
        <v>1253</v>
      </c>
      <c r="H1844" s="7" t="s">
        <v>394</v>
      </c>
      <c r="I1844" s="260"/>
      <c r="J1844" s="260"/>
      <c r="K1844" s="618">
        <v>2740000</v>
      </c>
      <c r="L1844" s="194" t="s">
        <v>167</v>
      </c>
      <c r="M1844" s="194" t="s">
        <v>47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909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462</v>
      </c>
      <c r="E1845" s="191">
        <v>40836</v>
      </c>
      <c r="F1845" s="192" t="s">
        <v>1189</v>
      </c>
      <c r="G1845" s="502" t="s">
        <v>1253</v>
      </c>
      <c r="H1845" s="7" t="s">
        <v>394</v>
      </c>
      <c r="I1845" s="260"/>
      <c r="J1845" s="260"/>
      <c r="K1845" s="38">
        <v>274000</v>
      </c>
      <c r="L1845" s="194" t="s">
        <v>9</v>
      </c>
      <c r="M1845" s="194" t="s">
        <v>47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909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463</v>
      </c>
      <c r="E1846" s="191">
        <v>40836</v>
      </c>
      <c r="F1846" s="192" t="s">
        <v>1192</v>
      </c>
      <c r="G1846" s="502" t="s">
        <v>1254</v>
      </c>
      <c r="H1846" s="193" t="s">
        <v>1247</v>
      </c>
      <c r="I1846" s="260"/>
      <c r="J1846" s="260"/>
      <c r="K1846" s="38">
        <v>603200</v>
      </c>
      <c r="L1846" s="194" t="s">
        <v>277</v>
      </c>
      <c r="M1846" s="619" t="s">
        <v>47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909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984</v>
      </c>
      <c r="E1847" s="191">
        <v>40836</v>
      </c>
      <c r="F1847" s="192" t="s">
        <v>1289</v>
      </c>
      <c r="G1847" s="502" t="s">
        <v>1263</v>
      </c>
      <c r="H1847" s="193" t="s">
        <v>756</v>
      </c>
      <c r="I1847" s="260">
        <v>150</v>
      </c>
      <c r="J1847" s="260">
        <v>10397</v>
      </c>
      <c r="K1847" s="618">
        <v>1559550</v>
      </c>
      <c r="L1847" s="194" t="s">
        <v>274</v>
      </c>
      <c r="M1847" s="194" t="s">
        <v>181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909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984</v>
      </c>
      <c r="E1848" s="191">
        <v>40836</v>
      </c>
      <c r="F1848" s="192" t="s">
        <v>1290</v>
      </c>
      <c r="G1848" s="502" t="s">
        <v>1263</v>
      </c>
      <c r="H1848" s="193" t="s">
        <v>756</v>
      </c>
      <c r="I1848" s="260">
        <v>200</v>
      </c>
      <c r="J1848" s="260">
        <v>12869</v>
      </c>
      <c r="K1848" s="618">
        <v>2573800</v>
      </c>
      <c r="L1848" s="194" t="s">
        <v>274</v>
      </c>
      <c r="M1848" s="194" t="s">
        <v>181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909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984</v>
      </c>
      <c r="E1849" s="191">
        <v>40836</v>
      </c>
      <c r="F1849" s="192" t="s">
        <v>1283</v>
      </c>
      <c r="G1849" s="502" t="s">
        <v>1263</v>
      </c>
      <c r="H1849" s="193" t="s">
        <v>756</v>
      </c>
      <c r="I1849" s="260">
        <v>220</v>
      </c>
      <c r="J1849" s="260">
        <v>14450</v>
      </c>
      <c r="K1849" s="618">
        <v>3179000</v>
      </c>
      <c r="L1849" s="194" t="s">
        <v>274</v>
      </c>
      <c r="M1849" s="194" t="s">
        <v>181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909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984</v>
      </c>
      <c r="E1850" s="191">
        <v>40836</v>
      </c>
      <c r="F1850" s="192" t="s">
        <v>1282</v>
      </c>
      <c r="G1850" s="502" t="s">
        <v>1263</v>
      </c>
      <c r="H1850" s="193" t="s">
        <v>756</v>
      </c>
      <c r="I1850" s="260">
        <v>180</v>
      </c>
      <c r="J1850" s="260">
        <v>11420</v>
      </c>
      <c r="K1850" s="618">
        <v>2055600</v>
      </c>
      <c r="L1850" s="194" t="s">
        <v>274</v>
      </c>
      <c r="M1850" s="194" t="s">
        <v>181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909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984</v>
      </c>
      <c r="E1851" s="191">
        <v>40836</v>
      </c>
      <c r="F1851" s="192" t="s">
        <v>1284</v>
      </c>
      <c r="G1851" s="502" t="s">
        <v>1263</v>
      </c>
      <c r="H1851" s="193" t="s">
        <v>756</v>
      </c>
      <c r="I1851" s="260">
        <v>297</v>
      </c>
      <c r="J1851" s="260">
        <v>13881</v>
      </c>
      <c r="K1851" s="618">
        <v>4122657</v>
      </c>
      <c r="L1851" s="194" t="s">
        <v>274</v>
      </c>
      <c r="M1851" s="194" t="s">
        <v>181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909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984</v>
      </c>
      <c r="E1852" s="191">
        <v>40836</v>
      </c>
      <c r="F1852" s="192" t="s">
        <v>1288</v>
      </c>
      <c r="G1852" s="502" t="s">
        <v>1263</v>
      </c>
      <c r="H1852" s="193" t="s">
        <v>756</v>
      </c>
      <c r="I1852" s="260">
        <v>320</v>
      </c>
      <c r="J1852" s="260">
        <v>17372</v>
      </c>
      <c r="K1852" s="618">
        <v>5559040</v>
      </c>
      <c r="L1852" s="194" t="s">
        <v>274</v>
      </c>
      <c r="M1852" s="194" t="s">
        <v>181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909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984</v>
      </c>
      <c r="E1853" s="191">
        <v>40836</v>
      </c>
      <c r="F1853" s="192" t="s">
        <v>1285</v>
      </c>
      <c r="G1853" s="502" t="s">
        <v>1263</v>
      </c>
      <c r="H1853" s="193" t="s">
        <v>756</v>
      </c>
      <c r="I1853" s="260">
        <v>150</v>
      </c>
      <c r="J1853" s="260">
        <v>20981</v>
      </c>
      <c r="K1853" s="618">
        <v>3147150</v>
      </c>
      <c r="L1853" s="194" t="s">
        <v>274</v>
      </c>
      <c r="M1853" s="194" t="s">
        <v>181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909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984</v>
      </c>
      <c r="E1854" s="191">
        <v>40836</v>
      </c>
      <c r="F1854" s="192" t="s">
        <v>1291</v>
      </c>
      <c r="G1854" s="502" t="s">
        <v>1263</v>
      </c>
      <c r="H1854" s="193" t="s">
        <v>756</v>
      </c>
      <c r="I1854" s="260">
        <v>270</v>
      </c>
      <c r="J1854" s="260">
        <v>16832</v>
      </c>
      <c r="K1854" s="618">
        <v>4544640</v>
      </c>
      <c r="L1854" s="194" t="s">
        <v>274</v>
      </c>
      <c r="M1854" s="194" t="s">
        <v>181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909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984</v>
      </c>
      <c r="E1855" s="191">
        <v>40836</v>
      </c>
      <c r="F1855" s="192" t="s">
        <v>771</v>
      </c>
      <c r="G1855" s="502" t="s">
        <v>1263</v>
      </c>
      <c r="H1855" s="193" t="s">
        <v>756</v>
      </c>
      <c r="I1855" s="260">
        <v>190</v>
      </c>
      <c r="J1855" s="260">
        <v>10253</v>
      </c>
      <c r="K1855" s="618">
        <v>1948070</v>
      </c>
      <c r="L1855" s="194" t="s">
        <v>274</v>
      </c>
      <c r="M1855" s="194" t="s">
        <v>181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909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9">
        <f t="shared" si="151"/>
        <v>10</v>
      </c>
      <c r="C1856" s="191">
        <v>40836</v>
      </c>
      <c r="D1856" s="191" t="s">
        <v>984</v>
      </c>
      <c r="E1856" s="191">
        <v>40836</v>
      </c>
      <c r="F1856" s="192" t="s">
        <v>769</v>
      </c>
      <c r="G1856" s="502" t="s">
        <v>1263</v>
      </c>
      <c r="H1856" s="193" t="s">
        <v>756</v>
      </c>
      <c r="I1856" s="260">
        <v>320</v>
      </c>
      <c r="J1856" s="260">
        <v>10595</v>
      </c>
      <c r="K1856" s="618">
        <v>3390400</v>
      </c>
      <c r="L1856" s="194" t="s">
        <v>274</v>
      </c>
      <c r="M1856" s="194" t="s">
        <v>181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909"/>
      <c r="AB1856" s="843"/>
      <c r="AC1856" s="843"/>
      <c r="AD1856" s="843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9">
        <f t="shared" si="151"/>
        <v>10</v>
      </c>
      <c r="C1857" s="191">
        <v>40836</v>
      </c>
      <c r="D1857" s="191" t="s">
        <v>984</v>
      </c>
      <c r="E1857" s="191">
        <v>40836</v>
      </c>
      <c r="F1857" s="192" t="s">
        <v>778</v>
      </c>
      <c r="G1857" s="502" t="s">
        <v>1263</v>
      </c>
      <c r="H1857" s="193" t="s">
        <v>756</v>
      </c>
      <c r="I1857" s="260">
        <v>300</v>
      </c>
      <c r="J1857" s="260">
        <v>12179</v>
      </c>
      <c r="K1857" s="618">
        <v>3653700</v>
      </c>
      <c r="L1857" s="194" t="s">
        <v>274</v>
      </c>
      <c r="M1857" s="194" t="s">
        <v>181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909"/>
      <c r="AB1857" s="843"/>
      <c r="AC1857" s="843"/>
      <c r="AD1857" s="843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9">
        <f t="shared" si="151"/>
        <v>10</v>
      </c>
      <c r="C1858" s="191">
        <v>40836</v>
      </c>
      <c r="D1858" s="191" t="s">
        <v>984</v>
      </c>
      <c r="E1858" s="191">
        <v>40836</v>
      </c>
      <c r="F1858" s="192" t="s">
        <v>773</v>
      </c>
      <c r="G1858" s="502" t="s">
        <v>1263</v>
      </c>
      <c r="H1858" s="193" t="s">
        <v>756</v>
      </c>
      <c r="I1858" s="260">
        <v>350</v>
      </c>
      <c r="J1858" s="260">
        <v>15618</v>
      </c>
      <c r="K1858" s="618">
        <v>5466300</v>
      </c>
      <c r="L1858" s="194" t="s">
        <v>274</v>
      </c>
      <c r="M1858" s="194" t="s">
        <v>181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909"/>
      <c r="AB1858" s="843"/>
      <c r="AC1858" s="843"/>
      <c r="AD1858" s="843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9">
        <f t="shared" si="151"/>
        <v>10</v>
      </c>
      <c r="C1859" s="191">
        <v>40836</v>
      </c>
      <c r="D1859" s="191" t="s">
        <v>984</v>
      </c>
      <c r="E1859" s="191">
        <v>40836</v>
      </c>
      <c r="F1859" s="192" t="s">
        <v>1286</v>
      </c>
      <c r="G1859" s="502" t="s">
        <v>1263</v>
      </c>
      <c r="H1859" s="193" t="s">
        <v>756</v>
      </c>
      <c r="I1859" s="260">
        <v>290</v>
      </c>
      <c r="J1859" s="260">
        <v>16534</v>
      </c>
      <c r="K1859" s="618">
        <v>4794860</v>
      </c>
      <c r="L1859" s="194" t="s">
        <v>274</v>
      </c>
      <c r="M1859" s="194" t="s">
        <v>181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909"/>
      <c r="AB1859" s="843"/>
      <c r="AC1859" s="843"/>
      <c r="AD1859" s="843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9">
        <f t="shared" si="151"/>
        <v>10</v>
      </c>
      <c r="C1860" s="191">
        <v>40836</v>
      </c>
      <c r="D1860" s="191" t="s">
        <v>984</v>
      </c>
      <c r="E1860" s="191">
        <v>40836</v>
      </c>
      <c r="F1860" s="192" t="s">
        <v>1292</v>
      </c>
      <c r="G1860" s="502" t="s">
        <v>1263</v>
      </c>
      <c r="H1860" s="193" t="s">
        <v>756</v>
      </c>
      <c r="I1860" s="260">
        <v>130</v>
      </c>
      <c r="J1860" s="260">
        <v>20633</v>
      </c>
      <c r="K1860" s="618">
        <v>2682290</v>
      </c>
      <c r="L1860" s="194" t="s">
        <v>274</v>
      </c>
      <c r="M1860" s="194" t="s">
        <v>181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909"/>
      <c r="AB1860" s="843"/>
      <c r="AC1860" s="843"/>
      <c r="AD1860" s="843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9">
        <f t="shared" si="151"/>
        <v>10</v>
      </c>
      <c r="C1861" s="191">
        <v>40836</v>
      </c>
      <c r="D1861" s="191" t="s">
        <v>984</v>
      </c>
      <c r="E1861" s="191">
        <v>40836</v>
      </c>
      <c r="F1861" s="192" t="s">
        <v>1200</v>
      </c>
      <c r="G1861" s="502" t="s">
        <v>1263</v>
      </c>
      <c r="H1861" s="193" t="s">
        <v>756</v>
      </c>
      <c r="I1861" s="260"/>
      <c r="J1861" s="260"/>
      <c r="K1861" s="618">
        <f>4867706+1</f>
        <v>4867707</v>
      </c>
      <c r="L1861" s="194" t="s">
        <v>274</v>
      </c>
      <c r="M1861" s="194" t="s">
        <v>754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909"/>
      <c r="AB1861" s="843"/>
      <c r="AC1861" s="843"/>
      <c r="AD1861" s="843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75">
        <f t="shared" ref="C1862:C1891" si="152">E1862</f>
        <v>40836</v>
      </c>
      <c r="D1862" s="875" t="s">
        <v>1122</v>
      </c>
      <c r="E1862" s="37">
        <v>40836</v>
      </c>
      <c r="F1862" s="40" t="s">
        <v>611</v>
      </c>
      <c r="G1862" s="40"/>
      <c r="H1862" s="632" t="s">
        <v>1116</v>
      </c>
      <c r="I1862" s="260">
        <v>86</v>
      </c>
      <c r="J1862" s="260">
        <v>36906</v>
      </c>
      <c r="K1862" s="618">
        <f t="shared" ref="K1862:K1891" si="153">ROUND(I1862*J1862,0)</f>
        <v>3173916</v>
      </c>
      <c r="L1862" s="52" t="s">
        <v>167</v>
      </c>
      <c r="M1862" s="52" t="s">
        <v>159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909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75">
        <f t="shared" si="152"/>
        <v>40836</v>
      </c>
      <c r="D1863" s="875" t="s">
        <v>1122</v>
      </c>
      <c r="E1863" s="37">
        <v>40836</v>
      </c>
      <c r="F1863" s="40" t="s">
        <v>616</v>
      </c>
      <c r="G1863" s="40"/>
      <c r="H1863" s="632" t="s">
        <v>1116</v>
      </c>
      <c r="I1863" s="260">
        <v>326</v>
      </c>
      <c r="J1863" s="260">
        <v>23611.12883435583</v>
      </c>
      <c r="K1863" s="618">
        <f t="shared" si="153"/>
        <v>7697228</v>
      </c>
      <c r="L1863" s="52" t="s">
        <v>167</v>
      </c>
      <c r="M1863" s="52" t="s">
        <v>159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909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9">
        <f t="shared" si="151"/>
        <v>10</v>
      </c>
      <c r="C1864" s="875">
        <f t="shared" si="152"/>
        <v>40836</v>
      </c>
      <c r="D1864" s="48" t="s">
        <v>1140</v>
      </c>
      <c r="E1864" s="48">
        <v>40836</v>
      </c>
      <c r="F1864" s="882" t="s">
        <v>1289</v>
      </c>
      <c r="G1864" s="49"/>
      <c r="H1864" s="883" t="s">
        <v>1116</v>
      </c>
      <c r="I1864" s="258">
        <v>150</v>
      </c>
      <c r="J1864" s="258">
        <v>7107.5015191787761</v>
      </c>
      <c r="K1864" s="723">
        <f t="shared" si="153"/>
        <v>1066125</v>
      </c>
      <c r="L1864" s="52" t="s">
        <v>169</v>
      </c>
      <c r="M1864" s="52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909"/>
      <c r="AB1864" s="843"/>
      <c r="AC1864" s="843"/>
      <c r="AD1864" s="843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9">
        <f t="shared" si="151"/>
        <v>10</v>
      </c>
      <c r="C1865" s="875">
        <f t="shared" si="152"/>
        <v>40836</v>
      </c>
      <c r="D1865" s="48" t="s">
        <v>1140</v>
      </c>
      <c r="E1865" s="48">
        <v>40836</v>
      </c>
      <c r="F1865" s="882" t="s">
        <v>1290</v>
      </c>
      <c r="G1865" s="49"/>
      <c r="H1865" s="883" t="s">
        <v>1116</v>
      </c>
      <c r="I1865" s="258">
        <v>200</v>
      </c>
      <c r="J1865" s="258">
        <v>10854.50318584544</v>
      </c>
      <c r="K1865" s="723">
        <f t="shared" si="153"/>
        <v>2170901</v>
      </c>
      <c r="L1865" s="52" t="s">
        <v>169</v>
      </c>
      <c r="M1865" s="52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909"/>
      <c r="AB1865" s="843"/>
      <c r="AC1865" s="843"/>
      <c r="AD1865" s="843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9">
        <f t="shared" si="151"/>
        <v>10</v>
      </c>
      <c r="C1866" s="875">
        <f t="shared" si="152"/>
        <v>40836</v>
      </c>
      <c r="D1866" s="48" t="s">
        <v>1140</v>
      </c>
      <c r="E1866" s="48">
        <v>40836</v>
      </c>
      <c r="F1866" s="882" t="s">
        <v>1283</v>
      </c>
      <c r="G1866" s="49"/>
      <c r="H1866" s="883" t="s">
        <v>1116</v>
      </c>
      <c r="I1866" s="258">
        <v>220</v>
      </c>
      <c r="J1866" s="258">
        <v>9657.5945494818079</v>
      </c>
      <c r="K1866" s="723">
        <f t="shared" si="153"/>
        <v>2124671</v>
      </c>
      <c r="L1866" s="52" t="s">
        <v>169</v>
      </c>
      <c r="M1866" s="52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909"/>
      <c r="AB1866" s="843"/>
      <c r="AC1866" s="843"/>
      <c r="AD1866" s="843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9">
        <f t="shared" si="151"/>
        <v>10</v>
      </c>
      <c r="C1867" s="875">
        <f t="shared" si="152"/>
        <v>40836</v>
      </c>
      <c r="D1867" s="48" t="s">
        <v>1140</v>
      </c>
      <c r="E1867" s="48">
        <v>40836</v>
      </c>
      <c r="F1867" s="882" t="s">
        <v>1282</v>
      </c>
      <c r="G1867" s="49"/>
      <c r="H1867" s="883" t="s">
        <v>1116</v>
      </c>
      <c r="I1867" s="258">
        <v>180</v>
      </c>
      <c r="J1867" s="258">
        <v>7430.5026302898868</v>
      </c>
      <c r="K1867" s="723">
        <f t="shared" si="153"/>
        <v>1337490</v>
      </c>
      <c r="L1867" s="52" t="s">
        <v>169</v>
      </c>
      <c r="M1867" s="52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909"/>
      <c r="AB1867" s="843"/>
      <c r="AC1867" s="843"/>
      <c r="AD1867" s="843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9">
        <f t="shared" si="151"/>
        <v>10</v>
      </c>
      <c r="C1868" s="875">
        <f t="shared" si="152"/>
        <v>40836</v>
      </c>
      <c r="D1868" s="48" t="s">
        <v>1140</v>
      </c>
      <c r="E1868" s="48">
        <v>40836</v>
      </c>
      <c r="F1868" s="882" t="s">
        <v>1284</v>
      </c>
      <c r="G1868" s="49"/>
      <c r="H1868" s="883" t="s">
        <v>1116</v>
      </c>
      <c r="I1868" s="258">
        <v>297</v>
      </c>
      <c r="J1868" s="258">
        <v>11136.484616821876</v>
      </c>
      <c r="K1868" s="723">
        <f t="shared" si="153"/>
        <v>3307536</v>
      </c>
      <c r="L1868" s="52" t="s">
        <v>169</v>
      </c>
      <c r="M1868" s="52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909"/>
      <c r="AB1868" s="843"/>
      <c r="AC1868" s="843"/>
      <c r="AD1868" s="843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9">
        <f t="shared" si="151"/>
        <v>10</v>
      </c>
      <c r="C1869" s="875">
        <f t="shared" si="152"/>
        <v>40836</v>
      </c>
      <c r="D1869" s="48" t="s">
        <v>1140</v>
      </c>
      <c r="E1869" s="48">
        <v>40836</v>
      </c>
      <c r="F1869" s="882" t="s">
        <v>1288</v>
      </c>
      <c r="G1869" s="49"/>
      <c r="H1869" s="883" t="s">
        <v>1116</v>
      </c>
      <c r="I1869" s="258">
        <v>320</v>
      </c>
      <c r="J1869" s="258">
        <v>11216.317560845442</v>
      </c>
      <c r="K1869" s="723">
        <f t="shared" si="153"/>
        <v>3589222</v>
      </c>
      <c r="L1869" s="52" t="s">
        <v>169</v>
      </c>
      <c r="M1869" s="52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909"/>
      <c r="AB1869" s="843"/>
      <c r="AC1869" s="843"/>
      <c r="AD1869" s="843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9">
        <f t="shared" si="151"/>
        <v>10</v>
      </c>
      <c r="C1870" s="875">
        <f t="shared" si="152"/>
        <v>40836</v>
      </c>
      <c r="D1870" s="48" t="s">
        <v>1140</v>
      </c>
      <c r="E1870" s="48">
        <v>40836</v>
      </c>
      <c r="F1870" s="882" t="s">
        <v>1285</v>
      </c>
      <c r="G1870" s="49"/>
      <c r="H1870" s="883" t="s">
        <v>1116</v>
      </c>
      <c r="I1870" s="258">
        <v>150</v>
      </c>
      <c r="J1870" s="258">
        <v>15701.494852512109</v>
      </c>
      <c r="K1870" s="723">
        <f t="shared" si="153"/>
        <v>2355224</v>
      </c>
      <c r="L1870" s="52" t="s">
        <v>169</v>
      </c>
      <c r="M1870" s="52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909"/>
      <c r="AB1870" s="843"/>
      <c r="AC1870" s="843"/>
      <c r="AD1870" s="843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9">
        <f t="shared" si="151"/>
        <v>10</v>
      </c>
      <c r="C1871" s="875">
        <f t="shared" si="152"/>
        <v>40836</v>
      </c>
      <c r="D1871" s="48" t="s">
        <v>1140</v>
      </c>
      <c r="E1871" s="48">
        <v>40836</v>
      </c>
      <c r="F1871" s="882" t="s">
        <v>1291</v>
      </c>
      <c r="G1871" s="49"/>
      <c r="H1871" s="883" t="s">
        <v>1116</v>
      </c>
      <c r="I1871" s="258">
        <v>270</v>
      </c>
      <c r="J1871" s="258">
        <v>10759.430408067663</v>
      </c>
      <c r="K1871" s="723">
        <f t="shared" si="153"/>
        <v>2905046</v>
      </c>
      <c r="L1871" s="52" t="s">
        <v>169</v>
      </c>
      <c r="M1871" s="52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909"/>
      <c r="AB1871" s="843"/>
      <c r="AC1871" s="843"/>
      <c r="AD1871" s="843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9">
        <f t="shared" si="151"/>
        <v>10</v>
      </c>
      <c r="C1872" s="875">
        <f t="shared" si="152"/>
        <v>40836</v>
      </c>
      <c r="D1872" s="48" t="s">
        <v>1141</v>
      </c>
      <c r="E1872" s="48">
        <v>40836</v>
      </c>
      <c r="F1872" s="882" t="s">
        <v>771</v>
      </c>
      <c r="G1872" s="49"/>
      <c r="H1872" s="883" t="s">
        <v>1116</v>
      </c>
      <c r="I1872" s="258">
        <v>190</v>
      </c>
      <c r="J1872" s="258">
        <v>7168.6502911086</v>
      </c>
      <c r="K1872" s="723">
        <f t="shared" si="153"/>
        <v>1362044</v>
      </c>
      <c r="L1872" s="52" t="s">
        <v>169</v>
      </c>
      <c r="M1872" s="52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909"/>
      <c r="AB1872" s="843"/>
      <c r="AC1872" s="843"/>
      <c r="AD1872" s="843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9">
        <f t="shared" si="151"/>
        <v>10</v>
      </c>
      <c r="C1873" s="875">
        <f t="shared" si="152"/>
        <v>40836</v>
      </c>
      <c r="D1873" s="48" t="s">
        <v>1141</v>
      </c>
      <c r="E1873" s="48">
        <v>40836</v>
      </c>
      <c r="F1873" s="882" t="s">
        <v>769</v>
      </c>
      <c r="G1873" s="49"/>
      <c r="H1873" s="883" t="s">
        <v>1116</v>
      </c>
      <c r="I1873" s="258">
        <v>320</v>
      </c>
      <c r="J1873" s="258">
        <v>7125.6581858454429</v>
      </c>
      <c r="K1873" s="723">
        <f t="shared" si="153"/>
        <v>2280211</v>
      </c>
      <c r="L1873" s="52" t="s">
        <v>169</v>
      </c>
      <c r="M1873" s="52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909"/>
      <c r="AB1873" s="843"/>
      <c r="AC1873" s="843"/>
      <c r="AD1873" s="843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9">
        <f t="shared" si="151"/>
        <v>10</v>
      </c>
      <c r="C1874" s="875">
        <f t="shared" si="152"/>
        <v>40836</v>
      </c>
      <c r="D1874" s="48" t="s">
        <v>1141</v>
      </c>
      <c r="E1874" s="48">
        <v>40836</v>
      </c>
      <c r="F1874" s="882" t="s">
        <v>778</v>
      </c>
      <c r="G1874" s="49"/>
      <c r="H1874" s="883" t="s">
        <v>1116</v>
      </c>
      <c r="I1874" s="258">
        <v>300</v>
      </c>
      <c r="J1874" s="258">
        <v>9389.7048525121081</v>
      </c>
      <c r="K1874" s="723">
        <f t="shared" si="153"/>
        <v>2816911</v>
      </c>
      <c r="L1874" s="52" t="s">
        <v>169</v>
      </c>
      <c r="M1874" s="52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909"/>
      <c r="AB1874" s="843"/>
      <c r="AC1874" s="843"/>
      <c r="AD1874" s="843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9">
        <f t="shared" si="151"/>
        <v>10</v>
      </c>
      <c r="C1875" s="875">
        <f t="shared" si="152"/>
        <v>40836</v>
      </c>
      <c r="D1875" s="48" t="s">
        <v>1141</v>
      </c>
      <c r="E1875" s="48">
        <v>40836</v>
      </c>
      <c r="F1875" s="882" t="s">
        <v>773</v>
      </c>
      <c r="G1875" s="49"/>
      <c r="H1875" s="883" t="s">
        <v>1116</v>
      </c>
      <c r="I1875" s="258">
        <v>350</v>
      </c>
      <c r="J1875" s="258">
        <v>11395.865328702588</v>
      </c>
      <c r="K1875" s="723">
        <f t="shared" si="153"/>
        <v>3988553</v>
      </c>
      <c r="L1875" s="52" t="s">
        <v>169</v>
      </c>
      <c r="M1875" s="52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909"/>
      <c r="AB1875" s="843"/>
      <c r="AC1875" s="843"/>
      <c r="AD1875" s="843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9">
        <f t="shared" si="151"/>
        <v>10</v>
      </c>
      <c r="C1876" s="875">
        <f t="shared" si="152"/>
        <v>40836</v>
      </c>
      <c r="D1876" s="48" t="s">
        <v>1141</v>
      </c>
      <c r="E1876" s="48">
        <v>40836</v>
      </c>
      <c r="F1876" s="882" t="s">
        <v>1286</v>
      </c>
      <c r="G1876" s="49"/>
      <c r="H1876" s="883" t="s">
        <v>1116</v>
      </c>
      <c r="I1876" s="258">
        <v>290</v>
      </c>
      <c r="J1876" s="258">
        <v>11153.042668604065</v>
      </c>
      <c r="K1876" s="723">
        <f t="shared" si="153"/>
        <v>3234382</v>
      </c>
      <c r="L1876" s="52" t="s">
        <v>169</v>
      </c>
      <c r="M1876" s="52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909"/>
      <c r="AB1876" s="843"/>
      <c r="AC1876" s="843"/>
      <c r="AD1876" s="843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9">
        <f t="shared" si="151"/>
        <v>10</v>
      </c>
      <c r="C1877" s="875">
        <f t="shared" si="152"/>
        <v>40836</v>
      </c>
      <c r="D1877" s="48" t="s">
        <v>1141</v>
      </c>
      <c r="E1877" s="48">
        <v>40836</v>
      </c>
      <c r="F1877" s="882" t="s">
        <v>1292</v>
      </c>
      <c r="G1877" s="49"/>
      <c r="H1877" s="883" t="s">
        <v>1116</v>
      </c>
      <c r="I1877" s="258">
        <v>130</v>
      </c>
      <c r="J1877" s="258">
        <v>15454.500493537751</v>
      </c>
      <c r="K1877" s="723">
        <f t="shared" si="153"/>
        <v>2009085</v>
      </c>
      <c r="L1877" s="52" t="s">
        <v>169</v>
      </c>
      <c r="M1877" s="52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909"/>
      <c r="AB1877" s="843"/>
      <c r="AC1877" s="843"/>
      <c r="AD1877" s="843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75">
        <f t="shared" si="152"/>
        <v>40836</v>
      </c>
      <c r="D1878" s="48" t="s">
        <v>984</v>
      </c>
      <c r="E1878" s="37">
        <v>40836</v>
      </c>
      <c r="F1878" s="192" t="s">
        <v>1289</v>
      </c>
      <c r="G1878" s="502" t="s">
        <v>1263</v>
      </c>
      <c r="H1878" s="193" t="s">
        <v>756</v>
      </c>
      <c r="I1878" s="260">
        <v>150</v>
      </c>
      <c r="J1878" s="260">
        <v>7107.5015191787761</v>
      </c>
      <c r="K1878" s="618">
        <f t="shared" si="153"/>
        <v>1066125</v>
      </c>
      <c r="L1878" s="52" t="s">
        <v>179</v>
      </c>
      <c r="M1878" s="52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909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75">
        <f t="shared" si="152"/>
        <v>40836</v>
      </c>
      <c r="D1879" s="48" t="s">
        <v>984</v>
      </c>
      <c r="E1879" s="37">
        <v>40836</v>
      </c>
      <c r="F1879" s="192" t="s">
        <v>1290</v>
      </c>
      <c r="G1879" s="502" t="s">
        <v>1263</v>
      </c>
      <c r="H1879" s="193" t="s">
        <v>756</v>
      </c>
      <c r="I1879" s="260">
        <v>200</v>
      </c>
      <c r="J1879" s="260">
        <v>10854.50318584544</v>
      </c>
      <c r="K1879" s="618">
        <f t="shared" si="153"/>
        <v>2170901</v>
      </c>
      <c r="L1879" s="52" t="s">
        <v>179</v>
      </c>
      <c r="M1879" s="52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909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75">
        <f t="shared" si="152"/>
        <v>40836</v>
      </c>
      <c r="D1880" s="48" t="s">
        <v>984</v>
      </c>
      <c r="E1880" s="37">
        <v>40836</v>
      </c>
      <c r="F1880" s="192" t="s">
        <v>1283</v>
      </c>
      <c r="G1880" s="502" t="s">
        <v>1263</v>
      </c>
      <c r="H1880" s="193" t="s">
        <v>756</v>
      </c>
      <c r="I1880" s="260">
        <v>220</v>
      </c>
      <c r="J1880" s="260">
        <v>9657.5945494818079</v>
      </c>
      <c r="K1880" s="618">
        <f t="shared" si="153"/>
        <v>2124671</v>
      </c>
      <c r="L1880" s="52" t="s">
        <v>179</v>
      </c>
      <c r="M1880" s="52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909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75">
        <f t="shared" si="152"/>
        <v>40836</v>
      </c>
      <c r="D1881" s="48" t="s">
        <v>984</v>
      </c>
      <c r="E1881" s="37">
        <v>40836</v>
      </c>
      <c r="F1881" s="192" t="s">
        <v>1282</v>
      </c>
      <c r="G1881" s="502" t="s">
        <v>1263</v>
      </c>
      <c r="H1881" s="193" t="s">
        <v>756</v>
      </c>
      <c r="I1881" s="260">
        <v>180</v>
      </c>
      <c r="J1881" s="260">
        <v>7430.5026302898868</v>
      </c>
      <c r="K1881" s="618">
        <f t="shared" si="153"/>
        <v>1337490</v>
      </c>
      <c r="L1881" s="52" t="s">
        <v>179</v>
      </c>
      <c r="M1881" s="52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909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75">
        <f t="shared" si="152"/>
        <v>40836</v>
      </c>
      <c r="D1882" s="48" t="s">
        <v>984</v>
      </c>
      <c r="E1882" s="37">
        <v>40836</v>
      </c>
      <c r="F1882" s="192" t="s">
        <v>1284</v>
      </c>
      <c r="G1882" s="502" t="s">
        <v>1263</v>
      </c>
      <c r="H1882" s="193" t="s">
        <v>756</v>
      </c>
      <c r="I1882" s="260">
        <v>297</v>
      </c>
      <c r="J1882" s="260">
        <v>11136.484616821876</v>
      </c>
      <c r="K1882" s="618">
        <f t="shared" si="153"/>
        <v>3307536</v>
      </c>
      <c r="L1882" s="52" t="s">
        <v>179</v>
      </c>
      <c r="M1882" s="52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909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75">
        <f t="shared" si="152"/>
        <v>40836</v>
      </c>
      <c r="D1883" s="48" t="s">
        <v>984</v>
      </c>
      <c r="E1883" s="37">
        <v>40836</v>
      </c>
      <c r="F1883" s="192" t="s">
        <v>1288</v>
      </c>
      <c r="G1883" s="502" t="s">
        <v>1263</v>
      </c>
      <c r="H1883" s="193" t="s">
        <v>756</v>
      </c>
      <c r="I1883" s="260">
        <v>320</v>
      </c>
      <c r="J1883" s="260">
        <v>11216.317560845442</v>
      </c>
      <c r="K1883" s="618">
        <f t="shared" si="153"/>
        <v>3589222</v>
      </c>
      <c r="L1883" s="52" t="s">
        <v>179</v>
      </c>
      <c r="M1883" s="52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909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75">
        <f t="shared" si="152"/>
        <v>40836</v>
      </c>
      <c r="D1884" s="48" t="s">
        <v>984</v>
      </c>
      <c r="E1884" s="37">
        <v>40836</v>
      </c>
      <c r="F1884" s="192" t="s">
        <v>1285</v>
      </c>
      <c r="G1884" s="502" t="s">
        <v>1263</v>
      </c>
      <c r="H1884" s="193" t="s">
        <v>756</v>
      </c>
      <c r="I1884" s="260">
        <v>150</v>
      </c>
      <c r="J1884" s="260">
        <v>15701.494852512109</v>
      </c>
      <c r="K1884" s="618">
        <f t="shared" si="153"/>
        <v>2355224</v>
      </c>
      <c r="L1884" s="52" t="s">
        <v>179</v>
      </c>
      <c r="M1884" s="52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909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75">
        <f t="shared" si="152"/>
        <v>40836</v>
      </c>
      <c r="D1885" s="48" t="s">
        <v>984</v>
      </c>
      <c r="E1885" s="37">
        <v>40836</v>
      </c>
      <c r="F1885" s="192" t="s">
        <v>1291</v>
      </c>
      <c r="G1885" s="502" t="s">
        <v>1263</v>
      </c>
      <c r="H1885" s="193" t="s">
        <v>756</v>
      </c>
      <c r="I1885" s="260">
        <v>270</v>
      </c>
      <c r="J1885" s="260">
        <v>10759.430408067663</v>
      </c>
      <c r="K1885" s="618">
        <f t="shared" si="153"/>
        <v>2905046</v>
      </c>
      <c r="L1885" s="52" t="s">
        <v>179</v>
      </c>
      <c r="M1885" s="52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909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75">
        <f t="shared" si="152"/>
        <v>40836</v>
      </c>
      <c r="D1886" s="48" t="s">
        <v>984</v>
      </c>
      <c r="E1886" s="37">
        <v>40836</v>
      </c>
      <c r="F1886" s="192" t="s">
        <v>771</v>
      </c>
      <c r="G1886" s="502" t="s">
        <v>1263</v>
      </c>
      <c r="H1886" s="193" t="s">
        <v>756</v>
      </c>
      <c r="I1886" s="260">
        <v>190</v>
      </c>
      <c r="J1886" s="260">
        <v>7168.6502911086</v>
      </c>
      <c r="K1886" s="618">
        <f t="shared" si="153"/>
        <v>1362044</v>
      </c>
      <c r="L1886" s="52" t="s">
        <v>179</v>
      </c>
      <c r="M1886" s="52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909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75">
        <f t="shared" si="152"/>
        <v>40836</v>
      </c>
      <c r="D1887" s="48" t="s">
        <v>984</v>
      </c>
      <c r="E1887" s="37">
        <v>40836</v>
      </c>
      <c r="F1887" s="192" t="s">
        <v>769</v>
      </c>
      <c r="G1887" s="502" t="s">
        <v>1263</v>
      </c>
      <c r="H1887" s="193" t="s">
        <v>756</v>
      </c>
      <c r="I1887" s="260">
        <v>320</v>
      </c>
      <c r="J1887" s="260">
        <v>7125.6581858454429</v>
      </c>
      <c r="K1887" s="618">
        <f t="shared" si="153"/>
        <v>2280211</v>
      </c>
      <c r="L1887" s="52" t="s">
        <v>179</v>
      </c>
      <c r="M1887" s="52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909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75">
        <f t="shared" si="152"/>
        <v>40836</v>
      </c>
      <c r="D1888" s="48" t="s">
        <v>984</v>
      </c>
      <c r="E1888" s="37">
        <v>40836</v>
      </c>
      <c r="F1888" s="192" t="s">
        <v>778</v>
      </c>
      <c r="G1888" s="502" t="s">
        <v>1263</v>
      </c>
      <c r="H1888" s="193" t="s">
        <v>756</v>
      </c>
      <c r="I1888" s="260">
        <v>300</v>
      </c>
      <c r="J1888" s="260">
        <v>9389.7048525121081</v>
      </c>
      <c r="K1888" s="618">
        <f t="shared" si="153"/>
        <v>2816911</v>
      </c>
      <c r="L1888" s="52" t="s">
        <v>179</v>
      </c>
      <c r="M1888" s="52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909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75">
        <f t="shared" si="152"/>
        <v>40836</v>
      </c>
      <c r="D1889" s="48" t="s">
        <v>984</v>
      </c>
      <c r="E1889" s="37">
        <v>40836</v>
      </c>
      <c r="F1889" s="192" t="s">
        <v>773</v>
      </c>
      <c r="G1889" s="502" t="s">
        <v>1263</v>
      </c>
      <c r="H1889" s="193" t="s">
        <v>756</v>
      </c>
      <c r="I1889" s="260">
        <v>350</v>
      </c>
      <c r="J1889" s="260">
        <v>11395.865328702588</v>
      </c>
      <c r="K1889" s="618">
        <f t="shared" si="153"/>
        <v>3988553</v>
      </c>
      <c r="L1889" s="52" t="s">
        <v>179</v>
      </c>
      <c r="M1889" s="52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909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75">
        <f t="shared" si="152"/>
        <v>40836</v>
      </c>
      <c r="D1890" s="48" t="s">
        <v>984</v>
      </c>
      <c r="E1890" s="37">
        <v>40836</v>
      </c>
      <c r="F1890" s="192" t="s">
        <v>1286</v>
      </c>
      <c r="G1890" s="502" t="s">
        <v>1263</v>
      </c>
      <c r="H1890" s="193" t="s">
        <v>756</v>
      </c>
      <c r="I1890" s="260">
        <v>290</v>
      </c>
      <c r="J1890" s="260">
        <v>11153.042668604065</v>
      </c>
      <c r="K1890" s="618">
        <f t="shared" si="153"/>
        <v>3234382</v>
      </c>
      <c r="L1890" s="52" t="s">
        <v>179</v>
      </c>
      <c r="M1890" s="52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909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75">
        <f t="shared" si="152"/>
        <v>40836</v>
      </c>
      <c r="D1891" s="48" t="s">
        <v>984</v>
      </c>
      <c r="E1891" s="37">
        <v>40836</v>
      </c>
      <c r="F1891" s="192" t="s">
        <v>1292</v>
      </c>
      <c r="G1891" s="502" t="s">
        <v>1263</v>
      </c>
      <c r="H1891" s="193" t="s">
        <v>756</v>
      </c>
      <c r="I1891" s="260">
        <v>130</v>
      </c>
      <c r="J1891" s="260">
        <v>15454.500493537751</v>
      </c>
      <c r="K1891" s="618">
        <f t="shared" si="153"/>
        <v>2009085</v>
      </c>
      <c r="L1891" s="52" t="s">
        <v>179</v>
      </c>
      <c r="M1891" s="52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909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9">
        <f t="shared" si="154"/>
        <v>10</v>
      </c>
      <c r="C1892" s="191">
        <v>40838</v>
      </c>
      <c r="D1892" s="191" t="s">
        <v>985</v>
      </c>
      <c r="E1892" s="191">
        <v>40838</v>
      </c>
      <c r="F1892" s="192" t="s">
        <v>769</v>
      </c>
      <c r="G1892" s="502" t="s">
        <v>1264</v>
      </c>
      <c r="H1892" s="193" t="s">
        <v>756</v>
      </c>
      <c r="I1892" s="260">
        <v>210</v>
      </c>
      <c r="J1892" s="260">
        <v>10595</v>
      </c>
      <c r="K1892" s="618">
        <v>2224950</v>
      </c>
      <c r="L1892" s="194" t="s">
        <v>274</v>
      </c>
      <c r="M1892" s="194" t="s">
        <v>181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909"/>
      <c r="AB1892" s="843"/>
      <c r="AC1892" s="843"/>
      <c r="AD1892" s="843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9">
        <f t="shared" si="154"/>
        <v>10</v>
      </c>
      <c r="C1893" s="191">
        <v>40838</v>
      </c>
      <c r="D1893" s="191" t="s">
        <v>985</v>
      </c>
      <c r="E1893" s="191">
        <v>40838</v>
      </c>
      <c r="F1893" s="192" t="s">
        <v>1293</v>
      </c>
      <c r="G1893" s="502" t="s">
        <v>1264</v>
      </c>
      <c r="H1893" s="193" t="s">
        <v>756</v>
      </c>
      <c r="I1893" s="260">
        <v>150</v>
      </c>
      <c r="J1893" s="260">
        <v>17966</v>
      </c>
      <c r="K1893" s="618">
        <v>2694900</v>
      </c>
      <c r="L1893" s="194" t="s">
        <v>274</v>
      </c>
      <c r="M1893" s="194" t="s">
        <v>181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909"/>
      <c r="AB1893" s="843"/>
      <c r="AC1893" s="843"/>
      <c r="AD1893" s="843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9">
        <f t="shared" si="154"/>
        <v>10</v>
      </c>
      <c r="C1894" s="191">
        <v>40838</v>
      </c>
      <c r="D1894" s="191" t="s">
        <v>985</v>
      </c>
      <c r="E1894" s="191">
        <v>40838</v>
      </c>
      <c r="F1894" s="192" t="s">
        <v>1294</v>
      </c>
      <c r="G1894" s="502" t="s">
        <v>1264</v>
      </c>
      <c r="H1894" s="193" t="s">
        <v>756</v>
      </c>
      <c r="I1894" s="260">
        <v>342</v>
      </c>
      <c r="J1894" s="260">
        <v>14535</v>
      </c>
      <c r="K1894" s="618">
        <v>4970970</v>
      </c>
      <c r="L1894" s="194" t="s">
        <v>274</v>
      </c>
      <c r="M1894" s="194" t="s">
        <v>181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909"/>
      <c r="AB1894" s="843"/>
      <c r="AC1894" s="843"/>
      <c r="AD1894" s="843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9">
        <f t="shared" si="154"/>
        <v>10</v>
      </c>
      <c r="C1895" s="191">
        <v>40838</v>
      </c>
      <c r="D1895" s="191" t="s">
        <v>985</v>
      </c>
      <c r="E1895" s="191">
        <v>40838</v>
      </c>
      <c r="F1895" s="192" t="s">
        <v>770</v>
      </c>
      <c r="G1895" s="502" t="s">
        <v>1264</v>
      </c>
      <c r="H1895" s="193" t="s">
        <v>756</v>
      </c>
      <c r="I1895" s="260">
        <v>150</v>
      </c>
      <c r="J1895" s="260">
        <v>11321</v>
      </c>
      <c r="K1895" s="618">
        <v>1698150</v>
      </c>
      <c r="L1895" s="194" t="s">
        <v>274</v>
      </c>
      <c r="M1895" s="194" t="s">
        <v>181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909"/>
      <c r="AB1895" s="843"/>
      <c r="AC1895" s="843"/>
      <c r="AD1895" s="843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9">
        <f t="shared" si="154"/>
        <v>10</v>
      </c>
      <c r="C1896" s="191">
        <v>40838</v>
      </c>
      <c r="D1896" s="191" t="s">
        <v>985</v>
      </c>
      <c r="E1896" s="191">
        <v>40838</v>
      </c>
      <c r="F1896" s="192" t="s">
        <v>1295</v>
      </c>
      <c r="G1896" s="502" t="s">
        <v>1264</v>
      </c>
      <c r="H1896" s="193" t="s">
        <v>756</v>
      </c>
      <c r="I1896" s="260">
        <v>160</v>
      </c>
      <c r="J1896" s="260">
        <v>10267</v>
      </c>
      <c r="K1896" s="618">
        <v>1642720</v>
      </c>
      <c r="L1896" s="194" t="s">
        <v>274</v>
      </c>
      <c r="M1896" s="194" t="s">
        <v>181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909"/>
      <c r="AB1896" s="843"/>
      <c r="AC1896" s="843"/>
      <c r="AD1896" s="843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9">
        <f t="shared" si="154"/>
        <v>10</v>
      </c>
      <c r="C1897" s="191">
        <v>40838</v>
      </c>
      <c r="D1897" s="191" t="s">
        <v>985</v>
      </c>
      <c r="E1897" s="191">
        <v>40838</v>
      </c>
      <c r="F1897" s="192" t="s">
        <v>1034</v>
      </c>
      <c r="G1897" s="502" t="s">
        <v>1264</v>
      </c>
      <c r="H1897" s="193" t="s">
        <v>756</v>
      </c>
      <c r="I1897" s="260">
        <v>100</v>
      </c>
      <c r="J1897" s="260">
        <v>13099</v>
      </c>
      <c r="K1897" s="618">
        <v>1309900</v>
      </c>
      <c r="L1897" s="194" t="s">
        <v>274</v>
      </c>
      <c r="M1897" s="194" t="s">
        <v>181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909"/>
      <c r="AB1897" s="843"/>
      <c r="AC1897" s="843"/>
      <c r="AD1897" s="843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9">
        <f t="shared" si="154"/>
        <v>10</v>
      </c>
      <c r="C1898" s="191">
        <v>40838</v>
      </c>
      <c r="D1898" s="191" t="s">
        <v>985</v>
      </c>
      <c r="E1898" s="191">
        <v>40838</v>
      </c>
      <c r="F1898" s="192" t="s">
        <v>772</v>
      </c>
      <c r="G1898" s="502" t="s">
        <v>1264</v>
      </c>
      <c r="H1898" s="193" t="s">
        <v>756</v>
      </c>
      <c r="I1898" s="260">
        <v>170</v>
      </c>
      <c r="J1898" s="260">
        <v>12564</v>
      </c>
      <c r="K1898" s="618">
        <v>2135880</v>
      </c>
      <c r="L1898" s="194" t="s">
        <v>274</v>
      </c>
      <c r="M1898" s="194" t="s">
        <v>181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909"/>
      <c r="AB1898" s="843"/>
      <c r="AC1898" s="843"/>
      <c r="AD1898" s="843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9">
        <f t="shared" si="154"/>
        <v>10</v>
      </c>
      <c r="C1899" s="191">
        <v>40838</v>
      </c>
      <c r="D1899" s="191" t="s">
        <v>985</v>
      </c>
      <c r="E1899" s="191">
        <v>40838</v>
      </c>
      <c r="F1899" s="192" t="s">
        <v>775</v>
      </c>
      <c r="G1899" s="502" t="s">
        <v>1264</v>
      </c>
      <c r="H1899" s="193" t="s">
        <v>756</v>
      </c>
      <c r="I1899" s="260">
        <v>190</v>
      </c>
      <c r="J1899" s="260">
        <v>16284</v>
      </c>
      <c r="K1899" s="618">
        <v>3093960</v>
      </c>
      <c r="L1899" s="194" t="s">
        <v>274</v>
      </c>
      <c r="M1899" s="194" t="s">
        <v>181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909"/>
      <c r="AB1899" s="843"/>
      <c r="AC1899" s="843"/>
      <c r="AD1899" s="843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9">
        <f t="shared" si="154"/>
        <v>10</v>
      </c>
      <c r="C1900" s="191">
        <v>40838</v>
      </c>
      <c r="D1900" s="191" t="s">
        <v>985</v>
      </c>
      <c r="E1900" s="191">
        <v>40838</v>
      </c>
      <c r="F1900" s="192" t="s">
        <v>771</v>
      </c>
      <c r="G1900" s="502" t="s">
        <v>1264</v>
      </c>
      <c r="H1900" s="193" t="s">
        <v>756</v>
      </c>
      <c r="I1900" s="260">
        <v>110</v>
      </c>
      <c r="J1900" s="260">
        <v>10253</v>
      </c>
      <c r="K1900" s="618">
        <v>1127830</v>
      </c>
      <c r="L1900" s="194" t="s">
        <v>274</v>
      </c>
      <c r="M1900" s="194" t="s">
        <v>181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909"/>
      <c r="AB1900" s="843"/>
      <c r="AC1900" s="843"/>
      <c r="AD1900" s="843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9">
        <f t="shared" si="154"/>
        <v>10</v>
      </c>
      <c r="C1901" s="191">
        <v>40838</v>
      </c>
      <c r="D1901" s="191" t="s">
        <v>985</v>
      </c>
      <c r="E1901" s="191">
        <v>40838</v>
      </c>
      <c r="F1901" s="192" t="s">
        <v>1296</v>
      </c>
      <c r="G1901" s="502" t="s">
        <v>1264</v>
      </c>
      <c r="H1901" s="193" t="s">
        <v>756</v>
      </c>
      <c r="I1901" s="260">
        <v>300</v>
      </c>
      <c r="J1901" s="260">
        <v>18620</v>
      </c>
      <c r="K1901" s="618">
        <v>5586000</v>
      </c>
      <c r="L1901" s="194" t="s">
        <v>274</v>
      </c>
      <c r="M1901" s="194" t="s">
        <v>181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909"/>
      <c r="AB1901" s="843"/>
      <c r="AC1901" s="843"/>
      <c r="AD1901" s="843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9">
        <f t="shared" si="154"/>
        <v>10</v>
      </c>
      <c r="C1902" s="191">
        <v>40838</v>
      </c>
      <c r="D1902" s="191" t="s">
        <v>985</v>
      </c>
      <c r="E1902" s="191">
        <v>40838</v>
      </c>
      <c r="F1902" s="192" t="s">
        <v>1200</v>
      </c>
      <c r="G1902" s="502" t="s">
        <v>1264</v>
      </c>
      <c r="H1902" s="193" t="s">
        <v>756</v>
      </c>
      <c r="I1902" s="260"/>
      <c r="J1902" s="260"/>
      <c r="K1902" s="618">
        <f>2648526+1</f>
        <v>2648527</v>
      </c>
      <c r="L1902" s="194" t="s">
        <v>274</v>
      </c>
      <c r="M1902" s="194" t="s">
        <v>754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909"/>
      <c r="AB1902" s="843"/>
      <c r="AC1902" s="843"/>
      <c r="AD1902" s="843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9">
        <f t="shared" si="154"/>
        <v>10</v>
      </c>
      <c r="C1903" s="875">
        <f t="shared" ref="C1903:C1922" si="155">E1903</f>
        <v>40838</v>
      </c>
      <c r="D1903" s="48" t="s">
        <v>1142</v>
      </c>
      <c r="E1903" s="48">
        <v>40838</v>
      </c>
      <c r="F1903" s="882" t="s">
        <v>769</v>
      </c>
      <c r="G1903" s="49"/>
      <c r="H1903" s="883" t="s">
        <v>1116</v>
      </c>
      <c r="I1903" s="258">
        <v>210</v>
      </c>
      <c r="J1903" s="258">
        <v>7107.5034239406823</v>
      </c>
      <c r="K1903" s="723">
        <f t="shared" ref="K1903:K1922" si="156">ROUND(I1903*J1903,0)</f>
        <v>1492576</v>
      </c>
      <c r="L1903" s="52" t="s">
        <v>169</v>
      </c>
      <c r="M1903" s="52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909"/>
      <c r="AB1903" s="843"/>
      <c r="AC1903" s="843"/>
      <c r="AD1903" s="843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9">
        <f t="shared" si="154"/>
        <v>10</v>
      </c>
      <c r="C1904" s="875">
        <f t="shared" si="155"/>
        <v>40838</v>
      </c>
      <c r="D1904" s="48" t="s">
        <v>1142</v>
      </c>
      <c r="E1904" s="48">
        <v>40838</v>
      </c>
      <c r="F1904" s="882" t="s">
        <v>1293</v>
      </c>
      <c r="G1904" s="49"/>
      <c r="H1904" s="883" t="s">
        <v>1116</v>
      </c>
      <c r="I1904" s="258">
        <v>150</v>
      </c>
      <c r="J1904" s="258">
        <v>8650.8348525121073</v>
      </c>
      <c r="K1904" s="723">
        <f t="shared" si="156"/>
        <v>1297625</v>
      </c>
      <c r="L1904" s="52" t="s">
        <v>169</v>
      </c>
      <c r="M1904" s="52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909"/>
      <c r="AB1904" s="843"/>
      <c r="AC1904" s="843"/>
      <c r="AD1904" s="843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9">
        <f t="shared" si="154"/>
        <v>10</v>
      </c>
      <c r="C1905" s="875">
        <f t="shared" si="155"/>
        <v>40838</v>
      </c>
      <c r="D1905" s="48" t="s">
        <v>1142</v>
      </c>
      <c r="E1905" s="48">
        <v>40838</v>
      </c>
      <c r="F1905" s="882" t="s">
        <v>1294</v>
      </c>
      <c r="G1905" s="49"/>
      <c r="H1905" s="883" t="s">
        <v>1116</v>
      </c>
      <c r="I1905" s="258">
        <v>342</v>
      </c>
      <c r="J1905" s="258">
        <v>9441.5929811670794</v>
      </c>
      <c r="K1905" s="723">
        <f t="shared" si="156"/>
        <v>3229025</v>
      </c>
      <c r="L1905" s="52" t="s">
        <v>169</v>
      </c>
      <c r="M1905" s="52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909"/>
      <c r="AB1905" s="843"/>
      <c r="AC1905" s="843"/>
      <c r="AD1905" s="843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9">
        <f t="shared" si="154"/>
        <v>10</v>
      </c>
      <c r="C1906" s="875">
        <f t="shared" si="155"/>
        <v>40838</v>
      </c>
      <c r="D1906" s="48" t="s">
        <v>1142</v>
      </c>
      <c r="E1906" s="48">
        <v>40838</v>
      </c>
      <c r="F1906" s="882" t="s">
        <v>770</v>
      </c>
      <c r="G1906" s="49"/>
      <c r="H1906" s="883" t="s">
        <v>1116</v>
      </c>
      <c r="I1906" s="258">
        <v>150</v>
      </c>
      <c r="J1906" s="258">
        <v>7430.5015191787761</v>
      </c>
      <c r="K1906" s="723">
        <f t="shared" si="156"/>
        <v>1114575</v>
      </c>
      <c r="L1906" s="52" t="s">
        <v>169</v>
      </c>
      <c r="M1906" s="52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909"/>
      <c r="AB1906" s="843"/>
      <c r="AC1906" s="843"/>
      <c r="AD1906" s="843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9">
        <f t="shared" si="154"/>
        <v>10</v>
      </c>
      <c r="C1907" s="875">
        <f t="shared" si="155"/>
        <v>40838</v>
      </c>
      <c r="D1907" s="48" t="s">
        <v>1142</v>
      </c>
      <c r="E1907" s="48">
        <v>40838</v>
      </c>
      <c r="F1907" s="192" t="s">
        <v>1295</v>
      </c>
      <c r="G1907" s="49"/>
      <c r="H1907" s="883" t="s">
        <v>1116</v>
      </c>
      <c r="I1907" s="258">
        <v>160</v>
      </c>
      <c r="J1907" s="258">
        <v>7180.114435845443</v>
      </c>
      <c r="K1907" s="723">
        <f t="shared" si="156"/>
        <v>1148818</v>
      </c>
      <c r="L1907" s="52" t="s">
        <v>169</v>
      </c>
      <c r="M1907" s="52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909"/>
      <c r="AB1907" s="843"/>
      <c r="AC1907" s="843"/>
      <c r="AD1907" s="843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9">
        <f t="shared" si="154"/>
        <v>10</v>
      </c>
      <c r="C1908" s="875">
        <f t="shared" si="155"/>
        <v>40838</v>
      </c>
      <c r="D1908" s="48" t="s">
        <v>1142</v>
      </c>
      <c r="E1908" s="48">
        <v>40838</v>
      </c>
      <c r="F1908" s="882" t="s">
        <v>1034</v>
      </c>
      <c r="G1908" s="49"/>
      <c r="H1908" s="883" t="s">
        <v>1116</v>
      </c>
      <c r="I1908" s="258">
        <v>100</v>
      </c>
      <c r="J1908" s="258">
        <v>10496.498185845441</v>
      </c>
      <c r="K1908" s="723">
        <f t="shared" si="156"/>
        <v>1049650</v>
      </c>
      <c r="L1908" s="52" t="s">
        <v>169</v>
      </c>
      <c r="M1908" s="52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909"/>
      <c r="AB1908" s="843"/>
      <c r="AC1908" s="843"/>
      <c r="AD1908" s="843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9">
        <f t="shared" si="154"/>
        <v>10</v>
      </c>
      <c r="C1909" s="875">
        <f t="shared" si="155"/>
        <v>40838</v>
      </c>
      <c r="D1909" s="48" t="s">
        <v>1142</v>
      </c>
      <c r="E1909" s="48">
        <v>40838</v>
      </c>
      <c r="F1909" s="882" t="s">
        <v>772</v>
      </c>
      <c r="G1909" s="49"/>
      <c r="H1909" s="883" t="s">
        <v>1116</v>
      </c>
      <c r="I1909" s="258">
        <v>170</v>
      </c>
      <c r="J1909" s="258">
        <v>10292.384656433678</v>
      </c>
      <c r="K1909" s="723">
        <f t="shared" si="156"/>
        <v>1749705</v>
      </c>
      <c r="L1909" s="52" t="s">
        <v>169</v>
      </c>
      <c r="M1909" s="52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909"/>
      <c r="AB1909" s="843"/>
      <c r="AC1909" s="843"/>
      <c r="AD1909" s="843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9">
        <f t="shared" si="154"/>
        <v>10</v>
      </c>
      <c r="C1910" s="875">
        <f t="shared" si="155"/>
        <v>40838</v>
      </c>
      <c r="D1910" s="48" t="s">
        <v>1143</v>
      </c>
      <c r="E1910" s="48">
        <v>40838</v>
      </c>
      <c r="F1910" s="882" t="s">
        <v>775</v>
      </c>
      <c r="G1910" s="49"/>
      <c r="H1910" s="883" t="s">
        <v>1116</v>
      </c>
      <c r="I1910" s="258">
        <v>190</v>
      </c>
      <c r="J1910" s="258">
        <v>12481.4502911086</v>
      </c>
      <c r="K1910" s="723">
        <f t="shared" si="156"/>
        <v>2371476</v>
      </c>
      <c r="L1910" s="52" t="s">
        <v>169</v>
      </c>
      <c r="M1910" s="52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909"/>
      <c r="AB1910" s="843"/>
      <c r="AC1910" s="843"/>
      <c r="AD1910" s="843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9">
        <f t="shared" si="154"/>
        <v>10</v>
      </c>
      <c r="C1911" s="875">
        <f t="shared" si="155"/>
        <v>40838</v>
      </c>
      <c r="D1911" s="48" t="s">
        <v>1143</v>
      </c>
      <c r="E1911" s="48">
        <v>40838</v>
      </c>
      <c r="F1911" s="882" t="s">
        <v>771</v>
      </c>
      <c r="G1911" s="49"/>
      <c r="H1911" s="883" t="s">
        <v>1116</v>
      </c>
      <c r="I1911" s="258">
        <v>110</v>
      </c>
      <c r="J1911" s="258">
        <v>7486.2445494818066</v>
      </c>
      <c r="K1911" s="723">
        <f t="shared" si="156"/>
        <v>823487</v>
      </c>
      <c r="L1911" s="52" t="s">
        <v>169</v>
      </c>
      <c r="M1911" s="52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909"/>
      <c r="AB1911" s="843"/>
      <c r="AC1911" s="843"/>
      <c r="AD1911" s="843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9">
        <f t="shared" si="154"/>
        <v>10</v>
      </c>
      <c r="C1912" s="875">
        <f t="shared" si="155"/>
        <v>40838</v>
      </c>
      <c r="D1912" s="48" t="s">
        <v>1143</v>
      </c>
      <c r="E1912" s="48">
        <v>40838</v>
      </c>
      <c r="F1912" s="882" t="s">
        <v>1296</v>
      </c>
      <c r="G1912" s="49"/>
      <c r="H1912" s="883" t="s">
        <v>1116</v>
      </c>
      <c r="I1912" s="258">
        <v>300</v>
      </c>
      <c r="J1912" s="258">
        <v>9295.3048525121085</v>
      </c>
      <c r="K1912" s="723">
        <f t="shared" si="156"/>
        <v>2788591</v>
      </c>
      <c r="L1912" s="52" t="s">
        <v>169</v>
      </c>
      <c r="M1912" s="52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909"/>
      <c r="AB1912" s="843"/>
      <c r="AC1912" s="843"/>
      <c r="AD1912" s="843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75">
        <f t="shared" si="155"/>
        <v>40838</v>
      </c>
      <c r="D1913" s="48" t="s">
        <v>985</v>
      </c>
      <c r="E1913" s="37">
        <v>40838</v>
      </c>
      <c r="F1913" s="192" t="s">
        <v>769</v>
      </c>
      <c r="G1913" s="502" t="s">
        <v>1264</v>
      </c>
      <c r="H1913" s="193" t="s">
        <v>756</v>
      </c>
      <c r="I1913" s="260">
        <v>210</v>
      </c>
      <c r="J1913" s="260">
        <v>7107.5034239406823</v>
      </c>
      <c r="K1913" s="618">
        <f t="shared" si="156"/>
        <v>1492576</v>
      </c>
      <c r="L1913" s="52" t="s">
        <v>179</v>
      </c>
      <c r="M1913" s="52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909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75">
        <f t="shared" si="155"/>
        <v>40838</v>
      </c>
      <c r="D1914" s="48" t="s">
        <v>985</v>
      </c>
      <c r="E1914" s="37">
        <v>40838</v>
      </c>
      <c r="F1914" s="192" t="s">
        <v>1293</v>
      </c>
      <c r="G1914" s="502" t="s">
        <v>1264</v>
      </c>
      <c r="H1914" s="193" t="s">
        <v>756</v>
      </c>
      <c r="I1914" s="260">
        <v>150</v>
      </c>
      <c r="J1914" s="260">
        <v>8650.8348525121073</v>
      </c>
      <c r="K1914" s="618">
        <f t="shared" si="156"/>
        <v>1297625</v>
      </c>
      <c r="L1914" s="52" t="s">
        <v>179</v>
      </c>
      <c r="M1914" s="52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909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75">
        <f t="shared" si="155"/>
        <v>40838</v>
      </c>
      <c r="D1915" s="48" t="s">
        <v>985</v>
      </c>
      <c r="E1915" s="37">
        <v>40838</v>
      </c>
      <c r="F1915" s="192" t="s">
        <v>1294</v>
      </c>
      <c r="G1915" s="502" t="s">
        <v>1264</v>
      </c>
      <c r="H1915" s="193" t="s">
        <v>756</v>
      </c>
      <c r="I1915" s="260">
        <v>342</v>
      </c>
      <c r="J1915" s="260">
        <v>9441.5929811670794</v>
      </c>
      <c r="K1915" s="618">
        <f t="shared" si="156"/>
        <v>3229025</v>
      </c>
      <c r="L1915" s="52" t="s">
        <v>179</v>
      </c>
      <c r="M1915" s="52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909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75">
        <f t="shared" si="155"/>
        <v>40838</v>
      </c>
      <c r="D1916" s="48" t="s">
        <v>985</v>
      </c>
      <c r="E1916" s="37">
        <v>40838</v>
      </c>
      <c r="F1916" s="192" t="s">
        <v>770</v>
      </c>
      <c r="G1916" s="502" t="s">
        <v>1264</v>
      </c>
      <c r="H1916" s="193" t="s">
        <v>756</v>
      </c>
      <c r="I1916" s="260">
        <v>150</v>
      </c>
      <c r="J1916" s="260">
        <v>7430.5015191787761</v>
      </c>
      <c r="K1916" s="618">
        <f t="shared" si="156"/>
        <v>1114575</v>
      </c>
      <c r="L1916" s="52" t="s">
        <v>179</v>
      </c>
      <c r="M1916" s="52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909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75">
        <f t="shared" si="155"/>
        <v>40838</v>
      </c>
      <c r="D1917" s="48" t="s">
        <v>985</v>
      </c>
      <c r="E1917" s="37">
        <v>40838</v>
      </c>
      <c r="F1917" s="192" t="s">
        <v>1295</v>
      </c>
      <c r="G1917" s="502" t="s">
        <v>1264</v>
      </c>
      <c r="H1917" s="193" t="s">
        <v>756</v>
      </c>
      <c r="I1917" s="260">
        <v>160</v>
      </c>
      <c r="J1917" s="260">
        <v>7180.114435845443</v>
      </c>
      <c r="K1917" s="618">
        <f t="shared" si="156"/>
        <v>1148818</v>
      </c>
      <c r="L1917" s="52" t="s">
        <v>179</v>
      </c>
      <c r="M1917" s="52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909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75">
        <f t="shared" si="155"/>
        <v>40838</v>
      </c>
      <c r="D1918" s="48" t="s">
        <v>985</v>
      </c>
      <c r="E1918" s="37">
        <v>40838</v>
      </c>
      <c r="F1918" s="192" t="s">
        <v>1034</v>
      </c>
      <c r="G1918" s="502" t="s">
        <v>1264</v>
      </c>
      <c r="H1918" s="193" t="s">
        <v>756</v>
      </c>
      <c r="I1918" s="260">
        <v>100</v>
      </c>
      <c r="J1918" s="260">
        <v>10496.498185845441</v>
      </c>
      <c r="K1918" s="618">
        <f t="shared" si="156"/>
        <v>1049650</v>
      </c>
      <c r="L1918" s="52" t="s">
        <v>179</v>
      </c>
      <c r="M1918" s="52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909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75">
        <f t="shared" si="155"/>
        <v>40838</v>
      </c>
      <c r="D1919" s="48" t="s">
        <v>985</v>
      </c>
      <c r="E1919" s="37">
        <v>40838</v>
      </c>
      <c r="F1919" s="192" t="s">
        <v>772</v>
      </c>
      <c r="G1919" s="502" t="s">
        <v>1264</v>
      </c>
      <c r="H1919" s="193" t="s">
        <v>756</v>
      </c>
      <c r="I1919" s="260">
        <v>170</v>
      </c>
      <c r="J1919" s="260">
        <v>10292.384656433678</v>
      </c>
      <c r="K1919" s="618">
        <f t="shared" si="156"/>
        <v>1749705</v>
      </c>
      <c r="L1919" s="52" t="s">
        <v>179</v>
      </c>
      <c r="M1919" s="52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909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75">
        <f t="shared" si="155"/>
        <v>40838</v>
      </c>
      <c r="D1920" s="48" t="s">
        <v>985</v>
      </c>
      <c r="E1920" s="37">
        <v>40838</v>
      </c>
      <c r="F1920" s="192" t="s">
        <v>775</v>
      </c>
      <c r="G1920" s="502" t="s">
        <v>1264</v>
      </c>
      <c r="H1920" s="193" t="s">
        <v>756</v>
      </c>
      <c r="I1920" s="260">
        <v>190</v>
      </c>
      <c r="J1920" s="260">
        <v>12481.4502911086</v>
      </c>
      <c r="K1920" s="618">
        <f t="shared" si="156"/>
        <v>2371476</v>
      </c>
      <c r="L1920" s="52" t="s">
        <v>179</v>
      </c>
      <c r="M1920" s="52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909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75">
        <f t="shared" si="155"/>
        <v>40838</v>
      </c>
      <c r="D1921" s="48" t="s">
        <v>985</v>
      </c>
      <c r="E1921" s="37">
        <v>40838</v>
      </c>
      <c r="F1921" s="192" t="s">
        <v>771</v>
      </c>
      <c r="G1921" s="502" t="s">
        <v>1264</v>
      </c>
      <c r="H1921" s="193" t="s">
        <v>756</v>
      </c>
      <c r="I1921" s="260">
        <v>110</v>
      </c>
      <c r="J1921" s="260">
        <v>7486.2445494818066</v>
      </c>
      <c r="K1921" s="618">
        <f t="shared" si="156"/>
        <v>823487</v>
      </c>
      <c r="L1921" s="52" t="s">
        <v>179</v>
      </c>
      <c r="M1921" s="52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909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75">
        <f t="shared" si="155"/>
        <v>40838</v>
      </c>
      <c r="D1922" s="48" t="s">
        <v>985</v>
      </c>
      <c r="E1922" s="37">
        <v>40838</v>
      </c>
      <c r="F1922" s="192" t="s">
        <v>1296</v>
      </c>
      <c r="G1922" s="502" t="s">
        <v>1264</v>
      </c>
      <c r="H1922" s="193" t="s">
        <v>756</v>
      </c>
      <c r="I1922" s="260">
        <v>300</v>
      </c>
      <c r="J1922" s="260">
        <v>9295.3048525121085</v>
      </c>
      <c r="K1922" s="618">
        <f t="shared" si="156"/>
        <v>2788591</v>
      </c>
      <c r="L1922" s="52" t="s">
        <v>179</v>
      </c>
      <c r="M1922" s="52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909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9">
        <f t="shared" si="154"/>
        <v>10</v>
      </c>
      <c r="C1923" s="191">
        <v>40839</v>
      </c>
      <c r="D1923" s="191" t="s">
        <v>988</v>
      </c>
      <c r="E1923" s="191">
        <v>40839</v>
      </c>
      <c r="F1923" s="192" t="s">
        <v>1265</v>
      </c>
      <c r="G1923" s="502" t="s">
        <v>1266</v>
      </c>
      <c r="H1923" s="7" t="s">
        <v>788</v>
      </c>
      <c r="I1923" s="260">
        <v>564</v>
      </c>
      <c r="J1923" s="260">
        <v>5080</v>
      </c>
      <c r="K1923" s="618">
        <v>2865120</v>
      </c>
      <c r="L1923" s="194" t="s">
        <v>274</v>
      </c>
      <c r="M1923" s="194" t="s">
        <v>181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909"/>
      <c r="AB1923" s="843"/>
      <c r="AC1923" s="843"/>
      <c r="AD1923" s="843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9">
        <f t="shared" si="154"/>
        <v>10</v>
      </c>
      <c r="C1924" s="191">
        <v>40839</v>
      </c>
      <c r="D1924" s="191" t="s">
        <v>988</v>
      </c>
      <c r="E1924" s="191">
        <v>40839</v>
      </c>
      <c r="F1924" s="192" t="s">
        <v>1267</v>
      </c>
      <c r="G1924" s="502" t="s">
        <v>1266</v>
      </c>
      <c r="H1924" s="7" t="s">
        <v>788</v>
      </c>
      <c r="I1924" s="260">
        <v>401</v>
      </c>
      <c r="J1924" s="260">
        <v>4980</v>
      </c>
      <c r="K1924" s="618">
        <v>1996980</v>
      </c>
      <c r="L1924" s="194" t="s">
        <v>274</v>
      </c>
      <c r="M1924" s="194" t="s">
        <v>181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909"/>
      <c r="AB1924" s="843"/>
      <c r="AC1924" s="843"/>
      <c r="AD1924" s="843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9">
        <f t="shared" si="154"/>
        <v>10</v>
      </c>
      <c r="C1925" s="191">
        <v>40839</v>
      </c>
      <c r="D1925" s="191" t="s">
        <v>988</v>
      </c>
      <c r="E1925" s="191">
        <v>40839</v>
      </c>
      <c r="F1925" s="192" t="s">
        <v>1268</v>
      </c>
      <c r="G1925" s="502" t="s">
        <v>1266</v>
      </c>
      <c r="H1925" s="7" t="s">
        <v>788</v>
      </c>
      <c r="I1925" s="260">
        <v>506</v>
      </c>
      <c r="J1925" s="260">
        <v>5180</v>
      </c>
      <c r="K1925" s="618">
        <v>2621080</v>
      </c>
      <c r="L1925" s="194" t="s">
        <v>274</v>
      </c>
      <c r="M1925" s="194" t="s">
        <v>181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909"/>
      <c r="AB1925" s="843"/>
      <c r="AC1925" s="843"/>
      <c r="AD1925" s="843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9">
        <f t="shared" si="154"/>
        <v>10</v>
      </c>
      <c r="C1926" s="191">
        <v>40839</v>
      </c>
      <c r="D1926" s="191" t="s">
        <v>988</v>
      </c>
      <c r="E1926" s="191">
        <v>40839</v>
      </c>
      <c r="F1926" s="192" t="s">
        <v>1269</v>
      </c>
      <c r="G1926" s="502" t="s">
        <v>1266</v>
      </c>
      <c r="H1926" s="7" t="s">
        <v>788</v>
      </c>
      <c r="I1926" s="260">
        <v>301</v>
      </c>
      <c r="J1926" s="260">
        <v>6740</v>
      </c>
      <c r="K1926" s="618">
        <v>2028740</v>
      </c>
      <c r="L1926" s="194" t="s">
        <v>274</v>
      </c>
      <c r="M1926" s="194" t="s">
        <v>181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909"/>
      <c r="AB1926" s="843"/>
      <c r="AC1926" s="843"/>
      <c r="AD1926" s="843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9">
        <f t="shared" si="154"/>
        <v>10</v>
      </c>
      <c r="C1927" s="191">
        <v>40839</v>
      </c>
      <c r="D1927" s="191" t="s">
        <v>988</v>
      </c>
      <c r="E1927" s="191">
        <v>40839</v>
      </c>
      <c r="F1927" s="192" t="s">
        <v>1270</v>
      </c>
      <c r="G1927" s="502" t="s">
        <v>1266</v>
      </c>
      <c r="H1927" s="7" t="s">
        <v>788</v>
      </c>
      <c r="I1927" s="260">
        <v>308</v>
      </c>
      <c r="J1927" s="260">
        <v>4980</v>
      </c>
      <c r="K1927" s="618">
        <v>1533840</v>
      </c>
      <c r="L1927" s="194" t="s">
        <v>274</v>
      </c>
      <c r="M1927" s="194" t="s">
        <v>181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909"/>
      <c r="AB1927" s="843"/>
      <c r="AC1927" s="843"/>
      <c r="AD1927" s="843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9">
        <f t="shared" si="154"/>
        <v>10</v>
      </c>
      <c r="C1928" s="191">
        <v>40839</v>
      </c>
      <c r="D1928" s="191" t="s">
        <v>988</v>
      </c>
      <c r="E1928" s="191">
        <v>40839</v>
      </c>
      <c r="F1928" s="192" t="s">
        <v>1271</v>
      </c>
      <c r="G1928" s="502" t="s">
        <v>1266</v>
      </c>
      <c r="H1928" s="7" t="s">
        <v>788</v>
      </c>
      <c r="I1928" s="260">
        <v>506</v>
      </c>
      <c r="J1928" s="260">
        <v>6680</v>
      </c>
      <c r="K1928" s="618">
        <v>3380080</v>
      </c>
      <c r="L1928" s="194" t="s">
        <v>274</v>
      </c>
      <c r="M1928" s="194" t="s">
        <v>181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909"/>
      <c r="AB1928" s="843"/>
      <c r="AC1928" s="843"/>
      <c r="AD1928" s="843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9">
        <f t="shared" si="154"/>
        <v>10</v>
      </c>
      <c r="C1929" s="191">
        <v>40839</v>
      </c>
      <c r="D1929" s="191" t="s">
        <v>988</v>
      </c>
      <c r="E1929" s="191">
        <v>40839</v>
      </c>
      <c r="F1929" s="192" t="s">
        <v>1272</v>
      </c>
      <c r="G1929" s="502" t="s">
        <v>1266</v>
      </c>
      <c r="H1929" s="7" t="s">
        <v>788</v>
      </c>
      <c r="I1929" s="260">
        <v>396</v>
      </c>
      <c r="J1929" s="260">
        <v>4400</v>
      </c>
      <c r="K1929" s="618">
        <v>1742400</v>
      </c>
      <c r="L1929" s="194" t="s">
        <v>274</v>
      </c>
      <c r="M1929" s="194" t="s">
        <v>181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909"/>
      <c r="AB1929" s="843"/>
      <c r="AC1929" s="843"/>
      <c r="AD1929" s="843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9">
        <f t="shared" si="154"/>
        <v>10</v>
      </c>
      <c r="C1930" s="191">
        <v>40839</v>
      </c>
      <c r="D1930" s="191" t="s">
        <v>988</v>
      </c>
      <c r="E1930" s="191">
        <v>40839</v>
      </c>
      <c r="F1930" s="192" t="s">
        <v>1273</v>
      </c>
      <c r="G1930" s="502" t="s">
        <v>1266</v>
      </c>
      <c r="H1930" s="7" t="s">
        <v>788</v>
      </c>
      <c r="I1930" s="260">
        <v>280</v>
      </c>
      <c r="J1930" s="260">
        <v>2700</v>
      </c>
      <c r="K1930" s="618">
        <v>756000</v>
      </c>
      <c r="L1930" s="194" t="s">
        <v>274</v>
      </c>
      <c r="M1930" s="194" t="s">
        <v>181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909"/>
      <c r="AB1930" s="843"/>
      <c r="AC1930" s="843"/>
      <c r="AD1930" s="843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9">
        <f t="shared" si="154"/>
        <v>10</v>
      </c>
      <c r="C1931" s="191">
        <v>40839</v>
      </c>
      <c r="D1931" s="191" t="s">
        <v>988</v>
      </c>
      <c r="E1931" s="191">
        <v>40839</v>
      </c>
      <c r="F1931" s="192" t="s">
        <v>1200</v>
      </c>
      <c r="G1931" s="502" t="s">
        <v>1266</v>
      </c>
      <c r="H1931" s="7" t="s">
        <v>788</v>
      </c>
      <c r="I1931" s="260"/>
      <c r="J1931" s="260"/>
      <c r="K1931" s="618">
        <f>1692424+1</f>
        <v>1692425</v>
      </c>
      <c r="L1931" s="194" t="s">
        <v>274</v>
      </c>
      <c r="M1931" s="194" t="s">
        <v>754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909"/>
      <c r="AB1931" s="843"/>
      <c r="AC1931" s="843"/>
      <c r="AD1931" s="843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9">
        <f t="shared" si="154"/>
        <v>10</v>
      </c>
      <c r="C1932" s="875">
        <f t="shared" ref="C1932:C1947" si="157">E1932</f>
        <v>40839</v>
      </c>
      <c r="D1932" s="48" t="s">
        <v>1144</v>
      </c>
      <c r="E1932" s="48">
        <v>40839</v>
      </c>
      <c r="F1932" s="882" t="s">
        <v>1265</v>
      </c>
      <c r="G1932" s="49"/>
      <c r="H1932" s="883" t="s">
        <v>1116</v>
      </c>
      <c r="I1932" s="258">
        <v>564</v>
      </c>
      <c r="J1932" s="258">
        <v>4226.8893915192002</v>
      </c>
      <c r="K1932" s="723">
        <f t="shared" ref="K1932:K1947" si="158">ROUND(I1932*J1932,0)</f>
        <v>2383966</v>
      </c>
      <c r="L1932" s="52" t="s">
        <v>169</v>
      </c>
      <c r="M1932" s="52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909"/>
      <c r="AB1932" s="843"/>
      <c r="AC1932" s="843"/>
      <c r="AD1932" s="843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9">
        <f t="shared" si="154"/>
        <v>10</v>
      </c>
      <c r="C1933" s="875">
        <f t="shared" si="157"/>
        <v>40839</v>
      </c>
      <c r="D1933" s="48" t="s">
        <v>1144</v>
      </c>
      <c r="E1933" s="48">
        <v>40839</v>
      </c>
      <c r="F1933" s="882" t="s">
        <v>1267</v>
      </c>
      <c r="G1933" s="49"/>
      <c r="H1933" s="883" t="s">
        <v>1116</v>
      </c>
      <c r="I1933" s="258">
        <v>401</v>
      </c>
      <c r="J1933" s="258">
        <v>4893.1191584140215</v>
      </c>
      <c r="K1933" s="723">
        <f t="shared" si="158"/>
        <v>1962141</v>
      </c>
      <c r="L1933" s="52" t="s">
        <v>169</v>
      </c>
      <c r="M1933" s="52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909"/>
      <c r="AB1933" s="843"/>
      <c r="AC1933" s="843"/>
      <c r="AD1933" s="843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9">
        <f t="shared" si="154"/>
        <v>10</v>
      </c>
      <c r="C1934" s="875">
        <f t="shared" si="157"/>
        <v>40839</v>
      </c>
      <c r="D1934" s="48" t="s">
        <v>1144</v>
      </c>
      <c r="E1934" s="48">
        <v>40839</v>
      </c>
      <c r="F1934" s="882" t="s">
        <v>1268</v>
      </c>
      <c r="G1934" s="49"/>
      <c r="H1934" s="883" t="s">
        <v>1116</v>
      </c>
      <c r="I1934" s="258">
        <v>506</v>
      </c>
      <c r="J1934" s="258">
        <v>4674.3955376240992</v>
      </c>
      <c r="K1934" s="723">
        <f t="shared" si="158"/>
        <v>2365244</v>
      </c>
      <c r="L1934" s="52" t="s">
        <v>169</v>
      </c>
      <c r="M1934" s="52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909"/>
      <c r="AB1934" s="843"/>
      <c r="AC1934" s="843"/>
      <c r="AD1934" s="843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9">
        <f t="shared" si="154"/>
        <v>10</v>
      </c>
      <c r="C1935" s="875">
        <f t="shared" si="157"/>
        <v>40839</v>
      </c>
      <c r="D1935" s="48" t="s">
        <v>1144</v>
      </c>
      <c r="E1935" s="48">
        <v>40839</v>
      </c>
      <c r="F1935" s="882" t="s">
        <v>1269</v>
      </c>
      <c r="G1935" s="49"/>
      <c r="H1935" s="883" t="s">
        <v>1116</v>
      </c>
      <c r="I1935" s="258">
        <v>301</v>
      </c>
      <c r="J1935" s="258">
        <v>6478.0397473072353</v>
      </c>
      <c r="K1935" s="723">
        <f t="shared" si="158"/>
        <v>1949890</v>
      </c>
      <c r="L1935" s="52" t="s">
        <v>169</v>
      </c>
      <c r="M1935" s="52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909"/>
      <c r="AB1935" s="843"/>
      <c r="AC1935" s="843"/>
      <c r="AD1935" s="843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9">
        <f t="shared" si="154"/>
        <v>10</v>
      </c>
      <c r="C1936" s="875">
        <f t="shared" si="157"/>
        <v>40839</v>
      </c>
      <c r="D1936" s="48" t="s">
        <v>1144</v>
      </c>
      <c r="E1936" s="48">
        <v>40839</v>
      </c>
      <c r="F1936" s="882" t="s">
        <v>1270</v>
      </c>
      <c r="G1936" s="49"/>
      <c r="H1936" s="883" t="s">
        <v>1116</v>
      </c>
      <c r="I1936" s="258">
        <v>308</v>
      </c>
      <c r="J1936" s="258">
        <v>3856.5049390921954</v>
      </c>
      <c r="K1936" s="723">
        <f t="shared" si="158"/>
        <v>1187804</v>
      </c>
      <c r="L1936" s="52" t="s">
        <v>169</v>
      </c>
      <c r="M1936" s="52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909"/>
      <c r="AB1936" s="843"/>
      <c r="AC1936" s="843"/>
      <c r="AD1936" s="843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9">
        <f t="shared" si="154"/>
        <v>10</v>
      </c>
      <c r="C1937" s="875">
        <f t="shared" si="157"/>
        <v>40839</v>
      </c>
      <c r="D1937" s="48" t="s">
        <v>1144</v>
      </c>
      <c r="E1937" s="48">
        <v>40839</v>
      </c>
      <c r="F1937" s="882" t="s">
        <v>1271</v>
      </c>
      <c r="G1937" s="49"/>
      <c r="H1937" s="883" t="s">
        <v>1116</v>
      </c>
      <c r="I1937" s="258">
        <v>506</v>
      </c>
      <c r="J1937" s="258">
        <v>5810.3797273474202</v>
      </c>
      <c r="K1937" s="723">
        <f t="shared" si="158"/>
        <v>2940052</v>
      </c>
      <c r="L1937" s="52" t="s">
        <v>169</v>
      </c>
      <c r="M1937" s="52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909"/>
      <c r="AB1937" s="843"/>
      <c r="AC1937" s="843"/>
      <c r="AD1937" s="843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9">
        <f t="shared" si="154"/>
        <v>10</v>
      </c>
      <c r="C1938" s="875">
        <f t="shared" si="157"/>
        <v>40839</v>
      </c>
      <c r="D1938" s="48" t="s">
        <v>1144</v>
      </c>
      <c r="E1938" s="48">
        <v>40839</v>
      </c>
      <c r="F1938" s="882" t="s">
        <v>1272</v>
      </c>
      <c r="G1938" s="49"/>
      <c r="H1938" s="883" t="s">
        <v>1116</v>
      </c>
      <c r="I1938" s="258">
        <v>396</v>
      </c>
      <c r="J1938" s="258">
        <v>4368.5536403908982</v>
      </c>
      <c r="K1938" s="723">
        <f t="shared" si="158"/>
        <v>1729947</v>
      </c>
      <c r="L1938" s="52" t="s">
        <v>169</v>
      </c>
      <c r="M1938" s="52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909"/>
      <c r="AB1938" s="843"/>
      <c r="AC1938" s="843"/>
      <c r="AD1938" s="843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9">
        <f t="shared" si="154"/>
        <v>10</v>
      </c>
      <c r="C1939" s="875">
        <f t="shared" si="157"/>
        <v>40839</v>
      </c>
      <c r="D1939" s="48" t="s">
        <v>1144</v>
      </c>
      <c r="E1939" s="48">
        <v>40839</v>
      </c>
      <c r="F1939" s="882" t="s">
        <v>1273</v>
      </c>
      <c r="G1939" s="49"/>
      <c r="H1939" s="883" t="s">
        <v>1116</v>
      </c>
      <c r="I1939" s="258">
        <v>280</v>
      </c>
      <c r="J1939" s="258">
        <v>2167.2546144168714</v>
      </c>
      <c r="K1939" s="723">
        <f t="shared" si="158"/>
        <v>606831</v>
      </c>
      <c r="L1939" s="52" t="s">
        <v>169</v>
      </c>
      <c r="M1939" s="52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909"/>
      <c r="AB1939" s="843"/>
      <c r="AC1939" s="843"/>
      <c r="AD1939" s="843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75">
        <f t="shared" si="157"/>
        <v>40839</v>
      </c>
      <c r="D1940" s="48" t="s">
        <v>988</v>
      </c>
      <c r="E1940" s="37">
        <v>40839</v>
      </c>
      <c r="F1940" s="192" t="s">
        <v>1265</v>
      </c>
      <c r="G1940" s="502" t="s">
        <v>1266</v>
      </c>
      <c r="H1940" s="7" t="s">
        <v>788</v>
      </c>
      <c r="I1940" s="260">
        <v>564</v>
      </c>
      <c r="J1940" s="260">
        <v>4226.8893915192002</v>
      </c>
      <c r="K1940" s="618">
        <f t="shared" si="158"/>
        <v>2383966</v>
      </c>
      <c r="L1940" s="52" t="s">
        <v>179</v>
      </c>
      <c r="M1940" s="52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909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75">
        <f t="shared" si="157"/>
        <v>40839</v>
      </c>
      <c r="D1941" s="48" t="s">
        <v>988</v>
      </c>
      <c r="E1941" s="37">
        <v>40839</v>
      </c>
      <c r="F1941" s="192" t="s">
        <v>1267</v>
      </c>
      <c r="G1941" s="502" t="s">
        <v>1266</v>
      </c>
      <c r="H1941" s="7" t="s">
        <v>788</v>
      </c>
      <c r="I1941" s="260">
        <v>401</v>
      </c>
      <c r="J1941" s="260">
        <v>4893.1191584140215</v>
      </c>
      <c r="K1941" s="618">
        <f t="shared" si="158"/>
        <v>1962141</v>
      </c>
      <c r="L1941" s="52" t="s">
        <v>179</v>
      </c>
      <c r="M1941" s="52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909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75">
        <f t="shared" si="157"/>
        <v>40839</v>
      </c>
      <c r="D1942" s="48" t="s">
        <v>988</v>
      </c>
      <c r="E1942" s="37">
        <v>40839</v>
      </c>
      <c r="F1942" s="192" t="s">
        <v>1268</v>
      </c>
      <c r="G1942" s="502" t="s">
        <v>1266</v>
      </c>
      <c r="H1942" s="7" t="s">
        <v>788</v>
      </c>
      <c r="I1942" s="260">
        <v>506</v>
      </c>
      <c r="J1942" s="260">
        <v>4674.3955376240992</v>
      </c>
      <c r="K1942" s="618">
        <f t="shared" si="158"/>
        <v>2365244</v>
      </c>
      <c r="L1942" s="52" t="s">
        <v>179</v>
      </c>
      <c r="M1942" s="52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909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75">
        <f t="shared" si="157"/>
        <v>40839</v>
      </c>
      <c r="D1943" s="48" t="s">
        <v>988</v>
      </c>
      <c r="E1943" s="37">
        <v>40839</v>
      </c>
      <c r="F1943" s="192" t="s">
        <v>1269</v>
      </c>
      <c r="G1943" s="502" t="s">
        <v>1266</v>
      </c>
      <c r="H1943" s="7" t="s">
        <v>788</v>
      </c>
      <c r="I1943" s="260">
        <v>301</v>
      </c>
      <c r="J1943" s="260">
        <v>6478.0397473072353</v>
      </c>
      <c r="K1943" s="618">
        <f t="shared" si="158"/>
        <v>1949890</v>
      </c>
      <c r="L1943" s="52" t="s">
        <v>179</v>
      </c>
      <c r="M1943" s="52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909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75">
        <f t="shared" si="157"/>
        <v>40839</v>
      </c>
      <c r="D1944" s="48" t="s">
        <v>988</v>
      </c>
      <c r="E1944" s="37">
        <v>40839</v>
      </c>
      <c r="F1944" s="192" t="s">
        <v>1270</v>
      </c>
      <c r="G1944" s="502" t="s">
        <v>1266</v>
      </c>
      <c r="H1944" s="7" t="s">
        <v>788</v>
      </c>
      <c r="I1944" s="260">
        <v>308</v>
      </c>
      <c r="J1944" s="260">
        <v>3856.5049390921954</v>
      </c>
      <c r="K1944" s="618">
        <f t="shared" si="158"/>
        <v>1187804</v>
      </c>
      <c r="L1944" s="52" t="s">
        <v>179</v>
      </c>
      <c r="M1944" s="52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909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75">
        <f t="shared" si="157"/>
        <v>40839</v>
      </c>
      <c r="D1945" s="48" t="s">
        <v>988</v>
      </c>
      <c r="E1945" s="37">
        <v>40839</v>
      </c>
      <c r="F1945" s="192" t="s">
        <v>1271</v>
      </c>
      <c r="G1945" s="502" t="s">
        <v>1266</v>
      </c>
      <c r="H1945" s="7" t="s">
        <v>788</v>
      </c>
      <c r="I1945" s="260">
        <v>506</v>
      </c>
      <c r="J1945" s="260">
        <v>5810.3797273474202</v>
      </c>
      <c r="K1945" s="618">
        <f t="shared" si="158"/>
        <v>2940052</v>
      </c>
      <c r="L1945" s="52" t="s">
        <v>179</v>
      </c>
      <c r="M1945" s="52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909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75">
        <f t="shared" si="157"/>
        <v>40839</v>
      </c>
      <c r="D1946" s="48" t="s">
        <v>988</v>
      </c>
      <c r="E1946" s="37">
        <v>40839</v>
      </c>
      <c r="F1946" s="192" t="s">
        <v>1272</v>
      </c>
      <c r="G1946" s="502" t="s">
        <v>1266</v>
      </c>
      <c r="H1946" s="7" t="s">
        <v>788</v>
      </c>
      <c r="I1946" s="260">
        <v>396</v>
      </c>
      <c r="J1946" s="260">
        <v>4368.5536403908982</v>
      </c>
      <c r="K1946" s="618">
        <f t="shared" si="158"/>
        <v>1729947</v>
      </c>
      <c r="L1946" s="52" t="s">
        <v>179</v>
      </c>
      <c r="M1946" s="52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909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75">
        <f t="shared" si="157"/>
        <v>40839</v>
      </c>
      <c r="D1947" s="48" t="s">
        <v>988</v>
      </c>
      <c r="E1947" s="37">
        <v>40839</v>
      </c>
      <c r="F1947" s="192" t="s">
        <v>1273</v>
      </c>
      <c r="G1947" s="502" t="s">
        <v>1266</v>
      </c>
      <c r="H1947" s="7" t="s">
        <v>788</v>
      </c>
      <c r="I1947" s="260">
        <v>280</v>
      </c>
      <c r="J1947" s="260">
        <v>2167.2546144168714</v>
      </c>
      <c r="K1947" s="618">
        <f t="shared" si="158"/>
        <v>606831</v>
      </c>
      <c r="L1947" s="52" t="s">
        <v>179</v>
      </c>
      <c r="M1947" s="52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909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9">
        <f t="shared" si="159"/>
        <v>10</v>
      </c>
      <c r="C1948" s="191">
        <v>40840</v>
      </c>
      <c r="D1948" s="191" t="s">
        <v>989</v>
      </c>
      <c r="E1948" s="191">
        <v>40840</v>
      </c>
      <c r="F1948" s="192" t="s">
        <v>1274</v>
      </c>
      <c r="G1948" s="502" t="s">
        <v>1275</v>
      </c>
      <c r="H1948" s="193" t="s">
        <v>758</v>
      </c>
      <c r="I1948" s="260">
        <v>165</v>
      </c>
      <c r="J1948" s="260">
        <v>25900</v>
      </c>
      <c r="K1948" s="618">
        <v>4273500</v>
      </c>
      <c r="L1948" s="194" t="s">
        <v>274</v>
      </c>
      <c r="M1948" s="194" t="s">
        <v>181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909"/>
      <c r="AB1948" s="843"/>
      <c r="AC1948" s="843"/>
      <c r="AD1948" s="843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9">
        <f t="shared" si="159"/>
        <v>10</v>
      </c>
      <c r="C1949" s="191">
        <v>40840</v>
      </c>
      <c r="D1949" s="191" t="s">
        <v>989</v>
      </c>
      <c r="E1949" s="191">
        <v>40840</v>
      </c>
      <c r="F1949" s="192" t="s">
        <v>1276</v>
      </c>
      <c r="G1949" s="502" t="s">
        <v>1275</v>
      </c>
      <c r="H1949" s="193" t="s">
        <v>758</v>
      </c>
      <c r="I1949" s="260">
        <v>571</v>
      </c>
      <c r="J1949" s="260">
        <v>21300</v>
      </c>
      <c r="K1949" s="618">
        <v>12162300</v>
      </c>
      <c r="L1949" s="194" t="s">
        <v>274</v>
      </c>
      <c r="M1949" s="194" t="s">
        <v>181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909"/>
      <c r="AB1949" s="843"/>
      <c r="AC1949" s="843"/>
      <c r="AD1949" s="843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9">
        <f t="shared" si="159"/>
        <v>10</v>
      </c>
      <c r="C1950" s="191">
        <v>40840</v>
      </c>
      <c r="D1950" s="191" t="s">
        <v>989</v>
      </c>
      <c r="E1950" s="191">
        <v>40840</v>
      </c>
      <c r="F1950" s="192" t="s">
        <v>1200</v>
      </c>
      <c r="G1950" s="502" t="s">
        <v>1275</v>
      </c>
      <c r="H1950" s="193" t="s">
        <v>758</v>
      </c>
      <c r="I1950" s="260"/>
      <c r="J1950" s="260"/>
      <c r="K1950" s="618">
        <f>1643580+2</f>
        <v>1643582</v>
      </c>
      <c r="L1950" s="194" t="s">
        <v>274</v>
      </c>
      <c r="M1950" s="194" t="s">
        <v>754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909"/>
      <c r="AB1950" s="843"/>
      <c r="AC1950" s="843"/>
      <c r="AD1950" s="843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9">
        <f t="shared" si="159"/>
        <v>10</v>
      </c>
      <c r="C1951" s="875">
        <f>E1951</f>
        <v>40840</v>
      </c>
      <c r="D1951" s="48" t="s">
        <v>1145</v>
      </c>
      <c r="E1951" s="48">
        <v>40840</v>
      </c>
      <c r="F1951" s="882" t="s">
        <v>1274</v>
      </c>
      <c r="G1951" s="49"/>
      <c r="H1951" s="883" t="s">
        <v>1116</v>
      </c>
      <c r="I1951" s="258">
        <v>165</v>
      </c>
      <c r="J1951" s="258">
        <v>20534.356670693927</v>
      </c>
      <c r="K1951" s="723">
        <f>ROUND(I1951*J1951,0)</f>
        <v>3388169</v>
      </c>
      <c r="L1951" s="52" t="s">
        <v>169</v>
      </c>
      <c r="M1951" s="52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909"/>
      <c r="AB1951" s="843"/>
      <c r="AC1951" s="843"/>
      <c r="AD1951" s="843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9">
        <f t="shared" si="159"/>
        <v>10</v>
      </c>
      <c r="C1952" s="875">
        <f>E1952</f>
        <v>40840</v>
      </c>
      <c r="D1952" s="48" t="s">
        <v>1145</v>
      </c>
      <c r="E1952" s="48">
        <v>40840</v>
      </c>
      <c r="F1952" s="882" t="s">
        <v>1276</v>
      </c>
      <c r="G1952" s="49"/>
      <c r="H1952" s="883" t="s">
        <v>1116</v>
      </c>
      <c r="I1952" s="258">
        <v>571</v>
      </c>
      <c r="J1952" s="258">
        <v>14778.765628927755</v>
      </c>
      <c r="K1952" s="723">
        <f>ROUND(I1952*J1952,0)</f>
        <v>8438675</v>
      </c>
      <c r="L1952" s="52" t="s">
        <v>169</v>
      </c>
      <c r="M1952" s="52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909"/>
      <c r="AB1952" s="843"/>
      <c r="AC1952" s="843"/>
      <c r="AD1952" s="843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75">
        <f>E1953</f>
        <v>40840</v>
      </c>
      <c r="D1953" s="48" t="s">
        <v>989</v>
      </c>
      <c r="E1953" s="37">
        <v>40840</v>
      </c>
      <c r="F1953" s="192" t="s">
        <v>1274</v>
      </c>
      <c r="G1953" s="502" t="s">
        <v>1275</v>
      </c>
      <c r="H1953" s="193" t="s">
        <v>758</v>
      </c>
      <c r="I1953" s="260">
        <v>165</v>
      </c>
      <c r="J1953" s="260">
        <v>20534.356670693927</v>
      </c>
      <c r="K1953" s="618">
        <f>ROUND(I1953*J1953,0)</f>
        <v>3388169</v>
      </c>
      <c r="L1953" s="52" t="s">
        <v>179</v>
      </c>
      <c r="M1953" s="52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909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75">
        <f>E1954</f>
        <v>40840</v>
      </c>
      <c r="D1954" s="48" t="s">
        <v>989</v>
      </c>
      <c r="E1954" s="37">
        <v>40840</v>
      </c>
      <c r="F1954" s="192" t="s">
        <v>1276</v>
      </c>
      <c r="G1954" s="502" t="s">
        <v>1275</v>
      </c>
      <c r="H1954" s="193" t="s">
        <v>758</v>
      </c>
      <c r="I1954" s="260">
        <v>571</v>
      </c>
      <c r="J1954" s="260">
        <v>14778.765628927755</v>
      </c>
      <c r="K1954" s="618">
        <f>ROUND(I1954*J1954,0)</f>
        <v>8438675</v>
      </c>
      <c r="L1954" s="52" t="s">
        <v>179</v>
      </c>
      <c r="M1954" s="52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909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356</v>
      </c>
      <c r="E1955" s="184">
        <v>40841</v>
      </c>
      <c r="F1955" s="189" t="s">
        <v>387</v>
      </c>
      <c r="G1955" s="620" t="s">
        <v>353</v>
      </c>
      <c r="H1955" s="7"/>
      <c r="I1955" s="260"/>
      <c r="J1955" s="260"/>
      <c r="K1955" s="618">
        <v>39804</v>
      </c>
      <c r="L1955" s="619" t="s">
        <v>24</v>
      </c>
      <c r="M1955" s="619" t="s">
        <v>40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909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356</v>
      </c>
      <c r="E1956" s="184">
        <v>40842</v>
      </c>
      <c r="F1956" s="189" t="s">
        <v>358</v>
      </c>
      <c r="G1956" s="620" t="s">
        <v>353</v>
      </c>
      <c r="H1956" s="7" t="s">
        <v>758</v>
      </c>
      <c r="I1956" s="260"/>
      <c r="J1956" s="260"/>
      <c r="K1956" s="618">
        <v>4900000</v>
      </c>
      <c r="L1956" s="619" t="s">
        <v>24</v>
      </c>
      <c r="M1956" s="619" t="s">
        <v>274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909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464</v>
      </c>
      <c r="E1957" s="191">
        <v>40845</v>
      </c>
      <c r="F1957" s="192" t="s">
        <v>1255</v>
      </c>
      <c r="G1957" s="502" t="s">
        <v>1256</v>
      </c>
      <c r="H1957" s="7" t="s">
        <v>394</v>
      </c>
      <c r="I1957" s="260"/>
      <c r="J1957" s="260"/>
      <c r="K1957" s="618">
        <v>2960000</v>
      </c>
      <c r="L1957" s="194" t="s">
        <v>167</v>
      </c>
      <c r="M1957" s="194" t="s">
        <v>47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909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464</v>
      </c>
      <c r="E1958" s="191">
        <v>40845</v>
      </c>
      <c r="F1958" s="192" t="s">
        <v>1189</v>
      </c>
      <c r="G1958" s="502" t="s">
        <v>1256</v>
      </c>
      <c r="H1958" s="7" t="s">
        <v>394</v>
      </c>
      <c r="I1958" s="260"/>
      <c r="J1958" s="260"/>
      <c r="K1958" s="38">
        <v>296000</v>
      </c>
      <c r="L1958" s="194" t="s">
        <v>9</v>
      </c>
      <c r="M1958" s="194" t="s">
        <v>47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909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7">
        <v>40847</v>
      </c>
      <c r="D1959" s="727" t="s">
        <v>360</v>
      </c>
      <c r="E1959" s="847">
        <v>40847</v>
      </c>
      <c r="F1959" s="728" t="s">
        <v>971</v>
      </c>
      <c r="G1959" s="729"/>
      <c r="H1959" s="632"/>
      <c r="I1959" s="498"/>
      <c r="J1959" s="498"/>
      <c r="K1959" s="730">
        <v>6700577</v>
      </c>
      <c r="L1959" s="731" t="s">
        <v>83</v>
      </c>
      <c r="M1959" s="731" t="s">
        <v>278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909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7">
        <v>40847</v>
      </c>
      <c r="D1960" s="727" t="s">
        <v>360</v>
      </c>
      <c r="E1960" s="847">
        <v>40847</v>
      </c>
      <c r="F1960" s="728" t="s">
        <v>809</v>
      </c>
      <c r="G1960" s="729"/>
      <c r="H1960" s="632"/>
      <c r="I1960" s="498"/>
      <c r="J1960" s="498"/>
      <c r="K1960" s="618">
        <v>6028846</v>
      </c>
      <c r="L1960" s="731" t="s">
        <v>167</v>
      </c>
      <c r="M1960" s="731" t="s">
        <v>278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909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7">
        <v>40847</v>
      </c>
      <c r="D1961" s="727" t="s">
        <v>465</v>
      </c>
      <c r="E1961" s="847">
        <v>40847</v>
      </c>
      <c r="F1961" s="728" t="s">
        <v>1242</v>
      </c>
      <c r="G1961" s="729"/>
      <c r="H1961" s="632" t="s">
        <v>386</v>
      </c>
      <c r="I1961" s="498"/>
      <c r="J1961" s="498"/>
      <c r="K1961" s="730">
        <v>12729423</v>
      </c>
      <c r="L1961" s="731" t="s">
        <v>278</v>
      </c>
      <c r="M1961" s="731" t="s">
        <v>47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909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718</v>
      </c>
      <c r="E1962" s="191">
        <v>40847</v>
      </c>
      <c r="F1962" s="189" t="s">
        <v>411</v>
      </c>
      <c r="G1962" s="502" t="s">
        <v>1257</v>
      </c>
      <c r="H1962" s="7" t="s">
        <v>414</v>
      </c>
      <c r="I1962" s="260">
        <v>100</v>
      </c>
      <c r="J1962" s="260">
        <v>25000</v>
      </c>
      <c r="K1962" s="618">
        <v>2500000</v>
      </c>
      <c r="L1962" s="194" t="s">
        <v>161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909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718</v>
      </c>
      <c r="E1963" s="191">
        <v>40847</v>
      </c>
      <c r="F1963" s="189" t="s">
        <v>412</v>
      </c>
      <c r="G1963" s="502" t="s">
        <v>1257</v>
      </c>
      <c r="H1963" s="7" t="s">
        <v>414</v>
      </c>
      <c r="I1963" s="260"/>
      <c r="J1963" s="260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909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680</v>
      </c>
      <c r="E1964" s="191">
        <v>40847</v>
      </c>
      <c r="F1964" s="192" t="s">
        <v>660</v>
      </c>
      <c r="G1964" s="502" t="s">
        <v>1257</v>
      </c>
      <c r="H1964" s="7" t="s">
        <v>414</v>
      </c>
      <c r="I1964" s="262"/>
      <c r="J1964" s="262"/>
      <c r="K1964" s="38">
        <v>2750000</v>
      </c>
      <c r="L1964" s="194" t="s">
        <v>8</v>
      </c>
      <c r="M1964" s="194" t="s">
        <v>47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909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1277</v>
      </c>
      <c r="E1965" s="802">
        <v>40847</v>
      </c>
      <c r="F1965" s="460" t="s">
        <v>411</v>
      </c>
      <c r="G1965" s="40"/>
      <c r="H1965" s="632" t="s">
        <v>1116</v>
      </c>
      <c r="I1965" s="260">
        <v>50</v>
      </c>
      <c r="J1965" s="260">
        <v>25000</v>
      </c>
      <c r="K1965" s="881">
        <f>ROUND(I1965*J1965,0)</f>
        <v>1250000</v>
      </c>
      <c r="L1965" s="39" t="s">
        <v>167</v>
      </c>
      <c r="M1965" s="39" t="s">
        <v>161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909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681</v>
      </c>
      <c r="E1966" s="191">
        <v>40848</v>
      </c>
      <c r="F1966" s="192" t="s">
        <v>1192</v>
      </c>
      <c r="G1966" s="502" t="s">
        <v>1297</v>
      </c>
      <c r="H1966" s="193" t="s">
        <v>1247</v>
      </c>
      <c r="I1966" s="260"/>
      <c r="J1966" s="260"/>
      <c r="K1966" s="38">
        <v>510000</v>
      </c>
      <c r="L1966" s="194" t="s">
        <v>277</v>
      </c>
      <c r="M1966" s="619" t="s">
        <v>47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909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990</v>
      </c>
      <c r="E1967" s="191">
        <v>40848</v>
      </c>
      <c r="F1967" s="192" t="s">
        <v>1230</v>
      </c>
      <c r="G1967" s="502" t="s">
        <v>1352</v>
      </c>
      <c r="H1967" s="210" t="s">
        <v>786</v>
      </c>
      <c r="I1967" s="260">
        <v>400</v>
      </c>
      <c r="J1967" s="260">
        <v>3100</v>
      </c>
      <c r="K1967" s="618">
        <v>1240000</v>
      </c>
      <c r="L1967" s="194" t="s">
        <v>274</v>
      </c>
      <c r="M1967" s="194" t="s">
        <v>181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909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990</v>
      </c>
      <c r="E1968" s="191">
        <v>40848</v>
      </c>
      <c r="F1968" s="192" t="s">
        <v>1200</v>
      </c>
      <c r="G1968" s="502" t="s">
        <v>1352</v>
      </c>
      <c r="H1968" s="210" t="s">
        <v>786</v>
      </c>
      <c r="I1968" s="260"/>
      <c r="J1968" s="260"/>
      <c r="K1968" s="618">
        <f>124000+1</f>
        <v>124001</v>
      </c>
      <c r="L1968" s="194" t="s">
        <v>274</v>
      </c>
      <c r="M1968" s="194" t="s">
        <v>754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909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456</v>
      </c>
      <c r="E1969" s="191">
        <v>40848</v>
      </c>
      <c r="F1969" s="192" t="s">
        <v>358</v>
      </c>
      <c r="G1969" s="502" t="s">
        <v>1352</v>
      </c>
      <c r="H1969" s="210" t="s">
        <v>786</v>
      </c>
      <c r="I1969" s="260"/>
      <c r="J1969" s="260"/>
      <c r="K1969" s="618">
        <v>1364001</v>
      </c>
      <c r="L1969" s="194" t="s">
        <v>47</v>
      </c>
      <c r="M1969" s="194" t="s">
        <v>274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909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75" t="s">
        <v>1123</v>
      </c>
      <c r="E1970" s="802">
        <v>40848</v>
      </c>
      <c r="F1970" s="189" t="s">
        <v>602</v>
      </c>
      <c r="G1970" s="40"/>
      <c r="H1970" s="632" t="s">
        <v>1116</v>
      </c>
      <c r="I1970" s="260">
        <v>80</v>
      </c>
      <c r="J1970" s="260">
        <v>7543</v>
      </c>
      <c r="K1970" s="618">
        <f t="shared" ref="K1970:K1979" si="161">ROUND(I1970*J1970,0)</f>
        <v>603440</v>
      </c>
      <c r="L1970" s="52" t="s">
        <v>167</v>
      </c>
      <c r="M1970" s="52" t="s">
        <v>159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909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75" t="s">
        <v>1123</v>
      </c>
      <c r="E1971" s="802">
        <v>40848</v>
      </c>
      <c r="F1971" s="40" t="s">
        <v>672</v>
      </c>
      <c r="G1971" s="40"/>
      <c r="H1971" s="632" t="s">
        <v>1116</v>
      </c>
      <c r="I1971" s="260">
        <v>75</v>
      </c>
      <c r="J1971" s="260">
        <v>16502</v>
      </c>
      <c r="K1971" s="618">
        <f t="shared" si="161"/>
        <v>1237650</v>
      </c>
      <c r="L1971" s="52" t="s">
        <v>167</v>
      </c>
      <c r="M1971" s="52" t="s">
        <v>159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909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75" t="s">
        <v>1123</v>
      </c>
      <c r="E1972" s="802">
        <v>40848</v>
      </c>
      <c r="F1972" s="189" t="s">
        <v>530</v>
      </c>
      <c r="G1972" s="40"/>
      <c r="H1972" s="632" t="s">
        <v>1116</v>
      </c>
      <c r="I1972" s="260">
        <v>33</v>
      </c>
      <c r="J1972" s="260">
        <v>8620</v>
      </c>
      <c r="K1972" s="618">
        <f t="shared" si="161"/>
        <v>284460</v>
      </c>
      <c r="L1972" s="52" t="s">
        <v>167</v>
      </c>
      <c r="M1972" s="52" t="s">
        <v>159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909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75" t="s">
        <v>1123</v>
      </c>
      <c r="E1973" s="802">
        <v>40848</v>
      </c>
      <c r="F1973" s="189" t="s">
        <v>601</v>
      </c>
      <c r="G1973" s="40"/>
      <c r="H1973" s="632" t="s">
        <v>1116</v>
      </c>
      <c r="I1973" s="260">
        <v>22</v>
      </c>
      <c r="J1973" s="260">
        <v>10344</v>
      </c>
      <c r="K1973" s="618">
        <f t="shared" si="161"/>
        <v>227568</v>
      </c>
      <c r="L1973" s="52" t="s">
        <v>167</v>
      </c>
      <c r="M1973" s="52" t="s">
        <v>159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909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75" t="s">
        <v>1123</v>
      </c>
      <c r="E1974" s="802">
        <v>40848</v>
      </c>
      <c r="F1974" s="189" t="s">
        <v>530</v>
      </c>
      <c r="G1974" s="40"/>
      <c r="H1974" s="632" t="s">
        <v>1116</v>
      </c>
      <c r="I1974" s="260">
        <v>44</v>
      </c>
      <c r="J1974" s="260">
        <v>8620</v>
      </c>
      <c r="K1974" s="618">
        <f t="shared" si="161"/>
        <v>379280</v>
      </c>
      <c r="L1974" s="52" t="s">
        <v>167</v>
      </c>
      <c r="M1974" s="52" t="s">
        <v>159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909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75" t="s">
        <v>1123</v>
      </c>
      <c r="E1975" s="802">
        <v>40848</v>
      </c>
      <c r="F1975" s="40" t="s">
        <v>665</v>
      </c>
      <c r="G1975" s="40"/>
      <c r="H1975" s="632" t="s">
        <v>1116</v>
      </c>
      <c r="I1975" s="260">
        <v>15.5</v>
      </c>
      <c r="J1975" s="260">
        <v>20278</v>
      </c>
      <c r="K1975" s="618">
        <f t="shared" si="161"/>
        <v>314309</v>
      </c>
      <c r="L1975" s="52" t="s">
        <v>167</v>
      </c>
      <c r="M1975" s="52" t="s">
        <v>159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909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75" t="s">
        <v>1123</v>
      </c>
      <c r="E1976" s="802">
        <v>40848</v>
      </c>
      <c r="F1976" s="40" t="s">
        <v>674</v>
      </c>
      <c r="G1976" s="40"/>
      <c r="H1976" s="632" t="s">
        <v>1116</v>
      </c>
      <c r="I1976" s="260">
        <v>32</v>
      </c>
      <c r="J1976" s="260">
        <v>14105</v>
      </c>
      <c r="K1976" s="618">
        <f t="shared" si="161"/>
        <v>451360</v>
      </c>
      <c r="L1976" s="52" t="s">
        <v>167</v>
      </c>
      <c r="M1976" s="52" t="s">
        <v>159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909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75" t="s">
        <v>1123</v>
      </c>
      <c r="E1977" s="802">
        <v>40848</v>
      </c>
      <c r="F1977" s="189" t="s">
        <v>576</v>
      </c>
      <c r="G1977" s="40"/>
      <c r="H1977" s="632" t="s">
        <v>1116</v>
      </c>
      <c r="I1977" s="260">
        <v>1</v>
      </c>
      <c r="J1977" s="260">
        <v>17368</v>
      </c>
      <c r="K1977" s="618">
        <f t="shared" si="161"/>
        <v>17368</v>
      </c>
      <c r="L1977" s="52" t="s">
        <v>167</v>
      </c>
      <c r="M1977" s="52" t="s">
        <v>159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909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9">
        <f t="shared" si="159"/>
        <v>11</v>
      </c>
      <c r="C1978" s="875">
        <f t="shared" si="160"/>
        <v>40848</v>
      </c>
      <c r="D1978" s="48" t="s">
        <v>1146</v>
      </c>
      <c r="E1978" s="910">
        <v>40848</v>
      </c>
      <c r="F1978" s="49" t="s">
        <v>1230</v>
      </c>
      <c r="G1978" s="49"/>
      <c r="H1978" s="883" t="s">
        <v>1116</v>
      </c>
      <c r="I1978" s="258">
        <v>400</v>
      </c>
      <c r="J1978" s="258">
        <v>2807.1056858454431</v>
      </c>
      <c r="K1978" s="723">
        <f t="shared" si="161"/>
        <v>1122842</v>
      </c>
      <c r="L1978" s="52" t="s">
        <v>169</v>
      </c>
      <c r="M1978" s="52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909"/>
      <c r="AB1978" s="843"/>
      <c r="AC1978" s="843"/>
      <c r="AD1978" s="843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990</v>
      </c>
      <c r="E1979" s="802">
        <v>40848</v>
      </c>
      <c r="F1979" s="192" t="s">
        <v>1230</v>
      </c>
      <c r="G1979" s="502" t="s">
        <v>1352</v>
      </c>
      <c r="H1979" s="210" t="s">
        <v>786</v>
      </c>
      <c r="I1979" s="260">
        <v>400</v>
      </c>
      <c r="J1979" s="260">
        <v>2807.1056858454431</v>
      </c>
      <c r="K1979" s="881">
        <f t="shared" si="161"/>
        <v>1122842</v>
      </c>
      <c r="L1979" s="869" t="s">
        <v>179</v>
      </c>
      <c r="M1979" s="86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909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682</v>
      </c>
      <c r="E1980" s="191">
        <v>40850</v>
      </c>
      <c r="F1980" s="192" t="s">
        <v>491</v>
      </c>
      <c r="G1980" s="499" t="s">
        <v>1298</v>
      </c>
      <c r="H1980" s="45" t="s">
        <v>493</v>
      </c>
      <c r="I1980" s="262"/>
      <c r="J1980" s="260"/>
      <c r="K1980" s="38">
        <v>803075</v>
      </c>
      <c r="L1980" s="194" t="s">
        <v>83</v>
      </c>
      <c r="M1980" s="619" t="s">
        <v>47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909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682</v>
      </c>
      <c r="E1981" s="191">
        <v>40850</v>
      </c>
      <c r="F1981" s="192" t="s">
        <v>494</v>
      </c>
      <c r="G1981" s="499" t="s">
        <v>1298</v>
      </c>
      <c r="H1981" s="45" t="s">
        <v>493</v>
      </c>
      <c r="I1981" s="262"/>
      <c r="J1981" s="260"/>
      <c r="K1981" s="38">
        <v>80308</v>
      </c>
      <c r="L1981" s="194" t="s">
        <v>9</v>
      </c>
      <c r="M1981" s="619" t="s">
        <v>47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909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75" t="s">
        <v>1124</v>
      </c>
      <c r="E1982" s="802">
        <v>40852</v>
      </c>
      <c r="F1982" s="189" t="s">
        <v>424</v>
      </c>
      <c r="G1982" s="40"/>
      <c r="H1982" s="632" t="s">
        <v>1116</v>
      </c>
      <c r="I1982" s="260">
        <v>10</v>
      </c>
      <c r="J1982" s="260">
        <v>36792</v>
      </c>
      <c r="K1982" s="618">
        <f t="shared" ref="K1982:K1999" si="163">ROUND(I1982*J1982,0)</f>
        <v>367920</v>
      </c>
      <c r="L1982" s="52" t="s">
        <v>167</v>
      </c>
      <c r="M1982" s="52" t="s">
        <v>159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909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75" t="s">
        <v>1124</v>
      </c>
      <c r="E1983" s="802">
        <v>40852</v>
      </c>
      <c r="F1983" s="189" t="s">
        <v>524</v>
      </c>
      <c r="G1983" s="40"/>
      <c r="H1983" s="632" t="s">
        <v>1116</v>
      </c>
      <c r="I1983" s="260">
        <v>5.5</v>
      </c>
      <c r="J1983" s="260">
        <v>13498</v>
      </c>
      <c r="K1983" s="618">
        <f t="shared" si="163"/>
        <v>74239</v>
      </c>
      <c r="L1983" s="52" t="s">
        <v>167</v>
      </c>
      <c r="M1983" s="52" t="s">
        <v>159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909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75" t="s">
        <v>1124</v>
      </c>
      <c r="E1984" s="802">
        <v>40852</v>
      </c>
      <c r="F1984" s="40" t="s">
        <v>672</v>
      </c>
      <c r="G1984" s="40"/>
      <c r="H1984" s="632" t="s">
        <v>1116</v>
      </c>
      <c r="I1984" s="260">
        <v>143</v>
      </c>
      <c r="J1984" s="260">
        <v>16502</v>
      </c>
      <c r="K1984" s="618">
        <f t="shared" si="163"/>
        <v>2359786</v>
      </c>
      <c r="L1984" s="52" t="s">
        <v>167</v>
      </c>
      <c r="M1984" s="52" t="s">
        <v>159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909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75" t="s">
        <v>1124</v>
      </c>
      <c r="E1985" s="802">
        <v>40852</v>
      </c>
      <c r="F1985" s="40" t="s">
        <v>634</v>
      </c>
      <c r="G1985" s="40"/>
      <c r="H1985" s="632" t="s">
        <v>1116</v>
      </c>
      <c r="I1985" s="260">
        <v>1.5</v>
      </c>
      <c r="J1985" s="260">
        <v>18396</v>
      </c>
      <c r="K1985" s="618">
        <f t="shared" si="163"/>
        <v>27594</v>
      </c>
      <c r="L1985" s="52" t="s">
        <v>167</v>
      </c>
      <c r="M1985" s="52" t="s">
        <v>159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909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75" t="s">
        <v>1124</v>
      </c>
      <c r="E1986" s="802">
        <v>40852</v>
      </c>
      <c r="F1986" s="460" t="s">
        <v>666</v>
      </c>
      <c r="G1986" s="40"/>
      <c r="H1986" s="632" t="s">
        <v>1116</v>
      </c>
      <c r="I1986" s="260">
        <v>19</v>
      </c>
      <c r="J1986" s="260">
        <v>25631</v>
      </c>
      <c r="K1986" s="618">
        <f t="shared" si="163"/>
        <v>486989</v>
      </c>
      <c r="L1986" s="52" t="s">
        <v>167</v>
      </c>
      <c r="M1986" s="52" t="s">
        <v>159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909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75" t="s">
        <v>1124</v>
      </c>
      <c r="E1987" s="802">
        <v>40852</v>
      </c>
      <c r="F1987" s="189" t="s">
        <v>572</v>
      </c>
      <c r="G1987" s="40"/>
      <c r="H1987" s="632" t="s">
        <v>1116</v>
      </c>
      <c r="I1987" s="260">
        <v>35</v>
      </c>
      <c r="J1987" s="260">
        <v>13954</v>
      </c>
      <c r="K1987" s="618">
        <f t="shared" si="163"/>
        <v>488390</v>
      </c>
      <c r="L1987" s="52" t="s">
        <v>167</v>
      </c>
      <c r="M1987" s="52" t="s">
        <v>159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909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75" t="s">
        <v>1124</v>
      </c>
      <c r="E1988" s="802">
        <v>40852</v>
      </c>
      <c r="F1988" s="40" t="s">
        <v>666</v>
      </c>
      <c r="G1988" s="40"/>
      <c r="H1988" s="632" t="s">
        <v>1116</v>
      </c>
      <c r="I1988" s="260">
        <v>22</v>
      </c>
      <c r="J1988" s="260">
        <v>25631</v>
      </c>
      <c r="K1988" s="618">
        <f t="shared" si="163"/>
        <v>563882</v>
      </c>
      <c r="L1988" s="52" t="s">
        <v>167</v>
      </c>
      <c r="M1988" s="52" t="s">
        <v>159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909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75" t="s">
        <v>1124</v>
      </c>
      <c r="E1989" s="802">
        <v>40852</v>
      </c>
      <c r="F1989" s="189" t="s">
        <v>542</v>
      </c>
      <c r="G1989" s="40"/>
      <c r="H1989" s="632" t="s">
        <v>1116</v>
      </c>
      <c r="I1989" s="260">
        <v>16</v>
      </c>
      <c r="J1989" s="260">
        <v>10603</v>
      </c>
      <c r="K1989" s="618">
        <f t="shared" si="163"/>
        <v>169648</v>
      </c>
      <c r="L1989" s="52" t="s">
        <v>167</v>
      </c>
      <c r="M1989" s="52" t="s">
        <v>159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909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75" t="s">
        <v>1124</v>
      </c>
      <c r="E1990" s="802">
        <v>40852</v>
      </c>
      <c r="F1990" s="40" t="s">
        <v>647</v>
      </c>
      <c r="G1990" s="40"/>
      <c r="H1990" s="632" t="s">
        <v>1116</v>
      </c>
      <c r="I1990" s="260">
        <v>1</v>
      </c>
      <c r="J1990" s="260">
        <v>23688</v>
      </c>
      <c r="K1990" s="618">
        <f t="shared" si="163"/>
        <v>23688</v>
      </c>
      <c r="L1990" s="52" t="s">
        <v>167</v>
      </c>
      <c r="M1990" s="52" t="s">
        <v>159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909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75" t="s">
        <v>1125</v>
      </c>
      <c r="E1991" s="802">
        <v>40853</v>
      </c>
      <c r="F1991" s="40" t="s">
        <v>650</v>
      </c>
      <c r="G1991" s="40"/>
      <c r="H1991" s="632" t="s">
        <v>1116</v>
      </c>
      <c r="I1991" s="260">
        <v>10</v>
      </c>
      <c r="J1991" s="260">
        <v>16703</v>
      </c>
      <c r="K1991" s="618">
        <f t="shared" si="163"/>
        <v>167030</v>
      </c>
      <c r="L1991" s="52" t="s">
        <v>167</v>
      </c>
      <c r="M1991" s="52" t="s">
        <v>159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909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75" t="s">
        <v>1125</v>
      </c>
      <c r="E1992" s="802">
        <v>40853</v>
      </c>
      <c r="F1992" s="189" t="s">
        <v>576</v>
      </c>
      <c r="G1992" s="40"/>
      <c r="H1992" s="632" t="s">
        <v>1116</v>
      </c>
      <c r="I1992" s="260">
        <v>94</v>
      </c>
      <c r="J1992" s="260">
        <v>17368</v>
      </c>
      <c r="K1992" s="618">
        <f t="shared" si="163"/>
        <v>1632592</v>
      </c>
      <c r="L1992" s="52" t="s">
        <v>167</v>
      </c>
      <c r="M1992" s="52" t="s">
        <v>159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909"/>
    </row>
    <row r="1993" spans="1:30" s="843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75" t="s">
        <v>1125</v>
      </c>
      <c r="E1993" s="802">
        <v>40853</v>
      </c>
      <c r="F1993" s="40" t="s">
        <v>665</v>
      </c>
      <c r="G1993" s="40"/>
      <c r="H1993" s="632" t="s">
        <v>1116</v>
      </c>
      <c r="I1993" s="260">
        <v>58</v>
      </c>
      <c r="J1993" s="260">
        <v>20278</v>
      </c>
      <c r="K1993" s="618">
        <f t="shared" si="163"/>
        <v>1176124</v>
      </c>
      <c r="L1993" s="52" t="s">
        <v>167</v>
      </c>
      <c r="M1993" s="52" t="s">
        <v>159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909"/>
      <c r="AB1993" s="198"/>
      <c r="AC1993" s="198"/>
      <c r="AD1993" s="198"/>
    </row>
    <row r="1994" spans="1:30" s="843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75" t="s">
        <v>1125</v>
      </c>
      <c r="E1994" s="802">
        <v>40853</v>
      </c>
      <c r="F1994" s="189" t="s">
        <v>530</v>
      </c>
      <c r="G1994" s="40"/>
      <c r="H1994" s="632" t="s">
        <v>1116</v>
      </c>
      <c r="I1994" s="260">
        <v>4</v>
      </c>
      <c r="J1994" s="260">
        <v>8620</v>
      </c>
      <c r="K1994" s="618">
        <f t="shared" si="163"/>
        <v>34480</v>
      </c>
      <c r="L1994" s="52" t="s">
        <v>167</v>
      </c>
      <c r="M1994" s="52" t="s">
        <v>159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909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75" t="s">
        <v>1125</v>
      </c>
      <c r="E1995" s="802">
        <v>40853</v>
      </c>
      <c r="F1995" s="189" t="s">
        <v>530</v>
      </c>
      <c r="G1995" s="40"/>
      <c r="H1995" s="632" t="s">
        <v>1116</v>
      </c>
      <c r="I1995" s="260">
        <v>1</v>
      </c>
      <c r="J1995" s="260">
        <v>8620</v>
      </c>
      <c r="K1995" s="618">
        <f t="shared" si="163"/>
        <v>8620</v>
      </c>
      <c r="L1995" s="52" t="s">
        <v>167</v>
      </c>
      <c r="M1995" s="52" t="s">
        <v>159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909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75" t="s">
        <v>1125</v>
      </c>
      <c r="E1996" s="802">
        <v>40853</v>
      </c>
      <c r="F1996" s="189" t="s">
        <v>661</v>
      </c>
      <c r="G1996" s="40"/>
      <c r="H1996" s="632" t="s">
        <v>1116</v>
      </c>
      <c r="I1996" s="260">
        <v>2.5</v>
      </c>
      <c r="J1996" s="260">
        <v>24595</v>
      </c>
      <c r="K1996" s="618">
        <f t="shared" si="163"/>
        <v>61488</v>
      </c>
      <c r="L1996" s="52" t="s">
        <v>167</v>
      </c>
      <c r="M1996" s="52" t="s">
        <v>159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909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75" t="s">
        <v>1125</v>
      </c>
      <c r="E1997" s="802">
        <v>40853</v>
      </c>
      <c r="F1997" s="40" t="s">
        <v>665</v>
      </c>
      <c r="G1997" s="40"/>
      <c r="H1997" s="632" t="s">
        <v>1116</v>
      </c>
      <c r="I1997" s="260">
        <v>40</v>
      </c>
      <c r="J1997" s="260">
        <v>20278</v>
      </c>
      <c r="K1997" s="618">
        <f t="shared" si="163"/>
        <v>811120</v>
      </c>
      <c r="L1997" s="52" t="s">
        <v>167</v>
      </c>
      <c r="M1997" s="52" t="s">
        <v>159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909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75" t="s">
        <v>1125</v>
      </c>
      <c r="E1998" s="802">
        <v>40853</v>
      </c>
      <c r="F1998" s="189" t="s">
        <v>576</v>
      </c>
      <c r="G1998" s="40"/>
      <c r="H1998" s="632" t="s">
        <v>1116</v>
      </c>
      <c r="I1998" s="260">
        <v>4</v>
      </c>
      <c r="J1998" s="260">
        <v>17368</v>
      </c>
      <c r="K1998" s="618">
        <f t="shared" si="163"/>
        <v>69472</v>
      </c>
      <c r="L1998" s="52" t="s">
        <v>167</v>
      </c>
      <c r="M1998" s="52" t="s">
        <v>159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909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75" t="s">
        <v>1125</v>
      </c>
      <c r="E1999" s="802">
        <v>40853</v>
      </c>
      <c r="F1999" s="189" t="s">
        <v>565</v>
      </c>
      <c r="G1999" s="40"/>
      <c r="H1999" s="632" t="s">
        <v>1116</v>
      </c>
      <c r="I1999" s="260">
        <v>1.5</v>
      </c>
      <c r="J1999" s="260">
        <v>19638</v>
      </c>
      <c r="K1999" s="618">
        <f t="shared" si="163"/>
        <v>29457</v>
      </c>
      <c r="L1999" s="52" t="s">
        <v>167</v>
      </c>
      <c r="M1999" s="52" t="s">
        <v>159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909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356</v>
      </c>
      <c r="E2000" s="184">
        <v>40854</v>
      </c>
      <c r="F2000" s="189" t="s">
        <v>358</v>
      </c>
      <c r="G2000" s="620" t="s">
        <v>353</v>
      </c>
      <c r="H2000" s="7" t="s">
        <v>788</v>
      </c>
      <c r="I2000" s="260"/>
      <c r="J2000" s="260"/>
      <c r="K2000" s="618">
        <v>18616664</v>
      </c>
      <c r="L2000" s="619" t="s">
        <v>24</v>
      </c>
      <c r="M2000" s="619" t="s">
        <v>274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909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356</v>
      </c>
      <c r="E2001" s="184">
        <v>40854</v>
      </c>
      <c r="F2001" s="189" t="s">
        <v>358</v>
      </c>
      <c r="G2001" s="620" t="s">
        <v>353</v>
      </c>
      <c r="H2001" s="193" t="s">
        <v>756</v>
      </c>
      <c r="I2001" s="260"/>
      <c r="J2001" s="260"/>
      <c r="K2001" s="618">
        <v>219757311</v>
      </c>
      <c r="L2001" s="619" t="s">
        <v>24</v>
      </c>
      <c r="M2001" s="619" t="s">
        <v>274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909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991</v>
      </c>
      <c r="E2002" s="191">
        <v>40855</v>
      </c>
      <c r="F2002" s="192" t="s">
        <v>1289</v>
      </c>
      <c r="G2002" s="502" t="s">
        <v>1312</v>
      </c>
      <c r="H2002" s="193" t="s">
        <v>756</v>
      </c>
      <c r="I2002" s="260">
        <v>150</v>
      </c>
      <c r="J2002" s="260">
        <v>10397</v>
      </c>
      <c r="K2002" s="618">
        <v>1559550</v>
      </c>
      <c r="L2002" s="194" t="s">
        <v>274</v>
      </c>
      <c r="M2002" s="194" t="s">
        <v>181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909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991</v>
      </c>
      <c r="E2003" s="191">
        <v>40855</v>
      </c>
      <c r="F2003" s="192" t="s">
        <v>1290</v>
      </c>
      <c r="G2003" s="502" t="s">
        <v>1312</v>
      </c>
      <c r="H2003" s="193" t="s">
        <v>756</v>
      </c>
      <c r="I2003" s="260">
        <v>33</v>
      </c>
      <c r="J2003" s="260">
        <v>12869</v>
      </c>
      <c r="K2003" s="618">
        <v>424677</v>
      </c>
      <c r="L2003" s="194" t="s">
        <v>274</v>
      </c>
      <c r="M2003" s="194" t="s">
        <v>181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909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991</v>
      </c>
      <c r="E2004" s="191">
        <v>40855</v>
      </c>
      <c r="F2004" s="192" t="s">
        <v>1283</v>
      </c>
      <c r="G2004" s="502" t="s">
        <v>1312</v>
      </c>
      <c r="H2004" s="193" t="s">
        <v>756</v>
      </c>
      <c r="I2004" s="260">
        <v>22</v>
      </c>
      <c r="J2004" s="260">
        <v>14450</v>
      </c>
      <c r="K2004" s="618">
        <v>317900</v>
      </c>
      <c r="L2004" s="194" t="s">
        <v>274</v>
      </c>
      <c r="M2004" s="194" t="s">
        <v>181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909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991</v>
      </c>
      <c r="E2005" s="191">
        <v>40855</v>
      </c>
      <c r="F2005" s="192" t="s">
        <v>1282</v>
      </c>
      <c r="G2005" s="502" t="s">
        <v>1312</v>
      </c>
      <c r="H2005" s="193" t="s">
        <v>756</v>
      </c>
      <c r="I2005" s="260">
        <v>44</v>
      </c>
      <c r="J2005" s="260">
        <v>11420</v>
      </c>
      <c r="K2005" s="618">
        <v>502480</v>
      </c>
      <c r="L2005" s="194" t="s">
        <v>274</v>
      </c>
      <c r="M2005" s="194" t="s">
        <v>181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909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991</v>
      </c>
      <c r="E2006" s="191">
        <v>40855</v>
      </c>
      <c r="F2006" s="192" t="s">
        <v>1284</v>
      </c>
      <c r="G2006" s="502" t="s">
        <v>1312</v>
      </c>
      <c r="H2006" s="193" t="s">
        <v>756</v>
      </c>
      <c r="I2006" s="260">
        <v>31</v>
      </c>
      <c r="J2006" s="260">
        <v>13881</v>
      </c>
      <c r="K2006" s="618">
        <v>430311</v>
      </c>
      <c r="L2006" s="194" t="s">
        <v>274</v>
      </c>
      <c r="M2006" s="194" t="s">
        <v>181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909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991</v>
      </c>
      <c r="E2007" s="191">
        <v>40855</v>
      </c>
      <c r="F2007" s="192" t="s">
        <v>1288</v>
      </c>
      <c r="G2007" s="502" t="s">
        <v>1312</v>
      </c>
      <c r="H2007" s="193" t="s">
        <v>756</v>
      </c>
      <c r="I2007" s="260">
        <v>32</v>
      </c>
      <c r="J2007" s="260">
        <v>17372</v>
      </c>
      <c r="K2007" s="618">
        <v>555904</v>
      </c>
      <c r="L2007" s="194" t="s">
        <v>274</v>
      </c>
      <c r="M2007" s="194" t="s">
        <v>181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909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991</v>
      </c>
      <c r="E2008" s="191">
        <v>40855</v>
      </c>
      <c r="F2008" s="192" t="s">
        <v>1285</v>
      </c>
      <c r="G2008" s="502" t="s">
        <v>1312</v>
      </c>
      <c r="H2008" s="193" t="s">
        <v>756</v>
      </c>
      <c r="I2008" s="260">
        <v>1</v>
      </c>
      <c r="J2008" s="260">
        <v>20981</v>
      </c>
      <c r="K2008" s="618">
        <v>20981</v>
      </c>
      <c r="L2008" s="194" t="s">
        <v>274</v>
      </c>
      <c r="M2008" s="194" t="s">
        <v>181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909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991</v>
      </c>
      <c r="E2009" s="191">
        <v>40855</v>
      </c>
      <c r="F2009" s="192" t="s">
        <v>1291</v>
      </c>
      <c r="G2009" s="502" t="s">
        <v>1312</v>
      </c>
      <c r="H2009" s="193" t="s">
        <v>756</v>
      </c>
      <c r="I2009" s="260">
        <v>27</v>
      </c>
      <c r="J2009" s="260">
        <v>16832</v>
      </c>
      <c r="K2009" s="618">
        <v>454464</v>
      </c>
      <c r="L2009" s="194" t="s">
        <v>274</v>
      </c>
      <c r="M2009" s="194" t="s">
        <v>181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909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991</v>
      </c>
      <c r="E2010" s="191">
        <v>40855</v>
      </c>
      <c r="F2010" s="192" t="s">
        <v>771</v>
      </c>
      <c r="G2010" s="502" t="s">
        <v>1312</v>
      </c>
      <c r="H2010" s="193" t="s">
        <v>756</v>
      </c>
      <c r="I2010" s="260">
        <v>11</v>
      </c>
      <c r="J2010" s="260">
        <v>10253</v>
      </c>
      <c r="K2010" s="618">
        <v>112783</v>
      </c>
      <c r="L2010" s="194" t="s">
        <v>274</v>
      </c>
      <c r="M2010" s="194" t="s">
        <v>181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909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991</v>
      </c>
      <c r="E2011" s="191">
        <v>40855</v>
      </c>
      <c r="F2011" s="192" t="s">
        <v>769</v>
      </c>
      <c r="G2011" s="502" t="s">
        <v>1312</v>
      </c>
      <c r="H2011" s="193" t="s">
        <v>756</v>
      </c>
      <c r="I2011" s="260">
        <v>285</v>
      </c>
      <c r="J2011" s="260">
        <v>10595</v>
      </c>
      <c r="K2011" s="618">
        <v>3019575</v>
      </c>
      <c r="L2011" s="194" t="s">
        <v>274</v>
      </c>
      <c r="M2011" s="194" t="s">
        <v>181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909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991</v>
      </c>
      <c r="E2012" s="191">
        <v>40855</v>
      </c>
      <c r="F2012" s="192" t="s">
        <v>778</v>
      </c>
      <c r="G2012" s="502" t="s">
        <v>1312</v>
      </c>
      <c r="H2012" s="193" t="s">
        <v>756</v>
      </c>
      <c r="I2012" s="260">
        <v>3</v>
      </c>
      <c r="J2012" s="260">
        <v>12179</v>
      </c>
      <c r="K2012" s="618">
        <v>36537</v>
      </c>
      <c r="L2012" s="194" t="s">
        <v>274</v>
      </c>
      <c r="M2012" s="194" t="s">
        <v>181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909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991</v>
      </c>
      <c r="E2013" s="191">
        <v>40855</v>
      </c>
      <c r="F2013" s="192" t="s">
        <v>773</v>
      </c>
      <c r="G2013" s="502" t="s">
        <v>1312</v>
      </c>
      <c r="H2013" s="193" t="s">
        <v>756</v>
      </c>
      <c r="I2013" s="260">
        <v>37</v>
      </c>
      <c r="J2013" s="260">
        <v>15618</v>
      </c>
      <c r="K2013" s="618">
        <v>577866</v>
      </c>
      <c r="L2013" s="194" t="s">
        <v>274</v>
      </c>
      <c r="M2013" s="194" t="s">
        <v>181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909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991</v>
      </c>
      <c r="E2014" s="191">
        <v>40855</v>
      </c>
      <c r="F2014" s="192" t="s">
        <v>1286</v>
      </c>
      <c r="G2014" s="502" t="s">
        <v>1312</v>
      </c>
      <c r="H2014" s="193" t="s">
        <v>756</v>
      </c>
      <c r="I2014" s="260">
        <v>35</v>
      </c>
      <c r="J2014" s="260">
        <v>16534</v>
      </c>
      <c r="K2014" s="618">
        <v>578690</v>
      </c>
      <c r="L2014" s="194" t="s">
        <v>274</v>
      </c>
      <c r="M2014" s="194" t="s">
        <v>181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909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991</v>
      </c>
      <c r="E2015" s="191">
        <v>40855</v>
      </c>
      <c r="F2015" s="192" t="s">
        <v>1278</v>
      </c>
      <c r="G2015" s="502" t="s">
        <v>1312</v>
      </c>
      <c r="H2015" s="193" t="s">
        <v>756</v>
      </c>
      <c r="I2015" s="260">
        <v>44</v>
      </c>
      <c r="J2015" s="260">
        <v>14880</v>
      </c>
      <c r="K2015" s="618">
        <v>654720</v>
      </c>
      <c r="L2015" s="194" t="s">
        <v>274</v>
      </c>
      <c r="M2015" s="194" t="s">
        <v>181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909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991</v>
      </c>
      <c r="E2016" s="191">
        <v>40855</v>
      </c>
      <c r="F2016" s="192" t="s">
        <v>1313</v>
      </c>
      <c r="G2016" s="502" t="s">
        <v>1312</v>
      </c>
      <c r="H2016" s="193" t="s">
        <v>756</v>
      </c>
      <c r="I2016" s="260">
        <v>16</v>
      </c>
      <c r="J2016" s="260">
        <v>12847</v>
      </c>
      <c r="K2016" s="618">
        <v>205552</v>
      </c>
      <c r="L2016" s="194" t="s">
        <v>274</v>
      </c>
      <c r="M2016" s="194" t="s">
        <v>181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909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991</v>
      </c>
      <c r="E2017" s="191">
        <v>40855</v>
      </c>
      <c r="F2017" s="192" t="s">
        <v>1287</v>
      </c>
      <c r="G2017" s="502" t="s">
        <v>1312</v>
      </c>
      <c r="H2017" s="193" t="s">
        <v>756</v>
      </c>
      <c r="I2017" s="260">
        <v>2</v>
      </c>
      <c r="J2017" s="260">
        <v>15669</v>
      </c>
      <c r="K2017" s="618">
        <v>31338</v>
      </c>
      <c r="L2017" s="194" t="s">
        <v>274</v>
      </c>
      <c r="M2017" s="194" t="s">
        <v>181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909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991</v>
      </c>
      <c r="E2018" s="191">
        <v>40855</v>
      </c>
      <c r="F2018" s="192" t="s">
        <v>1200</v>
      </c>
      <c r="G2018" s="502" t="s">
        <v>1312</v>
      </c>
      <c r="H2018" s="193" t="s">
        <v>756</v>
      </c>
      <c r="I2018" s="260"/>
      <c r="J2018" s="260"/>
      <c r="K2018" s="618">
        <f>948333+2</f>
        <v>948335</v>
      </c>
      <c r="L2018" s="194" t="s">
        <v>274</v>
      </c>
      <c r="M2018" s="194" t="s">
        <v>754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909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9">
        <f t="shared" si="164"/>
        <v>11</v>
      </c>
      <c r="C2019" s="875">
        <f t="shared" ref="C2019:C2059" si="165">E2019</f>
        <v>40855</v>
      </c>
      <c r="D2019" s="48" t="s">
        <v>1147</v>
      </c>
      <c r="E2019" s="910">
        <v>40855</v>
      </c>
      <c r="F2019" s="885" t="s">
        <v>1289</v>
      </c>
      <c r="G2019" s="49"/>
      <c r="H2019" s="883" t="s">
        <v>1116</v>
      </c>
      <c r="I2019" s="258">
        <v>150</v>
      </c>
      <c r="J2019" s="258">
        <v>9549.5015191787752</v>
      </c>
      <c r="K2019" s="723">
        <f t="shared" ref="K2019:K2059" si="166">ROUND(I2019*J2019,0)</f>
        <v>1432425</v>
      </c>
      <c r="L2019" s="52" t="s">
        <v>169</v>
      </c>
      <c r="M2019" s="52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909"/>
      <c r="AB2019" s="843"/>
      <c r="AC2019" s="843"/>
      <c r="AD2019" s="843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9">
        <f t="shared" si="164"/>
        <v>11</v>
      </c>
      <c r="C2020" s="875">
        <f t="shared" si="165"/>
        <v>40855</v>
      </c>
      <c r="D2020" s="48" t="s">
        <v>1147</v>
      </c>
      <c r="E2020" s="910">
        <v>40855</v>
      </c>
      <c r="F2020" s="49" t="s">
        <v>1290</v>
      </c>
      <c r="G2020" s="49"/>
      <c r="H2020" s="883" t="s">
        <v>1116</v>
      </c>
      <c r="I2020" s="258">
        <v>33</v>
      </c>
      <c r="J2020" s="258">
        <v>9918.4778828151411</v>
      </c>
      <c r="K2020" s="723">
        <f t="shared" si="166"/>
        <v>327310</v>
      </c>
      <c r="L2020" s="52" t="s">
        <v>169</v>
      </c>
      <c r="M2020" s="52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909"/>
      <c r="AB2020" s="843"/>
      <c r="AC2020" s="843"/>
      <c r="AD2020" s="843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9">
        <f t="shared" si="164"/>
        <v>11</v>
      </c>
      <c r="C2021" s="875">
        <f t="shared" si="165"/>
        <v>40855</v>
      </c>
      <c r="D2021" s="48" t="s">
        <v>1147</v>
      </c>
      <c r="E2021" s="910">
        <v>40855</v>
      </c>
      <c r="F2021" s="49" t="s">
        <v>1283</v>
      </c>
      <c r="G2021" s="49"/>
      <c r="H2021" s="883" t="s">
        <v>1116</v>
      </c>
      <c r="I2021" s="258">
        <v>22</v>
      </c>
      <c r="J2021" s="258">
        <v>11642.462731299987</v>
      </c>
      <c r="K2021" s="723">
        <f t="shared" si="166"/>
        <v>256134</v>
      </c>
      <c r="L2021" s="52" t="s">
        <v>169</v>
      </c>
      <c r="M2021" s="52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909"/>
      <c r="AB2021" s="843"/>
      <c r="AC2021" s="843"/>
      <c r="AD2021" s="843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9">
        <f t="shared" si="164"/>
        <v>11</v>
      </c>
      <c r="C2022" s="875">
        <f t="shared" si="165"/>
        <v>40855</v>
      </c>
      <c r="D2022" s="48" t="s">
        <v>1147</v>
      </c>
      <c r="E2022" s="910">
        <v>40855</v>
      </c>
      <c r="F2022" s="49" t="s">
        <v>1282</v>
      </c>
      <c r="G2022" s="49"/>
      <c r="H2022" s="883" t="s">
        <v>1116</v>
      </c>
      <c r="I2022" s="258">
        <v>44</v>
      </c>
      <c r="J2022" s="258">
        <v>9918.4854585727135</v>
      </c>
      <c r="K2022" s="723">
        <f t="shared" si="166"/>
        <v>436413</v>
      </c>
      <c r="L2022" s="52" t="s">
        <v>169</v>
      </c>
      <c r="M2022" s="52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909"/>
      <c r="AB2022" s="843"/>
      <c r="AC2022" s="843"/>
      <c r="AD2022" s="843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9">
        <f t="shared" si="164"/>
        <v>11</v>
      </c>
      <c r="C2023" s="875">
        <f t="shared" si="165"/>
        <v>40855</v>
      </c>
      <c r="D2023" s="48" t="s">
        <v>1147</v>
      </c>
      <c r="E2023" s="910">
        <v>40855</v>
      </c>
      <c r="F2023" s="49" t="s">
        <v>1284</v>
      </c>
      <c r="G2023" s="49"/>
      <c r="H2023" s="883" t="s">
        <v>1116</v>
      </c>
      <c r="I2023" s="258">
        <v>31</v>
      </c>
      <c r="J2023" s="258">
        <v>11437.475927780924</v>
      </c>
      <c r="K2023" s="723">
        <f t="shared" si="166"/>
        <v>354562</v>
      </c>
      <c r="L2023" s="52" t="s">
        <v>169</v>
      </c>
      <c r="M2023" s="52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909"/>
      <c r="AB2023" s="843"/>
      <c r="AC2023" s="843"/>
      <c r="AD2023" s="843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9">
        <f t="shared" si="164"/>
        <v>11</v>
      </c>
      <c r="C2024" s="875">
        <f t="shared" si="165"/>
        <v>40855</v>
      </c>
      <c r="D2024" s="48" t="s">
        <v>1147</v>
      </c>
      <c r="E2024" s="910">
        <v>40855</v>
      </c>
      <c r="F2024" s="49" t="s">
        <v>1288</v>
      </c>
      <c r="G2024" s="49"/>
      <c r="H2024" s="883" t="s">
        <v>1116</v>
      </c>
      <c r="I2024" s="258">
        <v>32</v>
      </c>
      <c r="J2024" s="258">
        <v>15403.476935845443</v>
      </c>
      <c r="K2024" s="723">
        <f t="shared" si="166"/>
        <v>492911</v>
      </c>
      <c r="L2024" s="52" t="s">
        <v>169</v>
      </c>
      <c r="M2024" s="52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909"/>
      <c r="AB2024" s="843"/>
      <c r="AC2024" s="843"/>
      <c r="AD2024" s="843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9">
        <f t="shared" si="164"/>
        <v>11</v>
      </c>
      <c r="C2025" s="875">
        <f t="shared" si="165"/>
        <v>40855</v>
      </c>
      <c r="D2025" s="48" t="s">
        <v>1147</v>
      </c>
      <c r="E2025" s="910">
        <v>40855</v>
      </c>
      <c r="F2025" s="49" t="s">
        <v>1285</v>
      </c>
      <c r="G2025" s="49"/>
      <c r="H2025" s="883" t="s">
        <v>1116</v>
      </c>
      <c r="I2025" s="258">
        <v>1</v>
      </c>
      <c r="J2025" s="258">
        <v>18665.508185845447</v>
      </c>
      <c r="K2025" s="723">
        <f t="shared" si="166"/>
        <v>18666</v>
      </c>
      <c r="L2025" s="52" t="s">
        <v>169</v>
      </c>
      <c r="M2025" s="52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909"/>
      <c r="AB2025" s="843"/>
      <c r="AC2025" s="843"/>
      <c r="AD2025" s="843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9">
        <f t="shared" si="164"/>
        <v>11</v>
      </c>
      <c r="C2026" s="875">
        <f t="shared" si="165"/>
        <v>40855</v>
      </c>
      <c r="D2026" s="48" t="s">
        <v>1147</v>
      </c>
      <c r="E2026" s="910">
        <v>40855</v>
      </c>
      <c r="F2026" s="49" t="s">
        <v>1291</v>
      </c>
      <c r="G2026" s="49"/>
      <c r="H2026" s="883" t="s">
        <v>1116</v>
      </c>
      <c r="I2026" s="258">
        <v>27</v>
      </c>
      <c r="J2026" s="258">
        <v>14925.137815475071</v>
      </c>
      <c r="K2026" s="723">
        <f t="shared" si="166"/>
        <v>402979</v>
      </c>
      <c r="L2026" s="52" t="s">
        <v>169</v>
      </c>
      <c r="M2026" s="52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909"/>
      <c r="AB2026" s="843"/>
      <c r="AC2026" s="843"/>
      <c r="AD2026" s="843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9">
        <f t="shared" si="164"/>
        <v>11</v>
      </c>
      <c r="C2027" s="875">
        <f t="shared" si="165"/>
        <v>40855</v>
      </c>
      <c r="D2027" s="48" t="s">
        <v>1147</v>
      </c>
      <c r="E2027" s="910">
        <v>40855</v>
      </c>
      <c r="F2027" s="49" t="s">
        <v>771</v>
      </c>
      <c r="G2027" s="49"/>
      <c r="H2027" s="883" t="s">
        <v>1116</v>
      </c>
      <c r="I2027" s="258">
        <v>11</v>
      </c>
      <c r="J2027" s="258">
        <v>8047.4172767545324</v>
      </c>
      <c r="K2027" s="723">
        <f t="shared" si="166"/>
        <v>88522</v>
      </c>
      <c r="L2027" s="52" t="s">
        <v>169</v>
      </c>
      <c r="M2027" s="52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909"/>
      <c r="AB2027" s="843"/>
      <c r="AC2027" s="843"/>
      <c r="AD2027" s="843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9">
        <f t="shared" si="164"/>
        <v>11</v>
      </c>
      <c r="C2028" s="875">
        <f t="shared" si="165"/>
        <v>40855</v>
      </c>
      <c r="D2028" s="48" t="s">
        <v>1148</v>
      </c>
      <c r="E2028" s="910">
        <v>40855</v>
      </c>
      <c r="F2028" s="49" t="s">
        <v>769</v>
      </c>
      <c r="G2028" s="49"/>
      <c r="H2028" s="883" t="s">
        <v>1116</v>
      </c>
      <c r="I2028" s="258">
        <v>285</v>
      </c>
      <c r="J2028" s="258">
        <v>9578.4555542664966</v>
      </c>
      <c r="K2028" s="723">
        <f t="shared" si="166"/>
        <v>2729860</v>
      </c>
      <c r="L2028" s="52" t="s">
        <v>169</v>
      </c>
      <c r="M2028" s="52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909"/>
      <c r="AB2028" s="843"/>
      <c r="AC2028" s="843"/>
      <c r="AD2028" s="843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9">
        <f t="shared" si="164"/>
        <v>11</v>
      </c>
      <c r="C2029" s="875">
        <f t="shared" si="165"/>
        <v>40855</v>
      </c>
      <c r="D2029" s="48" t="s">
        <v>1148</v>
      </c>
      <c r="E2029" s="910">
        <v>40855</v>
      </c>
      <c r="F2029" s="49" t="s">
        <v>778</v>
      </c>
      <c r="G2029" s="49"/>
      <c r="H2029" s="883" t="s">
        <v>1116</v>
      </c>
      <c r="I2029" s="258">
        <v>3</v>
      </c>
      <c r="J2029" s="258">
        <v>10496.174852512109</v>
      </c>
      <c r="K2029" s="723">
        <f t="shared" si="166"/>
        <v>31489</v>
      </c>
      <c r="L2029" s="52" t="s">
        <v>169</v>
      </c>
      <c r="M2029" s="52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909"/>
      <c r="AB2029" s="843"/>
      <c r="AC2029" s="843"/>
      <c r="AD2029" s="843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9">
        <f t="shared" si="164"/>
        <v>11</v>
      </c>
      <c r="C2030" s="875">
        <f t="shared" si="165"/>
        <v>40855</v>
      </c>
      <c r="D2030" s="48" t="s">
        <v>1148</v>
      </c>
      <c r="E2030" s="910">
        <v>40855</v>
      </c>
      <c r="F2030" s="49" t="s">
        <v>773</v>
      </c>
      <c r="G2030" s="49"/>
      <c r="H2030" s="883" t="s">
        <v>1116</v>
      </c>
      <c r="I2030" s="258">
        <v>37</v>
      </c>
      <c r="J2030" s="258">
        <v>14460.34602368328</v>
      </c>
      <c r="K2030" s="723">
        <f t="shared" si="166"/>
        <v>535033</v>
      </c>
      <c r="L2030" s="52" t="s">
        <v>169</v>
      </c>
      <c r="M2030" s="52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909"/>
      <c r="AB2030" s="843"/>
      <c r="AC2030" s="843"/>
      <c r="AD2030" s="843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9">
        <f t="shared" si="164"/>
        <v>11</v>
      </c>
      <c r="C2031" s="875">
        <f t="shared" si="165"/>
        <v>40855</v>
      </c>
      <c r="D2031" s="48" t="s">
        <v>1148</v>
      </c>
      <c r="E2031" s="910">
        <v>40855</v>
      </c>
      <c r="F2031" s="49" t="s">
        <v>1286</v>
      </c>
      <c r="G2031" s="49"/>
      <c r="H2031" s="883" t="s">
        <v>1116</v>
      </c>
      <c r="I2031" s="258">
        <v>35</v>
      </c>
      <c r="J2031" s="258">
        <v>15252.479614416872</v>
      </c>
      <c r="K2031" s="723">
        <f t="shared" si="166"/>
        <v>533837</v>
      </c>
      <c r="L2031" s="52" t="s">
        <v>169</v>
      </c>
      <c r="M2031" s="52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909"/>
      <c r="AB2031" s="843"/>
      <c r="AC2031" s="843"/>
      <c r="AD2031" s="843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9">
        <f t="shared" si="164"/>
        <v>11</v>
      </c>
      <c r="C2032" s="875">
        <f t="shared" si="165"/>
        <v>40855</v>
      </c>
      <c r="D2032" s="48" t="s">
        <v>1148</v>
      </c>
      <c r="E2032" s="910">
        <v>40855</v>
      </c>
      <c r="F2032" s="49" t="s">
        <v>1278</v>
      </c>
      <c r="G2032" s="49"/>
      <c r="H2032" s="883" t="s">
        <v>1116</v>
      </c>
      <c r="I2032" s="258">
        <v>44</v>
      </c>
      <c r="J2032" s="258">
        <v>14113.985458572715</v>
      </c>
      <c r="K2032" s="723">
        <f t="shared" si="166"/>
        <v>621015</v>
      </c>
      <c r="L2032" s="52" t="s">
        <v>169</v>
      </c>
      <c r="M2032" s="52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909"/>
      <c r="AB2032" s="843"/>
      <c r="AC2032" s="843"/>
      <c r="AD2032" s="843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9">
        <f t="shared" si="164"/>
        <v>11</v>
      </c>
      <c r="C2033" s="875">
        <f t="shared" si="165"/>
        <v>40855</v>
      </c>
      <c r="D2033" s="48" t="s">
        <v>1148</v>
      </c>
      <c r="E2033" s="910">
        <v>40855</v>
      </c>
      <c r="F2033" s="49" t="s">
        <v>1313</v>
      </c>
      <c r="G2033" s="49"/>
      <c r="H2033" s="883" t="s">
        <v>1116</v>
      </c>
      <c r="I2033" s="258">
        <v>16</v>
      </c>
      <c r="J2033" s="258">
        <v>11901.445685845443</v>
      </c>
      <c r="K2033" s="723">
        <f t="shared" si="166"/>
        <v>190423</v>
      </c>
      <c r="L2033" s="52" t="s">
        <v>169</v>
      </c>
      <c r="M2033" s="52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909"/>
      <c r="AB2033" s="843"/>
      <c r="AC2033" s="843"/>
      <c r="AD2033" s="843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9">
        <f t="shared" si="164"/>
        <v>11</v>
      </c>
      <c r="C2034" s="875">
        <f t="shared" si="165"/>
        <v>40855</v>
      </c>
      <c r="D2034" s="48" t="s">
        <v>1148</v>
      </c>
      <c r="E2034" s="910">
        <v>40855</v>
      </c>
      <c r="F2034" s="49" t="s">
        <v>1287</v>
      </c>
      <c r="G2034" s="49"/>
      <c r="H2034" s="883" t="s">
        <v>1116</v>
      </c>
      <c r="I2034" s="258">
        <v>2</v>
      </c>
      <c r="J2034" s="258">
        <v>13142.008185845443</v>
      </c>
      <c r="K2034" s="723">
        <f t="shared" si="166"/>
        <v>26284</v>
      </c>
      <c r="L2034" s="52" t="s">
        <v>169</v>
      </c>
      <c r="M2034" s="52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909"/>
      <c r="AB2034" s="843"/>
      <c r="AC2034" s="843"/>
      <c r="AD2034" s="843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991</v>
      </c>
      <c r="E2035" s="802">
        <v>40855</v>
      </c>
      <c r="F2035" s="192" t="s">
        <v>1289</v>
      </c>
      <c r="G2035" s="502" t="s">
        <v>1312</v>
      </c>
      <c r="H2035" s="193" t="s">
        <v>756</v>
      </c>
      <c r="I2035" s="260">
        <v>150</v>
      </c>
      <c r="J2035" s="260">
        <v>9549.5015191787752</v>
      </c>
      <c r="K2035" s="881">
        <f t="shared" si="166"/>
        <v>1432425</v>
      </c>
      <c r="L2035" s="869" t="s">
        <v>179</v>
      </c>
      <c r="M2035" s="86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909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991</v>
      </c>
      <c r="E2036" s="802">
        <v>40855</v>
      </c>
      <c r="F2036" s="192" t="s">
        <v>1290</v>
      </c>
      <c r="G2036" s="502" t="s">
        <v>1312</v>
      </c>
      <c r="H2036" s="193" t="s">
        <v>756</v>
      </c>
      <c r="I2036" s="260">
        <v>33</v>
      </c>
      <c r="J2036" s="260">
        <v>9918.4778828151411</v>
      </c>
      <c r="K2036" s="881">
        <f t="shared" si="166"/>
        <v>327310</v>
      </c>
      <c r="L2036" s="869" t="s">
        <v>179</v>
      </c>
      <c r="M2036" s="86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909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991</v>
      </c>
      <c r="E2037" s="802">
        <v>40855</v>
      </c>
      <c r="F2037" s="192" t="s">
        <v>1283</v>
      </c>
      <c r="G2037" s="502" t="s">
        <v>1312</v>
      </c>
      <c r="H2037" s="193" t="s">
        <v>756</v>
      </c>
      <c r="I2037" s="260">
        <v>22</v>
      </c>
      <c r="J2037" s="260">
        <v>11642.462731299987</v>
      </c>
      <c r="K2037" s="881">
        <f t="shared" si="166"/>
        <v>256134</v>
      </c>
      <c r="L2037" s="869" t="s">
        <v>179</v>
      </c>
      <c r="M2037" s="86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909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991</v>
      </c>
      <c r="E2038" s="802">
        <v>40855</v>
      </c>
      <c r="F2038" s="192" t="s">
        <v>1282</v>
      </c>
      <c r="G2038" s="502" t="s">
        <v>1312</v>
      </c>
      <c r="H2038" s="193" t="s">
        <v>756</v>
      </c>
      <c r="I2038" s="260">
        <v>44</v>
      </c>
      <c r="J2038" s="260">
        <v>9918.4854585727135</v>
      </c>
      <c r="K2038" s="881">
        <f t="shared" si="166"/>
        <v>436413</v>
      </c>
      <c r="L2038" s="869" t="s">
        <v>179</v>
      </c>
      <c r="M2038" s="86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909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991</v>
      </c>
      <c r="E2039" s="802">
        <v>40855</v>
      </c>
      <c r="F2039" s="192" t="s">
        <v>1284</v>
      </c>
      <c r="G2039" s="502" t="s">
        <v>1312</v>
      </c>
      <c r="H2039" s="193" t="s">
        <v>756</v>
      </c>
      <c r="I2039" s="260">
        <v>31</v>
      </c>
      <c r="J2039" s="260">
        <v>11437.475927780924</v>
      </c>
      <c r="K2039" s="881">
        <f t="shared" si="166"/>
        <v>354562</v>
      </c>
      <c r="L2039" s="869" t="s">
        <v>179</v>
      </c>
      <c r="M2039" s="86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909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991</v>
      </c>
      <c r="E2040" s="802">
        <v>40855</v>
      </c>
      <c r="F2040" s="192" t="s">
        <v>1288</v>
      </c>
      <c r="G2040" s="502" t="s">
        <v>1312</v>
      </c>
      <c r="H2040" s="193" t="s">
        <v>756</v>
      </c>
      <c r="I2040" s="260">
        <v>32</v>
      </c>
      <c r="J2040" s="260">
        <v>15403.476935845443</v>
      </c>
      <c r="K2040" s="881">
        <f t="shared" si="166"/>
        <v>492911</v>
      </c>
      <c r="L2040" s="869" t="s">
        <v>179</v>
      </c>
      <c r="M2040" s="86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909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991</v>
      </c>
      <c r="E2041" s="802">
        <v>40855</v>
      </c>
      <c r="F2041" s="192" t="s">
        <v>1285</v>
      </c>
      <c r="G2041" s="502" t="s">
        <v>1312</v>
      </c>
      <c r="H2041" s="193" t="s">
        <v>756</v>
      </c>
      <c r="I2041" s="260">
        <v>1</v>
      </c>
      <c r="J2041" s="260">
        <v>18665.508185845447</v>
      </c>
      <c r="K2041" s="881">
        <f t="shared" si="166"/>
        <v>18666</v>
      </c>
      <c r="L2041" s="869" t="s">
        <v>179</v>
      </c>
      <c r="M2041" s="86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909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991</v>
      </c>
      <c r="E2042" s="802">
        <v>40855</v>
      </c>
      <c r="F2042" s="192" t="s">
        <v>1291</v>
      </c>
      <c r="G2042" s="502" t="s">
        <v>1312</v>
      </c>
      <c r="H2042" s="193" t="s">
        <v>756</v>
      </c>
      <c r="I2042" s="260">
        <v>27</v>
      </c>
      <c r="J2042" s="260">
        <v>14925.137815475071</v>
      </c>
      <c r="K2042" s="881">
        <f t="shared" si="166"/>
        <v>402979</v>
      </c>
      <c r="L2042" s="869" t="s">
        <v>179</v>
      </c>
      <c r="M2042" s="86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909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991</v>
      </c>
      <c r="E2043" s="802">
        <v>40855</v>
      </c>
      <c r="F2043" s="192" t="s">
        <v>771</v>
      </c>
      <c r="G2043" s="502" t="s">
        <v>1312</v>
      </c>
      <c r="H2043" s="193" t="s">
        <v>756</v>
      </c>
      <c r="I2043" s="260">
        <v>11</v>
      </c>
      <c r="J2043" s="260">
        <v>8047.4172767545324</v>
      </c>
      <c r="K2043" s="881">
        <f t="shared" si="166"/>
        <v>88522</v>
      </c>
      <c r="L2043" s="869" t="s">
        <v>179</v>
      </c>
      <c r="M2043" s="86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909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991</v>
      </c>
      <c r="E2044" s="802">
        <v>40855</v>
      </c>
      <c r="F2044" s="192" t="s">
        <v>769</v>
      </c>
      <c r="G2044" s="502" t="s">
        <v>1312</v>
      </c>
      <c r="H2044" s="193" t="s">
        <v>756</v>
      </c>
      <c r="I2044" s="260">
        <v>285</v>
      </c>
      <c r="J2044" s="260">
        <v>9578.4555542664966</v>
      </c>
      <c r="K2044" s="881">
        <f t="shared" si="166"/>
        <v>2729860</v>
      </c>
      <c r="L2044" s="869" t="s">
        <v>179</v>
      </c>
      <c r="M2044" s="86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909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991</v>
      </c>
      <c r="E2045" s="802">
        <v>40855</v>
      </c>
      <c r="F2045" s="192" t="s">
        <v>778</v>
      </c>
      <c r="G2045" s="502" t="s">
        <v>1312</v>
      </c>
      <c r="H2045" s="193" t="s">
        <v>756</v>
      </c>
      <c r="I2045" s="260">
        <v>3</v>
      </c>
      <c r="J2045" s="260">
        <v>10496.174852512109</v>
      </c>
      <c r="K2045" s="881">
        <f t="shared" si="166"/>
        <v>31489</v>
      </c>
      <c r="L2045" s="869" t="s">
        <v>179</v>
      </c>
      <c r="M2045" s="86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909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991</v>
      </c>
      <c r="E2046" s="802">
        <v>40855</v>
      </c>
      <c r="F2046" s="192" t="s">
        <v>773</v>
      </c>
      <c r="G2046" s="502" t="s">
        <v>1312</v>
      </c>
      <c r="H2046" s="193" t="s">
        <v>756</v>
      </c>
      <c r="I2046" s="260">
        <v>37</v>
      </c>
      <c r="J2046" s="260">
        <v>14460.34602368328</v>
      </c>
      <c r="K2046" s="881">
        <f t="shared" si="166"/>
        <v>535033</v>
      </c>
      <c r="L2046" s="869" t="s">
        <v>179</v>
      </c>
      <c r="M2046" s="86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909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991</v>
      </c>
      <c r="E2047" s="802">
        <v>40855</v>
      </c>
      <c r="F2047" s="192" t="s">
        <v>1286</v>
      </c>
      <c r="G2047" s="502" t="s">
        <v>1312</v>
      </c>
      <c r="H2047" s="193" t="s">
        <v>756</v>
      </c>
      <c r="I2047" s="260">
        <v>35</v>
      </c>
      <c r="J2047" s="260">
        <v>15252.479614416872</v>
      </c>
      <c r="K2047" s="881">
        <f t="shared" si="166"/>
        <v>533837</v>
      </c>
      <c r="L2047" s="869" t="s">
        <v>179</v>
      </c>
      <c r="M2047" s="86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909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991</v>
      </c>
      <c r="E2048" s="802">
        <v>40855</v>
      </c>
      <c r="F2048" s="192" t="s">
        <v>1278</v>
      </c>
      <c r="G2048" s="502" t="s">
        <v>1312</v>
      </c>
      <c r="H2048" s="193" t="s">
        <v>756</v>
      </c>
      <c r="I2048" s="260">
        <v>44</v>
      </c>
      <c r="J2048" s="260">
        <v>14113.985458572715</v>
      </c>
      <c r="K2048" s="881">
        <f t="shared" si="166"/>
        <v>621015</v>
      </c>
      <c r="L2048" s="869" t="s">
        <v>179</v>
      </c>
      <c r="M2048" s="86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909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991</v>
      </c>
      <c r="E2049" s="802">
        <v>40855</v>
      </c>
      <c r="F2049" s="192" t="s">
        <v>1313</v>
      </c>
      <c r="G2049" s="502" t="s">
        <v>1312</v>
      </c>
      <c r="H2049" s="193" t="s">
        <v>756</v>
      </c>
      <c r="I2049" s="260">
        <v>16</v>
      </c>
      <c r="J2049" s="260">
        <v>11901.445685845443</v>
      </c>
      <c r="K2049" s="881">
        <f t="shared" si="166"/>
        <v>190423</v>
      </c>
      <c r="L2049" s="869" t="s">
        <v>179</v>
      </c>
      <c r="M2049" s="86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909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991</v>
      </c>
      <c r="E2050" s="802">
        <v>40855</v>
      </c>
      <c r="F2050" s="192" t="s">
        <v>1287</v>
      </c>
      <c r="G2050" s="502" t="s">
        <v>1312</v>
      </c>
      <c r="H2050" s="193" t="s">
        <v>756</v>
      </c>
      <c r="I2050" s="260">
        <v>2</v>
      </c>
      <c r="J2050" s="260">
        <v>13142.008185845443</v>
      </c>
      <c r="K2050" s="881">
        <f t="shared" si="166"/>
        <v>26284</v>
      </c>
      <c r="L2050" s="869" t="s">
        <v>179</v>
      </c>
      <c r="M2050" s="86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909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75" t="s">
        <v>1126</v>
      </c>
      <c r="E2051" s="802">
        <v>40856</v>
      </c>
      <c r="F2051" s="189" t="s">
        <v>576</v>
      </c>
      <c r="G2051" s="40"/>
      <c r="H2051" s="632" t="s">
        <v>1116</v>
      </c>
      <c r="I2051" s="260">
        <v>4</v>
      </c>
      <c r="J2051" s="260">
        <v>17368</v>
      </c>
      <c r="K2051" s="618">
        <f t="shared" si="166"/>
        <v>69472</v>
      </c>
      <c r="L2051" s="52" t="s">
        <v>167</v>
      </c>
      <c r="M2051" s="52" t="s">
        <v>159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909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75" t="s">
        <v>1126</v>
      </c>
      <c r="E2052" s="802">
        <v>40856</v>
      </c>
      <c r="F2052" s="40" t="s">
        <v>634</v>
      </c>
      <c r="G2052" s="40"/>
      <c r="H2052" s="632" t="s">
        <v>1116</v>
      </c>
      <c r="I2052" s="260">
        <v>1.5</v>
      </c>
      <c r="J2052" s="260">
        <v>18396</v>
      </c>
      <c r="K2052" s="618">
        <f t="shared" si="166"/>
        <v>27594</v>
      </c>
      <c r="L2052" s="52" t="s">
        <v>167</v>
      </c>
      <c r="M2052" s="52" t="s">
        <v>159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909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75" t="s">
        <v>1126</v>
      </c>
      <c r="E2053" s="802">
        <v>40856</v>
      </c>
      <c r="F2053" s="40" t="s">
        <v>674</v>
      </c>
      <c r="G2053" s="40"/>
      <c r="H2053" s="632" t="s">
        <v>1116</v>
      </c>
      <c r="I2053" s="260">
        <v>6</v>
      </c>
      <c r="J2053" s="260">
        <v>14105</v>
      </c>
      <c r="K2053" s="618">
        <f t="shared" si="166"/>
        <v>84630</v>
      </c>
      <c r="L2053" s="52" t="s">
        <v>167</v>
      </c>
      <c r="M2053" s="52" t="s">
        <v>159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909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75" t="s">
        <v>1126</v>
      </c>
      <c r="E2054" s="802">
        <v>40856</v>
      </c>
      <c r="F2054" s="460" t="s">
        <v>666</v>
      </c>
      <c r="G2054" s="40"/>
      <c r="H2054" s="632" t="s">
        <v>1116</v>
      </c>
      <c r="I2054" s="260">
        <v>21</v>
      </c>
      <c r="J2054" s="260">
        <v>25631</v>
      </c>
      <c r="K2054" s="618">
        <f t="shared" si="166"/>
        <v>538251</v>
      </c>
      <c r="L2054" s="52" t="s">
        <v>167</v>
      </c>
      <c r="M2054" s="52" t="s">
        <v>159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909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75" t="s">
        <v>1126</v>
      </c>
      <c r="E2055" s="802">
        <v>40856</v>
      </c>
      <c r="F2055" s="40" t="s">
        <v>674</v>
      </c>
      <c r="G2055" s="40"/>
      <c r="H2055" s="632" t="s">
        <v>1116</v>
      </c>
      <c r="I2055" s="260">
        <v>44</v>
      </c>
      <c r="J2055" s="260">
        <v>14105</v>
      </c>
      <c r="K2055" s="618">
        <f t="shared" si="166"/>
        <v>620620</v>
      </c>
      <c r="L2055" s="52" t="s">
        <v>167</v>
      </c>
      <c r="M2055" s="52" t="s">
        <v>159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909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75" t="s">
        <v>1126</v>
      </c>
      <c r="E2056" s="802">
        <v>40856</v>
      </c>
      <c r="F2056" s="40" t="s">
        <v>676</v>
      </c>
      <c r="G2056" s="40"/>
      <c r="H2056" s="632" t="s">
        <v>1116</v>
      </c>
      <c r="I2056" s="260">
        <v>695</v>
      </c>
      <c r="J2056" s="260">
        <v>13350</v>
      </c>
      <c r="K2056" s="618">
        <f t="shared" si="166"/>
        <v>9278250</v>
      </c>
      <c r="L2056" s="52" t="s">
        <v>167</v>
      </c>
      <c r="M2056" s="52" t="s">
        <v>159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909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75" t="s">
        <v>1126</v>
      </c>
      <c r="E2057" s="802">
        <v>40856</v>
      </c>
      <c r="F2057" s="40" t="s">
        <v>676</v>
      </c>
      <c r="G2057" s="40"/>
      <c r="H2057" s="632" t="s">
        <v>1116</v>
      </c>
      <c r="I2057" s="260">
        <v>625</v>
      </c>
      <c r="J2057" s="260">
        <v>13350</v>
      </c>
      <c r="K2057" s="618">
        <f t="shared" si="166"/>
        <v>8343750</v>
      </c>
      <c r="L2057" s="52" t="s">
        <v>167</v>
      </c>
      <c r="M2057" s="52" t="s">
        <v>159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909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75" t="s">
        <v>1126</v>
      </c>
      <c r="E2058" s="802">
        <v>40856</v>
      </c>
      <c r="F2058" s="302" t="s">
        <v>405</v>
      </c>
      <c r="G2058" s="40"/>
      <c r="H2058" s="632" t="s">
        <v>1116</v>
      </c>
      <c r="I2058" s="260">
        <v>5</v>
      </c>
      <c r="J2058" s="260">
        <v>27901</v>
      </c>
      <c r="K2058" s="618">
        <f t="shared" si="166"/>
        <v>139505</v>
      </c>
      <c r="L2058" s="52" t="s">
        <v>167</v>
      </c>
      <c r="M2058" s="52" t="s">
        <v>159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909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75" t="s">
        <v>1126</v>
      </c>
      <c r="E2059" s="802">
        <v>40856</v>
      </c>
      <c r="F2059" s="189" t="s">
        <v>410</v>
      </c>
      <c r="G2059" s="40"/>
      <c r="H2059" s="632" t="s">
        <v>1116</v>
      </c>
      <c r="I2059" s="851">
        <v>1</v>
      </c>
      <c r="J2059" s="260">
        <v>4449</v>
      </c>
      <c r="K2059" s="618">
        <f t="shared" si="166"/>
        <v>4449</v>
      </c>
      <c r="L2059" s="52" t="s">
        <v>167</v>
      </c>
      <c r="M2059" s="52" t="s">
        <v>159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909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992</v>
      </c>
      <c r="E2060" s="191">
        <v>40857</v>
      </c>
      <c r="F2060" s="192" t="s">
        <v>1278</v>
      </c>
      <c r="G2060" s="502" t="s">
        <v>1314</v>
      </c>
      <c r="H2060" s="193" t="s">
        <v>756</v>
      </c>
      <c r="I2060" s="260">
        <v>20</v>
      </c>
      <c r="J2060" s="260">
        <v>14880</v>
      </c>
      <c r="K2060" s="618">
        <v>297600</v>
      </c>
      <c r="L2060" s="194" t="s">
        <v>274</v>
      </c>
      <c r="M2060" s="194" t="s">
        <v>181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909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992</v>
      </c>
      <c r="E2061" s="191">
        <v>40857</v>
      </c>
      <c r="F2061" s="192" t="s">
        <v>1279</v>
      </c>
      <c r="G2061" s="502" t="s">
        <v>1314</v>
      </c>
      <c r="H2061" s="193" t="s">
        <v>756</v>
      </c>
      <c r="I2061" s="260">
        <v>94</v>
      </c>
      <c r="J2061" s="260">
        <v>20820</v>
      </c>
      <c r="K2061" s="618">
        <v>1957080</v>
      </c>
      <c r="L2061" s="194" t="s">
        <v>274</v>
      </c>
      <c r="M2061" s="194" t="s">
        <v>181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909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992</v>
      </c>
      <c r="E2062" s="191">
        <v>40857</v>
      </c>
      <c r="F2062" s="192" t="s">
        <v>1280</v>
      </c>
      <c r="G2062" s="502" t="s">
        <v>1314</v>
      </c>
      <c r="H2062" s="193" t="s">
        <v>756</v>
      </c>
      <c r="I2062" s="260">
        <v>58</v>
      </c>
      <c r="J2062" s="260">
        <v>26203</v>
      </c>
      <c r="K2062" s="618">
        <v>1519774</v>
      </c>
      <c r="L2062" s="194" t="s">
        <v>274</v>
      </c>
      <c r="M2062" s="194" t="s">
        <v>181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909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992</v>
      </c>
      <c r="E2063" s="191">
        <v>40857</v>
      </c>
      <c r="F2063" s="192" t="s">
        <v>1281</v>
      </c>
      <c r="G2063" s="502" t="s">
        <v>1314</v>
      </c>
      <c r="H2063" s="193" t="s">
        <v>756</v>
      </c>
      <c r="I2063" s="260">
        <v>4</v>
      </c>
      <c r="J2063" s="260">
        <v>11355</v>
      </c>
      <c r="K2063" s="618">
        <v>45420</v>
      </c>
      <c r="L2063" s="194" t="s">
        <v>274</v>
      </c>
      <c r="M2063" s="194" t="s">
        <v>181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909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992</v>
      </c>
      <c r="E2064" s="191">
        <v>40857</v>
      </c>
      <c r="F2064" s="192" t="s">
        <v>1282</v>
      </c>
      <c r="G2064" s="502" t="s">
        <v>1314</v>
      </c>
      <c r="H2064" s="193" t="s">
        <v>756</v>
      </c>
      <c r="I2064" s="260">
        <v>1</v>
      </c>
      <c r="J2064" s="260">
        <v>11420</v>
      </c>
      <c r="K2064" s="618">
        <v>11420</v>
      </c>
      <c r="L2064" s="194" t="s">
        <v>274</v>
      </c>
      <c r="M2064" s="194" t="s">
        <v>181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909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992</v>
      </c>
      <c r="E2065" s="191">
        <v>40857</v>
      </c>
      <c r="F2065" s="192" t="s">
        <v>1283</v>
      </c>
      <c r="G2065" s="502" t="s">
        <v>1314</v>
      </c>
      <c r="H2065" s="193" t="s">
        <v>756</v>
      </c>
      <c r="I2065" s="260">
        <v>5</v>
      </c>
      <c r="J2065" s="260">
        <v>14450</v>
      </c>
      <c r="K2065" s="618">
        <v>72250</v>
      </c>
      <c r="L2065" s="194" t="s">
        <v>274</v>
      </c>
      <c r="M2065" s="194" t="s">
        <v>181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909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992</v>
      </c>
      <c r="E2066" s="191">
        <v>40857</v>
      </c>
      <c r="F2066" s="192" t="s">
        <v>1284</v>
      </c>
      <c r="G2066" s="502" t="s">
        <v>1314</v>
      </c>
      <c r="H2066" s="193" t="s">
        <v>756</v>
      </c>
      <c r="I2066" s="260">
        <v>80</v>
      </c>
      <c r="J2066" s="260">
        <v>13881</v>
      </c>
      <c r="K2066" s="618">
        <v>1110480</v>
      </c>
      <c r="L2066" s="194" t="s">
        <v>274</v>
      </c>
      <c r="M2066" s="194" t="s">
        <v>181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909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992</v>
      </c>
      <c r="E2067" s="191">
        <v>40857</v>
      </c>
      <c r="F2067" s="192" t="s">
        <v>1285</v>
      </c>
      <c r="G2067" s="502" t="s">
        <v>1314</v>
      </c>
      <c r="H2067" s="193" t="s">
        <v>756</v>
      </c>
      <c r="I2067" s="260">
        <v>4</v>
      </c>
      <c r="J2067" s="260">
        <v>20891</v>
      </c>
      <c r="K2067" s="618">
        <v>83564</v>
      </c>
      <c r="L2067" s="194" t="s">
        <v>274</v>
      </c>
      <c r="M2067" s="194" t="s">
        <v>181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909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992</v>
      </c>
      <c r="E2068" s="191">
        <v>40857</v>
      </c>
      <c r="F2068" s="192" t="s">
        <v>1286</v>
      </c>
      <c r="G2068" s="502" t="s">
        <v>1314</v>
      </c>
      <c r="H2068" s="193" t="s">
        <v>756</v>
      </c>
      <c r="I2068" s="260">
        <v>3</v>
      </c>
      <c r="J2068" s="260">
        <v>16534</v>
      </c>
      <c r="K2068" s="618">
        <v>49602</v>
      </c>
      <c r="L2068" s="194" t="s">
        <v>274</v>
      </c>
      <c r="M2068" s="194" t="s">
        <v>181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909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992</v>
      </c>
      <c r="E2069" s="191">
        <v>40857</v>
      </c>
      <c r="F2069" s="192" t="s">
        <v>1285</v>
      </c>
      <c r="G2069" s="502" t="s">
        <v>1314</v>
      </c>
      <c r="H2069" s="193" t="s">
        <v>756</v>
      </c>
      <c r="I2069" s="260">
        <v>4</v>
      </c>
      <c r="J2069" s="260">
        <v>20981</v>
      </c>
      <c r="K2069" s="618">
        <v>83924</v>
      </c>
      <c r="L2069" s="194" t="s">
        <v>274</v>
      </c>
      <c r="M2069" s="194" t="s">
        <v>181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909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992</v>
      </c>
      <c r="E2070" s="191">
        <v>40857</v>
      </c>
      <c r="F2070" s="192" t="s">
        <v>1313</v>
      </c>
      <c r="G2070" s="502" t="s">
        <v>1314</v>
      </c>
      <c r="H2070" s="193" t="s">
        <v>756</v>
      </c>
      <c r="I2070" s="260">
        <v>3</v>
      </c>
      <c r="J2070" s="260">
        <v>12847</v>
      </c>
      <c r="K2070" s="618">
        <v>38541</v>
      </c>
      <c r="L2070" s="194" t="s">
        <v>274</v>
      </c>
      <c r="M2070" s="194" t="s">
        <v>181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909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992</v>
      </c>
      <c r="E2071" s="191">
        <v>40857</v>
      </c>
      <c r="F2071" s="192" t="s">
        <v>1315</v>
      </c>
      <c r="G2071" s="502" t="s">
        <v>1314</v>
      </c>
      <c r="H2071" s="193" t="s">
        <v>756</v>
      </c>
      <c r="I2071" s="260">
        <v>6</v>
      </c>
      <c r="J2071" s="260">
        <v>17321</v>
      </c>
      <c r="K2071" s="618">
        <v>103926</v>
      </c>
      <c r="L2071" s="194" t="s">
        <v>274</v>
      </c>
      <c r="M2071" s="194" t="s">
        <v>181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909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992</v>
      </c>
      <c r="E2072" s="191">
        <v>40857</v>
      </c>
      <c r="F2072" s="192" t="s">
        <v>1287</v>
      </c>
      <c r="G2072" s="502" t="s">
        <v>1314</v>
      </c>
      <c r="H2072" s="193" t="s">
        <v>756</v>
      </c>
      <c r="I2072" s="260">
        <v>42</v>
      </c>
      <c r="J2072" s="260">
        <v>15669</v>
      </c>
      <c r="K2072" s="618">
        <v>658098</v>
      </c>
      <c r="L2072" s="194" t="s">
        <v>274</v>
      </c>
      <c r="M2072" s="194" t="s">
        <v>181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909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992</v>
      </c>
      <c r="E2073" s="191">
        <v>40857</v>
      </c>
      <c r="F2073" s="192" t="s">
        <v>1288</v>
      </c>
      <c r="G2073" s="502" t="s">
        <v>1314</v>
      </c>
      <c r="H2073" s="193" t="s">
        <v>756</v>
      </c>
      <c r="I2073" s="260">
        <v>43</v>
      </c>
      <c r="J2073" s="260">
        <v>17372</v>
      </c>
      <c r="K2073" s="618">
        <v>746996</v>
      </c>
      <c r="L2073" s="194" t="s">
        <v>274</v>
      </c>
      <c r="M2073" s="194" t="s">
        <v>181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909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992</v>
      </c>
      <c r="E2074" s="191">
        <v>40857</v>
      </c>
      <c r="F2074" s="192" t="s">
        <v>1316</v>
      </c>
      <c r="G2074" s="502" t="s">
        <v>1314</v>
      </c>
      <c r="H2074" s="193" t="s">
        <v>756</v>
      </c>
      <c r="I2074" s="260">
        <v>1112</v>
      </c>
      <c r="J2074" s="260">
        <v>13869</v>
      </c>
      <c r="K2074" s="618">
        <v>15422328</v>
      </c>
      <c r="L2074" s="194" t="s">
        <v>274</v>
      </c>
      <c r="M2074" s="194" t="s">
        <v>181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909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992</v>
      </c>
      <c r="E2075" s="191">
        <v>40857</v>
      </c>
      <c r="F2075" s="192" t="s">
        <v>1317</v>
      </c>
      <c r="G2075" s="502" t="s">
        <v>1314</v>
      </c>
      <c r="H2075" s="193" t="s">
        <v>756</v>
      </c>
      <c r="I2075" s="260">
        <v>1000</v>
      </c>
      <c r="J2075" s="260">
        <v>14230</v>
      </c>
      <c r="K2075" s="618">
        <v>14230000</v>
      </c>
      <c r="L2075" s="194" t="s">
        <v>274</v>
      </c>
      <c r="M2075" s="194" t="s">
        <v>181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909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992</v>
      </c>
      <c r="E2076" s="191">
        <v>40857</v>
      </c>
      <c r="F2076" s="192" t="s">
        <v>1318</v>
      </c>
      <c r="G2076" s="502" t="s">
        <v>1314</v>
      </c>
      <c r="H2076" s="193" t="s">
        <v>756</v>
      </c>
      <c r="I2076" s="260">
        <v>25</v>
      </c>
      <c r="J2076" s="260">
        <v>9024</v>
      </c>
      <c r="K2076" s="618">
        <v>225600</v>
      </c>
      <c r="L2076" s="194" t="s">
        <v>274</v>
      </c>
      <c r="M2076" s="194" t="s">
        <v>181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909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992</v>
      </c>
      <c r="E2077" s="191">
        <v>40857</v>
      </c>
      <c r="F2077" s="192" t="s">
        <v>1319</v>
      </c>
      <c r="G2077" s="502" t="s">
        <v>1314</v>
      </c>
      <c r="H2077" s="193" t="s">
        <v>756</v>
      </c>
      <c r="I2077" s="260">
        <v>2</v>
      </c>
      <c r="J2077" s="260">
        <v>4181</v>
      </c>
      <c r="K2077" s="618">
        <v>8362</v>
      </c>
      <c r="L2077" s="194" t="s">
        <v>274</v>
      </c>
      <c r="M2077" s="194" t="s">
        <v>181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909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992</v>
      </c>
      <c r="E2078" s="191">
        <v>40857</v>
      </c>
      <c r="F2078" s="192" t="s">
        <v>1200</v>
      </c>
      <c r="G2078" s="502" t="s">
        <v>1314</v>
      </c>
      <c r="H2078" s="193" t="s">
        <v>756</v>
      </c>
      <c r="I2078" s="260"/>
      <c r="J2078" s="260"/>
      <c r="K2078" s="618">
        <v>3666497</v>
      </c>
      <c r="L2078" s="194" t="s">
        <v>274</v>
      </c>
      <c r="M2078" s="194" t="s">
        <v>754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909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9">
        <f t="shared" si="167"/>
        <v>11</v>
      </c>
      <c r="C2079" s="875">
        <f t="shared" ref="C2079:C2114" si="168">E2079</f>
        <v>40857</v>
      </c>
      <c r="D2079" s="48" t="s">
        <v>1149</v>
      </c>
      <c r="E2079" s="910">
        <v>40857</v>
      </c>
      <c r="F2079" s="49" t="s">
        <v>1278</v>
      </c>
      <c r="G2079" s="49"/>
      <c r="H2079" s="883" t="s">
        <v>1116</v>
      </c>
      <c r="I2079" s="258">
        <v>20</v>
      </c>
      <c r="J2079" s="258">
        <v>9649.9581858454421</v>
      </c>
      <c r="K2079" s="723">
        <f t="shared" ref="K2079:K2114" si="169">ROUND(I2079*J2079,0)</f>
        <v>192999</v>
      </c>
      <c r="L2079" s="52" t="s">
        <v>169</v>
      </c>
      <c r="M2079" s="52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909"/>
      <c r="AB2079" s="843"/>
      <c r="AC2079" s="843"/>
      <c r="AD2079" s="843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9">
        <f t="shared" si="167"/>
        <v>11</v>
      </c>
      <c r="C2080" s="875">
        <f t="shared" si="168"/>
        <v>40857</v>
      </c>
      <c r="D2080" s="48" t="s">
        <v>1149</v>
      </c>
      <c r="E2080" s="910">
        <v>40857</v>
      </c>
      <c r="F2080" s="49" t="s">
        <v>1279</v>
      </c>
      <c r="G2080" s="49"/>
      <c r="H2080" s="883" t="s">
        <v>1116</v>
      </c>
      <c r="I2080" s="258">
        <v>94</v>
      </c>
      <c r="J2080" s="258">
        <v>18666.497547547569</v>
      </c>
      <c r="K2080" s="723">
        <f t="shared" si="169"/>
        <v>1754651</v>
      </c>
      <c r="L2080" s="52" t="s">
        <v>169</v>
      </c>
      <c r="M2080" s="52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909"/>
      <c r="AB2080" s="843"/>
      <c r="AC2080" s="843"/>
      <c r="AD2080" s="843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9">
        <f t="shared" si="167"/>
        <v>11</v>
      </c>
      <c r="C2081" s="875">
        <f t="shared" si="168"/>
        <v>40857</v>
      </c>
      <c r="D2081" s="48" t="s">
        <v>1149</v>
      </c>
      <c r="E2081" s="910">
        <v>40857</v>
      </c>
      <c r="F2081" s="49" t="s">
        <v>1280</v>
      </c>
      <c r="G2081" s="49"/>
      <c r="H2081" s="883" t="s">
        <v>1116</v>
      </c>
      <c r="I2081" s="258">
        <v>58</v>
      </c>
      <c r="J2081" s="258">
        <v>21576.490944466135</v>
      </c>
      <c r="K2081" s="723">
        <f t="shared" si="169"/>
        <v>1251436</v>
      </c>
      <c r="L2081" s="52" t="s">
        <v>169</v>
      </c>
      <c r="M2081" s="52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909"/>
      <c r="AB2081" s="843"/>
      <c r="AC2081" s="843"/>
      <c r="AD2081" s="843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9">
        <f t="shared" si="167"/>
        <v>11</v>
      </c>
      <c r="C2082" s="875">
        <f t="shared" si="168"/>
        <v>40857</v>
      </c>
      <c r="D2082" s="48" t="s">
        <v>1149</v>
      </c>
      <c r="E2082" s="910">
        <v>40857</v>
      </c>
      <c r="F2082" s="49" t="s">
        <v>1281</v>
      </c>
      <c r="G2082" s="49"/>
      <c r="H2082" s="883" t="s">
        <v>1116</v>
      </c>
      <c r="I2082" s="258">
        <v>4</v>
      </c>
      <c r="J2082" s="258">
        <v>9918.2581858454432</v>
      </c>
      <c r="K2082" s="723">
        <f t="shared" si="169"/>
        <v>39673</v>
      </c>
      <c r="L2082" s="52" t="s">
        <v>169</v>
      </c>
      <c r="M2082" s="52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909"/>
      <c r="AB2082" s="843"/>
      <c r="AC2082" s="843"/>
      <c r="AD2082" s="843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9">
        <f t="shared" si="167"/>
        <v>11</v>
      </c>
      <c r="C2083" s="875">
        <f t="shared" si="168"/>
        <v>40857</v>
      </c>
      <c r="D2083" s="48" t="s">
        <v>1149</v>
      </c>
      <c r="E2083" s="910">
        <v>40857</v>
      </c>
      <c r="F2083" s="49" t="s">
        <v>1282</v>
      </c>
      <c r="G2083" s="49"/>
      <c r="H2083" s="883" t="s">
        <v>1116</v>
      </c>
      <c r="I2083" s="258">
        <v>1</v>
      </c>
      <c r="J2083" s="258">
        <v>9917.5081858454432</v>
      </c>
      <c r="K2083" s="723">
        <f t="shared" si="169"/>
        <v>9918</v>
      </c>
      <c r="L2083" s="52" t="s">
        <v>169</v>
      </c>
      <c r="M2083" s="52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909"/>
      <c r="AB2083" s="843"/>
      <c r="AC2083" s="843"/>
      <c r="AD2083" s="843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9">
        <f t="shared" si="167"/>
        <v>11</v>
      </c>
      <c r="C2084" s="875">
        <f t="shared" si="168"/>
        <v>40857</v>
      </c>
      <c r="D2084" s="48" t="s">
        <v>1149</v>
      </c>
      <c r="E2084" s="910">
        <v>40857</v>
      </c>
      <c r="F2084" s="49" t="s">
        <v>1283</v>
      </c>
      <c r="G2084" s="49"/>
      <c r="H2084" s="883" t="s">
        <v>1116</v>
      </c>
      <c r="I2084" s="258">
        <v>5</v>
      </c>
      <c r="J2084" s="258">
        <v>13595.908185845441</v>
      </c>
      <c r="K2084" s="723">
        <f t="shared" si="169"/>
        <v>67980</v>
      </c>
      <c r="L2084" s="52" t="s">
        <v>169</v>
      </c>
      <c r="M2084" s="52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909"/>
      <c r="AB2084" s="843"/>
      <c r="AC2084" s="843"/>
      <c r="AD2084" s="843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9">
        <f t="shared" si="167"/>
        <v>11</v>
      </c>
      <c r="C2085" s="875">
        <f t="shared" si="168"/>
        <v>40857</v>
      </c>
      <c r="D2085" s="48" t="s">
        <v>1149</v>
      </c>
      <c r="E2085" s="910">
        <v>40857</v>
      </c>
      <c r="F2085" s="49" t="s">
        <v>1284</v>
      </c>
      <c r="G2085" s="49"/>
      <c r="H2085" s="883" t="s">
        <v>1116</v>
      </c>
      <c r="I2085" s="258">
        <v>80</v>
      </c>
      <c r="J2085" s="258">
        <v>11437.495685845442</v>
      </c>
      <c r="K2085" s="723">
        <f t="shared" si="169"/>
        <v>915000</v>
      </c>
      <c r="L2085" s="52" t="s">
        <v>169</v>
      </c>
      <c r="M2085" s="52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909"/>
      <c r="AB2085" s="843"/>
      <c r="AC2085" s="843"/>
      <c r="AD2085" s="843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9">
        <f t="shared" si="167"/>
        <v>11</v>
      </c>
      <c r="C2086" s="875">
        <f t="shared" si="168"/>
        <v>40857</v>
      </c>
      <c r="D2086" s="48" t="s">
        <v>1149</v>
      </c>
      <c r="E2086" s="910">
        <v>40857</v>
      </c>
      <c r="F2086" s="49" t="s">
        <v>1285</v>
      </c>
      <c r="G2086" s="49"/>
      <c r="H2086" s="883" t="s">
        <v>1116</v>
      </c>
      <c r="I2086" s="258">
        <v>4</v>
      </c>
      <c r="J2086" s="258">
        <v>18666.258185845447</v>
      </c>
      <c r="K2086" s="723">
        <f t="shared" si="169"/>
        <v>74665</v>
      </c>
      <c r="L2086" s="52" t="s">
        <v>169</v>
      </c>
      <c r="M2086" s="52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909"/>
      <c r="AB2086" s="843"/>
      <c r="AC2086" s="843"/>
      <c r="AD2086" s="843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9">
        <f t="shared" si="167"/>
        <v>11</v>
      </c>
      <c r="C2087" s="875">
        <f t="shared" si="168"/>
        <v>40857</v>
      </c>
      <c r="D2087" s="48" t="s">
        <v>1149</v>
      </c>
      <c r="E2087" s="910">
        <v>40857</v>
      </c>
      <c r="F2087" s="49" t="s">
        <v>1286</v>
      </c>
      <c r="G2087" s="49"/>
      <c r="H2087" s="883" t="s">
        <v>1116</v>
      </c>
      <c r="I2087" s="258">
        <v>3</v>
      </c>
      <c r="J2087" s="258">
        <v>11117.174852512109</v>
      </c>
      <c r="K2087" s="723">
        <f t="shared" si="169"/>
        <v>33352</v>
      </c>
      <c r="L2087" s="52" t="s">
        <v>169</v>
      </c>
      <c r="M2087" s="52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909"/>
      <c r="AB2087" s="843"/>
      <c r="AC2087" s="843"/>
      <c r="AD2087" s="843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9">
        <f t="shared" si="167"/>
        <v>11</v>
      </c>
      <c r="C2088" s="875">
        <f t="shared" si="168"/>
        <v>40857</v>
      </c>
      <c r="D2088" s="48" t="s">
        <v>1150</v>
      </c>
      <c r="E2088" s="910">
        <v>40857</v>
      </c>
      <c r="F2088" s="49" t="s">
        <v>1285</v>
      </c>
      <c r="G2088" s="49"/>
      <c r="H2088" s="883" t="s">
        <v>1116</v>
      </c>
      <c r="I2088" s="258">
        <v>4</v>
      </c>
      <c r="J2088" s="258">
        <v>18666.258185845447</v>
      </c>
      <c r="K2088" s="723">
        <f t="shared" si="169"/>
        <v>74665</v>
      </c>
      <c r="L2088" s="52" t="s">
        <v>169</v>
      </c>
      <c r="M2088" s="52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909"/>
      <c r="AB2088" s="843"/>
      <c r="AC2088" s="843"/>
      <c r="AD2088" s="843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9">
        <f t="shared" si="167"/>
        <v>11</v>
      </c>
      <c r="C2089" s="875">
        <f t="shared" si="168"/>
        <v>40857</v>
      </c>
      <c r="D2089" s="48" t="s">
        <v>1150</v>
      </c>
      <c r="E2089" s="910">
        <v>40857</v>
      </c>
      <c r="F2089" s="49" t="s">
        <v>1313</v>
      </c>
      <c r="G2089" s="49"/>
      <c r="H2089" s="883" t="s">
        <v>1116</v>
      </c>
      <c r="I2089" s="258">
        <v>3</v>
      </c>
      <c r="J2089" s="258">
        <v>10496.174852512109</v>
      </c>
      <c r="K2089" s="723">
        <f t="shared" si="169"/>
        <v>31489</v>
      </c>
      <c r="L2089" s="52" t="s">
        <v>169</v>
      </c>
      <c r="M2089" s="52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909"/>
      <c r="AB2089" s="843"/>
      <c r="AC2089" s="843"/>
      <c r="AD2089" s="843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9">
        <f t="shared" si="167"/>
        <v>11</v>
      </c>
      <c r="C2090" s="875">
        <f t="shared" si="168"/>
        <v>40857</v>
      </c>
      <c r="D2090" s="48" t="s">
        <v>1150</v>
      </c>
      <c r="E2090" s="910">
        <v>40857</v>
      </c>
      <c r="F2090" s="49" t="s">
        <v>1315</v>
      </c>
      <c r="G2090" s="49"/>
      <c r="H2090" s="883" t="s">
        <v>1116</v>
      </c>
      <c r="I2090" s="258">
        <v>6</v>
      </c>
      <c r="J2090" s="258">
        <v>15403.341519178777</v>
      </c>
      <c r="K2090" s="723">
        <f t="shared" si="169"/>
        <v>92420</v>
      </c>
      <c r="L2090" s="52" t="s">
        <v>169</v>
      </c>
      <c r="M2090" s="52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909"/>
      <c r="AB2090" s="843"/>
      <c r="AC2090" s="843"/>
      <c r="AD2090" s="843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9">
        <f t="shared" si="167"/>
        <v>11</v>
      </c>
      <c r="C2091" s="875">
        <f t="shared" si="168"/>
        <v>40857</v>
      </c>
      <c r="D2091" s="48" t="s">
        <v>1150</v>
      </c>
      <c r="E2091" s="910">
        <v>40857</v>
      </c>
      <c r="F2091" s="49" t="s">
        <v>1287</v>
      </c>
      <c r="G2091" s="49"/>
      <c r="H2091" s="883" t="s">
        <v>1116</v>
      </c>
      <c r="I2091" s="258">
        <v>42</v>
      </c>
      <c r="J2091" s="258">
        <v>14113.984376321636</v>
      </c>
      <c r="K2091" s="723">
        <f t="shared" si="169"/>
        <v>592787</v>
      </c>
      <c r="L2091" s="52" t="s">
        <v>169</v>
      </c>
      <c r="M2091" s="52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909"/>
      <c r="AB2091" s="843"/>
      <c r="AC2091" s="843"/>
      <c r="AD2091" s="843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9">
        <f t="shared" si="167"/>
        <v>11</v>
      </c>
      <c r="C2092" s="875">
        <f t="shared" si="168"/>
        <v>40857</v>
      </c>
      <c r="D2092" s="48" t="s">
        <v>1150</v>
      </c>
      <c r="E2092" s="910">
        <v>40857</v>
      </c>
      <c r="F2092" s="49" t="s">
        <v>1288</v>
      </c>
      <c r="G2092" s="49"/>
      <c r="H2092" s="883" t="s">
        <v>1116</v>
      </c>
      <c r="I2092" s="258">
        <v>43</v>
      </c>
      <c r="J2092" s="258">
        <v>15731.508185845443</v>
      </c>
      <c r="K2092" s="723">
        <f t="shared" si="169"/>
        <v>676455</v>
      </c>
      <c r="L2092" s="52" t="s">
        <v>169</v>
      </c>
      <c r="M2092" s="52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909"/>
      <c r="AB2092" s="843"/>
      <c r="AC2092" s="843"/>
      <c r="AD2092" s="843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9">
        <f t="shared" si="167"/>
        <v>11</v>
      </c>
      <c r="C2093" s="875">
        <f t="shared" si="168"/>
        <v>40857</v>
      </c>
      <c r="D2093" s="48" t="s">
        <v>1150</v>
      </c>
      <c r="E2093" s="910">
        <v>40857</v>
      </c>
      <c r="F2093" s="49" t="s">
        <v>1316</v>
      </c>
      <c r="G2093" s="49"/>
      <c r="H2093" s="883" t="s">
        <v>1116</v>
      </c>
      <c r="I2093" s="258">
        <v>1112</v>
      </c>
      <c r="J2093" s="258">
        <v>9642.2572865648672</v>
      </c>
      <c r="K2093" s="723">
        <f t="shared" si="169"/>
        <v>10722190</v>
      </c>
      <c r="L2093" s="52" t="s">
        <v>169</v>
      </c>
      <c r="M2093" s="52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909"/>
      <c r="AB2093" s="843"/>
      <c r="AC2093" s="843"/>
      <c r="AD2093" s="843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9">
        <f t="shared" si="167"/>
        <v>11</v>
      </c>
      <c r="C2094" s="875">
        <f t="shared" si="168"/>
        <v>40857</v>
      </c>
      <c r="D2094" s="48" t="s">
        <v>1150</v>
      </c>
      <c r="E2094" s="910">
        <v>40857</v>
      </c>
      <c r="F2094" s="49" t="s">
        <v>1317</v>
      </c>
      <c r="G2094" s="49"/>
      <c r="H2094" s="883" t="s">
        <v>1116</v>
      </c>
      <c r="I2094" s="258">
        <v>1000</v>
      </c>
      <c r="J2094" s="258">
        <v>9642.257185845443</v>
      </c>
      <c r="K2094" s="723">
        <f t="shared" si="169"/>
        <v>9642257</v>
      </c>
      <c r="L2094" s="52" t="s">
        <v>169</v>
      </c>
      <c r="M2094" s="52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909"/>
      <c r="AB2094" s="843"/>
      <c r="AC2094" s="843"/>
      <c r="AD2094" s="843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9">
        <f t="shared" si="167"/>
        <v>11</v>
      </c>
      <c r="C2095" s="875">
        <f t="shared" si="168"/>
        <v>40857</v>
      </c>
      <c r="D2095" s="48" t="s">
        <v>1150</v>
      </c>
      <c r="E2095" s="910">
        <v>40857</v>
      </c>
      <c r="F2095" s="49" t="s">
        <v>1318</v>
      </c>
      <c r="G2095" s="49"/>
      <c r="H2095" s="883" t="s">
        <v>1116</v>
      </c>
      <c r="I2095" s="258">
        <v>25</v>
      </c>
      <c r="J2095" s="258">
        <v>6878.6681858454422</v>
      </c>
      <c r="K2095" s="723">
        <f t="shared" si="169"/>
        <v>171967</v>
      </c>
      <c r="L2095" s="52" t="s">
        <v>169</v>
      </c>
      <c r="M2095" s="52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909"/>
      <c r="AB2095" s="843"/>
      <c r="AC2095" s="843"/>
      <c r="AD2095" s="843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9">
        <f t="shared" si="167"/>
        <v>11</v>
      </c>
      <c r="C2096" s="875">
        <f t="shared" si="168"/>
        <v>40857</v>
      </c>
      <c r="D2096" s="48" t="s">
        <v>1150</v>
      </c>
      <c r="E2096" s="910">
        <v>40857</v>
      </c>
      <c r="F2096" s="49" t="s">
        <v>1319</v>
      </c>
      <c r="G2096" s="49"/>
      <c r="H2096" s="883" t="s">
        <v>1116</v>
      </c>
      <c r="I2096" s="258">
        <v>2</v>
      </c>
      <c r="J2096" s="258">
        <v>3522.5081858454428</v>
      </c>
      <c r="K2096" s="723">
        <f t="shared" si="169"/>
        <v>7045</v>
      </c>
      <c r="L2096" s="52" t="s">
        <v>169</v>
      </c>
      <c r="M2096" s="52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909"/>
      <c r="AB2096" s="843"/>
      <c r="AC2096" s="843"/>
      <c r="AD2096" s="843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992</v>
      </c>
      <c r="E2097" s="802">
        <v>40857</v>
      </c>
      <c r="F2097" s="192" t="s">
        <v>1278</v>
      </c>
      <c r="G2097" s="502" t="s">
        <v>1314</v>
      </c>
      <c r="H2097" s="193" t="s">
        <v>756</v>
      </c>
      <c r="I2097" s="260">
        <v>20</v>
      </c>
      <c r="J2097" s="260">
        <v>9649.9581858454421</v>
      </c>
      <c r="K2097" s="881">
        <f t="shared" si="169"/>
        <v>192999</v>
      </c>
      <c r="L2097" s="869" t="s">
        <v>179</v>
      </c>
      <c r="M2097" s="86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909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992</v>
      </c>
      <c r="E2098" s="800">
        <v>40857</v>
      </c>
      <c r="F2098" s="873" t="s">
        <v>1279</v>
      </c>
      <c r="G2098" s="502" t="s">
        <v>1314</v>
      </c>
      <c r="H2098" s="193" t="s">
        <v>756</v>
      </c>
      <c r="I2098" s="260">
        <v>94</v>
      </c>
      <c r="J2098" s="260">
        <v>18666.497547547569</v>
      </c>
      <c r="K2098" s="881">
        <f t="shared" si="169"/>
        <v>1754651</v>
      </c>
      <c r="L2098" s="869" t="s">
        <v>179</v>
      </c>
      <c r="M2098" s="86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909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992</v>
      </c>
      <c r="E2099" s="800">
        <v>40857</v>
      </c>
      <c r="F2099" s="873" t="s">
        <v>1280</v>
      </c>
      <c r="G2099" s="502" t="s">
        <v>1314</v>
      </c>
      <c r="H2099" s="193" t="s">
        <v>756</v>
      </c>
      <c r="I2099" s="260">
        <v>58</v>
      </c>
      <c r="J2099" s="260">
        <v>21576.490944466135</v>
      </c>
      <c r="K2099" s="881">
        <f t="shared" si="169"/>
        <v>1251436</v>
      </c>
      <c r="L2099" s="869" t="s">
        <v>179</v>
      </c>
      <c r="M2099" s="86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909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992</v>
      </c>
      <c r="E2100" s="800">
        <v>40857</v>
      </c>
      <c r="F2100" s="192" t="s">
        <v>1281</v>
      </c>
      <c r="G2100" s="502" t="s">
        <v>1314</v>
      </c>
      <c r="H2100" s="193" t="s">
        <v>756</v>
      </c>
      <c r="I2100" s="260">
        <v>4</v>
      </c>
      <c r="J2100" s="260">
        <v>9918.2581858454432</v>
      </c>
      <c r="K2100" s="881">
        <f t="shared" si="169"/>
        <v>39673</v>
      </c>
      <c r="L2100" s="869" t="s">
        <v>179</v>
      </c>
      <c r="M2100" s="86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909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992</v>
      </c>
      <c r="E2101" s="800">
        <v>40857</v>
      </c>
      <c r="F2101" s="192" t="s">
        <v>1282</v>
      </c>
      <c r="G2101" s="502" t="s">
        <v>1314</v>
      </c>
      <c r="H2101" s="193" t="s">
        <v>756</v>
      </c>
      <c r="I2101" s="260">
        <v>1</v>
      </c>
      <c r="J2101" s="260">
        <v>9917.5081858454432</v>
      </c>
      <c r="K2101" s="881">
        <f t="shared" si="169"/>
        <v>9918</v>
      </c>
      <c r="L2101" s="869" t="s">
        <v>179</v>
      </c>
      <c r="M2101" s="86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909"/>
    </row>
    <row r="2102" spans="1:30" s="843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992</v>
      </c>
      <c r="E2102" s="802">
        <v>40857</v>
      </c>
      <c r="F2102" s="192" t="s">
        <v>1283</v>
      </c>
      <c r="G2102" s="502" t="s">
        <v>1314</v>
      </c>
      <c r="H2102" s="193" t="s">
        <v>756</v>
      </c>
      <c r="I2102" s="260">
        <v>5</v>
      </c>
      <c r="J2102" s="260">
        <v>13595.908185845441</v>
      </c>
      <c r="K2102" s="881">
        <f t="shared" si="169"/>
        <v>67980</v>
      </c>
      <c r="L2102" s="869" t="s">
        <v>179</v>
      </c>
      <c r="M2102" s="86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909"/>
      <c r="AB2102" s="198"/>
      <c r="AC2102" s="198"/>
      <c r="AD2102" s="198"/>
    </row>
    <row r="2103" spans="1:30" s="843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992</v>
      </c>
      <c r="E2103" s="802">
        <v>40857</v>
      </c>
      <c r="F2103" s="192" t="s">
        <v>1284</v>
      </c>
      <c r="G2103" s="502" t="s">
        <v>1314</v>
      </c>
      <c r="H2103" s="193" t="s">
        <v>756</v>
      </c>
      <c r="I2103" s="260">
        <v>80</v>
      </c>
      <c r="J2103" s="260">
        <v>11437.495685845442</v>
      </c>
      <c r="K2103" s="881">
        <f t="shared" si="169"/>
        <v>915000</v>
      </c>
      <c r="L2103" s="869" t="s">
        <v>179</v>
      </c>
      <c r="M2103" s="86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909"/>
      <c r="AB2103" s="198"/>
      <c r="AC2103" s="198"/>
      <c r="AD2103" s="198"/>
    </row>
    <row r="2104" spans="1:30" s="843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992</v>
      </c>
      <c r="E2104" s="802">
        <v>40857</v>
      </c>
      <c r="F2104" s="192" t="s">
        <v>1285</v>
      </c>
      <c r="G2104" s="502" t="s">
        <v>1314</v>
      </c>
      <c r="H2104" s="193" t="s">
        <v>756</v>
      </c>
      <c r="I2104" s="260">
        <v>4</v>
      </c>
      <c r="J2104" s="260">
        <v>18666.258185845447</v>
      </c>
      <c r="K2104" s="881">
        <f t="shared" si="169"/>
        <v>74665</v>
      </c>
      <c r="L2104" s="869" t="s">
        <v>179</v>
      </c>
      <c r="M2104" s="86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909"/>
      <c r="AB2104" s="198"/>
      <c r="AC2104" s="198"/>
      <c r="AD2104" s="198"/>
    </row>
    <row r="2105" spans="1:30" s="843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992</v>
      </c>
      <c r="E2105" s="802">
        <v>40857</v>
      </c>
      <c r="F2105" s="192" t="s">
        <v>1286</v>
      </c>
      <c r="G2105" s="502" t="s">
        <v>1314</v>
      </c>
      <c r="H2105" s="193" t="s">
        <v>756</v>
      </c>
      <c r="I2105" s="260">
        <v>3</v>
      </c>
      <c r="J2105" s="260">
        <v>11117.174852512109</v>
      </c>
      <c r="K2105" s="881">
        <f t="shared" si="169"/>
        <v>33352</v>
      </c>
      <c r="L2105" s="869" t="s">
        <v>179</v>
      </c>
      <c r="M2105" s="86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909"/>
      <c r="AB2105" s="198"/>
      <c r="AC2105" s="198"/>
      <c r="AD2105" s="198"/>
    </row>
    <row r="2106" spans="1:30" s="843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992</v>
      </c>
      <c r="E2106" s="802">
        <v>40857</v>
      </c>
      <c r="F2106" s="873" t="s">
        <v>1285</v>
      </c>
      <c r="G2106" s="502" t="s">
        <v>1314</v>
      </c>
      <c r="H2106" s="193" t="s">
        <v>756</v>
      </c>
      <c r="I2106" s="260">
        <v>4</v>
      </c>
      <c r="J2106" s="260">
        <v>18666.258185845447</v>
      </c>
      <c r="K2106" s="881">
        <f t="shared" si="169"/>
        <v>74665</v>
      </c>
      <c r="L2106" s="869" t="s">
        <v>179</v>
      </c>
      <c r="M2106" s="86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909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992</v>
      </c>
      <c r="E2107" s="802">
        <v>40857</v>
      </c>
      <c r="F2107" s="192" t="s">
        <v>1313</v>
      </c>
      <c r="G2107" s="502" t="s">
        <v>1314</v>
      </c>
      <c r="H2107" s="193" t="s">
        <v>756</v>
      </c>
      <c r="I2107" s="260">
        <v>3</v>
      </c>
      <c r="J2107" s="260">
        <v>10496.174852512109</v>
      </c>
      <c r="K2107" s="881">
        <f t="shared" si="169"/>
        <v>31489</v>
      </c>
      <c r="L2107" s="869" t="s">
        <v>179</v>
      </c>
      <c r="M2107" s="86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909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992</v>
      </c>
      <c r="E2108" s="802">
        <v>40857</v>
      </c>
      <c r="F2108" s="192" t="s">
        <v>1315</v>
      </c>
      <c r="G2108" s="502" t="s">
        <v>1314</v>
      </c>
      <c r="H2108" s="193" t="s">
        <v>756</v>
      </c>
      <c r="I2108" s="260">
        <v>6</v>
      </c>
      <c r="J2108" s="260">
        <v>15403.341519178777</v>
      </c>
      <c r="K2108" s="881">
        <f t="shared" si="169"/>
        <v>92420</v>
      </c>
      <c r="L2108" s="869" t="s">
        <v>179</v>
      </c>
      <c r="M2108" s="86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909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992</v>
      </c>
      <c r="E2109" s="802">
        <v>40857</v>
      </c>
      <c r="F2109" s="192" t="s">
        <v>1287</v>
      </c>
      <c r="G2109" s="502" t="s">
        <v>1314</v>
      </c>
      <c r="H2109" s="193" t="s">
        <v>756</v>
      </c>
      <c r="I2109" s="260">
        <v>42</v>
      </c>
      <c r="J2109" s="260">
        <v>14113.984376321636</v>
      </c>
      <c r="K2109" s="881">
        <f t="shared" si="169"/>
        <v>592787</v>
      </c>
      <c r="L2109" s="869" t="s">
        <v>179</v>
      </c>
      <c r="M2109" s="86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909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992</v>
      </c>
      <c r="E2110" s="802">
        <v>40857</v>
      </c>
      <c r="F2110" s="192" t="s">
        <v>1288</v>
      </c>
      <c r="G2110" s="502" t="s">
        <v>1314</v>
      </c>
      <c r="H2110" s="193" t="s">
        <v>756</v>
      </c>
      <c r="I2110" s="260">
        <v>43</v>
      </c>
      <c r="J2110" s="260">
        <v>15731.508185845443</v>
      </c>
      <c r="K2110" s="881">
        <f t="shared" si="169"/>
        <v>676455</v>
      </c>
      <c r="L2110" s="869" t="s">
        <v>179</v>
      </c>
      <c r="M2110" s="86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909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992</v>
      </c>
      <c r="E2111" s="802">
        <v>40857</v>
      </c>
      <c r="F2111" s="192" t="s">
        <v>1316</v>
      </c>
      <c r="G2111" s="502" t="s">
        <v>1314</v>
      </c>
      <c r="H2111" s="193" t="s">
        <v>756</v>
      </c>
      <c r="I2111" s="260">
        <v>1112</v>
      </c>
      <c r="J2111" s="260">
        <v>9642.2572865648672</v>
      </c>
      <c r="K2111" s="881">
        <f t="shared" si="169"/>
        <v>10722190</v>
      </c>
      <c r="L2111" s="869" t="s">
        <v>179</v>
      </c>
      <c r="M2111" s="86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909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992</v>
      </c>
      <c r="E2112" s="802">
        <v>40857</v>
      </c>
      <c r="F2112" s="192" t="s">
        <v>1317</v>
      </c>
      <c r="G2112" s="502" t="s">
        <v>1314</v>
      </c>
      <c r="H2112" s="193" t="s">
        <v>756</v>
      </c>
      <c r="I2112" s="260">
        <v>1000</v>
      </c>
      <c r="J2112" s="260">
        <v>9642.257185845443</v>
      </c>
      <c r="K2112" s="881">
        <f t="shared" si="169"/>
        <v>9642257</v>
      </c>
      <c r="L2112" s="869" t="s">
        <v>179</v>
      </c>
      <c r="M2112" s="86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909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992</v>
      </c>
      <c r="E2113" s="802">
        <v>40857</v>
      </c>
      <c r="F2113" s="192" t="s">
        <v>1318</v>
      </c>
      <c r="G2113" s="502" t="s">
        <v>1314</v>
      </c>
      <c r="H2113" s="193" t="s">
        <v>756</v>
      </c>
      <c r="I2113" s="260">
        <v>25</v>
      </c>
      <c r="J2113" s="260">
        <v>6878.6681858454422</v>
      </c>
      <c r="K2113" s="881">
        <f t="shared" si="169"/>
        <v>171967</v>
      </c>
      <c r="L2113" s="869" t="s">
        <v>179</v>
      </c>
      <c r="M2113" s="86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909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992</v>
      </c>
      <c r="E2114" s="802">
        <v>40857</v>
      </c>
      <c r="F2114" s="192" t="s">
        <v>1319</v>
      </c>
      <c r="G2114" s="502" t="s">
        <v>1314</v>
      </c>
      <c r="H2114" s="193" t="s">
        <v>756</v>
      </c>
      <c r="I2114" s="260">
        <v>2</v>
      </c>
      <c r="J2114" s="260">
        <v>3522.5081858454428</v>
      </c>
      <c r="K2114" s="881">
        <f t="shared" si="169"/>
        <v>7045</v>
      </c>
      <c r="L2114" s="869" t="s">
        <v>179</v>
      </c>
      <c r="M2114" s="86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909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683</v>
      </c>
      <c r="E2115" s="184">
        <v>40858</v>
      </c>
      <c r="F2115" s="189" t="s">
        <v>1180</v>
      </c>
      <c r="G2115" s="620" t="s">
        <v>353</v>
      </c>
      <c r="H2115" s="193" t="s">
        <v>386</v>
      </c>
      <c r="I2115" s="260"/>
      <c r="J2115" s="260"/>
      <c r="K2115" s="618">
        <v>243000000</v>
      </c>
      <c r="L2115" s="619" t="s">
        <v>47</v>
      </c>
      <c r="M2115" s="619" t="s">
        <v>24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909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684</v>
      </c>
      <c r="E2116" s="191">
        <v>40858</v>
      </c>
      <c r="F2116" s="192" t="s">
        <v>471</v>
      </c>
      <c r="G2116" s="502" t="s">
        <v>1299</v>
      </c>
      <c r="H2116" s="45" t="s">
        <v>474</v>
      </c>
      <c r="I2116" s="260"/>
      <c r="J2116" s="260"/>
      <c r="K2116" s="38">
        <v>683400</v>
      </c>
      <c r="L2116" s="194" t="s">
        <v>167</v>
      </c>
      <c r="M2116" s="194" t="s">
        <v>47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909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684</v>
      </c>
      <c r="E2117" s="191">
        <v>40858</v>
      </c>
      <c r="F2117" s="192" t="s">
        <v>472</v>
      </c>
      <c r="G2117" s="502" t="s">
        <v>1299</v>
      </c>
      <c r="H2117" s="45" t="s">
        <v>474</v>
      </c>
      <c r="I2117" s="260"/>
      <c r="J2117" s="260"/>
      <c r="K2117" s="38">
        <v>68340</v>
      </c>
      <c r="L2117" s="194" t="s">
        <v>9</v>
      </c>
      <c r="M2117" s="194" t="s">
        <v>47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909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75" t="s">
        <v>1127</v>
      </c>
      <c r="E2118" s="802">
        <v>40858</v>
      </c>
      <c r="F2118" s="40" t="s">
        <v>672</v>
      </c>
      <c r="G2118" s="40"/>
      <c r="H2118" s="632" t="s">
        <v>1116</v>
      </c>
      <c r="I2118" s="260">
        <v>104.5</v>
      </c>
      <c r="J2118" s="260">
        <v>16502</v>
      </c>
      <c r="K2118" s="618">
        <f t="shared" ref="K2118:K2144" si="171">ROUND(I2118*J2118,0)</f>
        <v>1724459</v>
      </c>
      <c r="L2118" s="52" t="s">
        <v>167</v>
      </c>
      <c r="M2118" s="52" t="s">
        <v>159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909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75" t="s">
        <v>1127</v>
      </c>
      <c r="E2119" s="802">
        <v>40858</v>
      </c>
      <c r="F2119" s="40" t="s">
        <v>674</v>
      </c>
      <c r="G2119" s="40"/>
      <c r="H2119" s="632" t="s">
        <v>1116</v>
      </c>
      <c r="I2119" s="260">
        <v>141</v>
      </c>
      <c r="J2119" s="260">
        <v>14105</v>
      </c>
      <c r="K2119" s="618">
        <f t="shared" si="171"/>
        <v>1988805</v>
      </c>
      <c r="L2119" s="52" t="s">
        <v>167</v>
      </c>
      <c r="M2119" s="52" t="s">
        <v>159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909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75" t="s">
        <v>1127</v>
      </c>
      <c r="E2120" s="802">
        <v>40858</v>
      </c>
      <c r="F2120" s="40" t="s">
        <v>665</v>
      </c>
      <c r="G2120" s="40"/>
      <c r="H2120" s="632" t="s">
        <v>1116</v>
      </c>
      <c r="I2120" s="260">
        <v>174</v>
      </c>
      <c r="J2120" s="260">
        <v>20278</v>
      </c>
      <c r="K2120" s="618">
        <f t="shared" si="171"/>
        <v>3528372</v>
      </c>
      <c r="L2120" s="52" t="s">
        <v>167</v>
      </c>
      <c r="M2120" s="52" t="s">
        <v>159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909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75" t="s">
        <v>1127</v>
      </c>
      <c r="E2121" s="802">
        <v>40858</v>
      </c>
      <c r="F2121" s="189" t="s">
        <v>530</v>
      </c>
      <c r="G2121" s="40"/>
      <c r="H2121" s="632" t="s">
        <v>1116</v>
      </c>
      <c r="I2121" s="260">
        <v>38</v>
      </c>
      <c r="J2121" s="260">
        <v>8620</v>
      </c>
      <c r="K2121" s="618">
        <f t="shared" si="171"/>
        <v>327560</v>
      </c>
      <c r="L2121" s="52" t="s">
        <v>167</v>
      </c>
      <c r="M2121" s="52" t="s">
        <v>159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909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75" t="s">
        <v>1127</v>
      </c>
      <c r="E2122" s="802">
        <v>40858</v>
      </c>
      <c r="F2122" s="40" t="s">
        <v>674</v>
      </c>
      <c r="G2122" s="40"/>
      <c r="H2122" s="632" t="s">
        <v>1116</v>
      </c>
      <c r="I2122" s="260">
        <v>12</v>
      </c>
      <c r="J2122" s="260">
        <v>14105</v>
      </c>
      <c r="K2122" s="618">
        <f t="shared" si="171"/>
        <v>169260</v>
      </c>
      <c r="L2122" s="52" t="s">
        <v>167</v>
      </c>
      <c r="M2122" s="52" t="s">
        <v>159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909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75" t="s">
        <v>1127</v>
      </c>
      <c r="E2123" s="802">
        <v>40858</v>
      </c>
      <c r="F2123" s="40" t="s">
        <v>665</v>
      </c>
      <c r="G2123" s="40"/>
      <c r="H2123" s="632" t="s">
        <v>1116</v>
      </c>
      <c r="I2123" s="260">
        <v>0.5</v>
      </c>
      <c r="J2123" s="260">
        <v>20278</v>
      </c>
      <c r="K2123" s="618">
        <f t="shared" si="171"/>
        <v>10139</v>
      </c>
      <c r="L2123" s="52" t="s">
        <v>167</v>
      </c>
      <c r="M2123" s="52" t="s">
        <v>159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909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75" t="s">
        <v>1127</v>
      </c>
      <c r="E2124" s="802">
        <v>40858</v>
      </c>
      <c r="F2124" s="40" t="s">
        <v>634</v>
      </c>
      <c r="G2124" s="40"/>
      <c r="H2124" s="632" t="s">
        <v>1116</v>
      </c>
      <c r="I2124" s="260">
        <v>1.5</v>
      </c>
      <c r="J2124" s="260">
        <v>18396</v>
      </c>
      <c r="K2124" s="618">
        <f t="shared" si="171"/>
        <v>27594</v>
      </c>
      <c r="L2124" s="52" t="s">
        <v>167</v>
      </c>
      <c r="M2124" s="52" t="s">
        <v>159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909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75" t="s">
        <v>1127</v>
      </c>
      <c r="E2125" s="802">
        <v>40858</v>
      </c>
      <c r="F2125" s="189" t="s">
        <v>565</v>
      </c>
      <c r="G2125" s="40"/>
      <c r="H2125" s="632" t="s">
        <v>1116</v>
      </c>
      <c r="I2125" s="260">
        <v>1.5</v>
      </c>
      <c r="J2125" s="260">
        <v>19638</v>
      </c>
      <c r="K2125" s="618">
        <f t="shared" si="171"/>
        <v>29457</v>
      </c>
      <c r="L2125" s="52" t="s">
        <v>167</v>
      </c>
      <c r="M2125" s="52" t="s">
        <v>159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909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75" t="s">
        <v>1127</v>
      </c>
      <c r="E2126" s="802">
        <v>40858</v>
      </c>
      <c r="F2126" s="189" t="s">
        <v>524</v>
      </c>
      <c r="G2126" s="40"/>
      <c r="H2126" s="632" t="s">
        <v>1116</v>
      </c>
      <c r="I2126" s="260">
        <v>2.5</v>
      </c>
      <c r="J2126" s="260">
        <v>13498</v>
      </c>
      <c r="K2126" s="618">
        <f t="shared" si="171"/>
        <v>33745</v>
      </c>
      <c r="L2126" s="52" t="s">
        <v>167</v>
      </c>
      <c r="M2126" s="52" t="s">
        <v>159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909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75" t="s">
        <v>1128</v>
      </c>
      <c r="E2127" s="802">
        <v>40860</v>
      </c>
      <c r="F2127" s="189" t="s">
        <v>524</v>
      </c>
      <c r="G2127" s="40"/>
      <c r="H2127" s="632" t="s">
        <v>1116</v>
      </c>
      <c r="I2127" s="260">
        <v>2</v>
      </c>
      <c r="J2127" s="260">
        <v>13498</v>
      </c>
      <c r="K2127" s="618">
        <f t="shared" si="171"/>
        <v>26996</v>
      </c>
      <c r="L2127" s="52" t="s">
        <v>167</v>
      </c>
      <c r="M2127" s="52" t="s">
        <v>159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909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75" t="s">
        <v>1128</v>
      </c>
      <c r="E2128" s="802">
        <v>40860</v>
      </c>
      <c r="F2128" s="189" t="s">
        <v>410</v>
      </c>
      <c r="G2128" s="40"/>
      <c r="H2128" s="632" t="s">
        <v>1116</v>
      </c>
      <c r="I2128" s="851">
        <v>1</v>
      </c>
      <c r="J2128" s="260">
        <v>4449</v>
      </c>
      <c r="K2128" s="618">
        <f t="shared" si="171"/>
        <v>4449</v>
      </c>
      <c r="L2128" s="52" t="s">
        <v>167</v>
      </c>
      <c r="M2128" s="52" t="s">
        <v>159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909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75" t="s">
        <v>1128</v>
      </c>
      <c r="E2129" s="802">
        <v>40860</v>
      </c>
      <c r="F2129" s="189" t="s">
        <v>602</v>
      </c>
      <c r="G2129" s="40"/>
      <c r="H2129" s="632" t="s">
        <v>1116</v>
      </c>
      <c r="I2129" s="260">
        <v>2</v>
      </c>
      <c r="J2129" s="260">
        <v>7543</v>
      </c>
      <c r="K2129" s="618">
        <f t="shared" si="171"/>
        <v>15086</v>
      </c>
      <c r="L2129" s="52" t="s">
        <v>167</v>
      </c>
      <c r="M2129" s="52" t="s">
        <v>159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909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75" t="s">
        <v>1128</v>
      </c>
      <c r="E2130" s="802">
        <v>40860</v>
      </c>
      <c r="F2130" s="189" t="s">
        <v>410</v>
      </c>
      <c r="G2130" s="40"/>
      <c r="H2130" s="632" t="s">
        <v>1116</v>
      </c>
      <c r="I2130" s="851">
        <v>4</v>
      </c>
      <c r="J2130" s="260">
        <v>4449</v>
      </c>
      <c r="K2130" s="618">
        <f t="shared" si="171"/>
        <v>17796</v>
      </c>
      <c r="L2130" s="52" t="s">
        <v>167</v>
      </c>
      <c r="M2130" s="52" t="s">
        <v>159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909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75" t="s">
        <v>1128</v>
      </c>
      <c r="E2131" s="802">
        <v>40860</v>
      </c>
      <c r="F2131" s="189" t="s">
        <v>410</v>
      </c>
      <c r="G2131" s="40"/>
      <c r="H2131" s="632" t="s">
        <v>1116</v>
      </c>
      <c r="I2131" s="851">
        <v>2</v>
      </c>
      <c r="J2131" s="260">
        <v>4449</v>
      </c>
      <c r="K2131" s="618">
        <f t="shared" si="171"/>
        <v>8898</v>
      </c>
      <c r="L2131" s="52" t="s">
        <v>167</v>
      </c>
      <c r="M2131" s="52" t="s">
        <v>159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909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75" t="s">
        <v>1128</v>
      </c>
      <c r="E2132" s="802">
        <v>40860</v>
      </c>
      <c r="F2132" s="40" t="s">
        <v>662</v>
      </c>
      <c r="G2132" s="40"/>
      <c r="H2132" s="632" t="s">
        <v>1116</v>
      </c>
      <c r="I2132" s="260">
        <v>56</v>
      </c>
      <c r="J2132" s="260">
        <v>27283</v>
      </c>
      <c r="K2132" s="618">
        <f t="shared" si="171"/>
        <v>1527848</v>
      </c>
      <c r="L2132" s="52" t="s">
        <v>167</v>
      </c>
      <c r="M2132" s="52" t="s">
        <v>159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909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75" t="s">
        <v>1128</v>
      </c>
      <c r="E2133" s="802">
        <v>40860</v>
      </c>
      <c r="F2133" s="460" t="s">
        <v>666</v>
      </c>
      <c r="G2133" s="40"/>
      <c r="H2133" s="632" t="s">
        <v>1116</v>
      </c>
      <c r="I2133" s="260">
        <v>31</v>
      </c>
      <c r="J2133" s="260">
        <v>25631</v>
      </c>
      <c r="K2133" s="618">
        <f t="shared" si="171"/>
        <v>794561</v>
      </c>
      <c r="L2133" s="52" t="s">
        <v>167</v>
      </c>
      <c r="M2133" s="52" t="s">
        <v>159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909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75" t="s">
        <v>1128</v>
      </c>
      <c r="E2134" s="802">
        <v>40860</v>
      </c>
      <c r="F2134" s="189" t="s">
        <v>408</v>
      </c>
      <c r="G2134" s="40"/>
      <c r="H2134" s="632" t="s">
        <v>1116</v>
      </c>
      <c r="I2134" s="260">
        <v>139</v>
      </c>
      <c r="J2134" s="260">
        <v>6124</v>
      </c>
      <c r="K2134" s="618">
        <f t="shared" si="171"/>
        <v>851236</v>
      </c>
      <c r="L2134" s="52" t="s">
        <v>167</v>
      </c>
      <c r="M2134" s="52" t="s">
        <v>159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909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75" t="s">
        <v>1128</v>
      </c>
      <c r="E2135" s="802">
        <v>40860</v>
      </c>
      <c r="F2135" s="40" t="s">
        <v>672</v>
      </c>
      <c r="G2135" s="40"/>
      <c r="H2135" s="632" t="s">
        <v>1116</v>
      </c>
      <c r="I2135" s="260">
        <v>156</v>
      </c>
      <c r="J2135" s="260">
        <v>16502</v>
      </c>
      <c r="K2135" s="618">
        <f t="shared" si="171"/>
        <v>2574312</v>
      </c>
      <c r="L2135" s="52" t="s">
        <v>167</v>
      </c>
      <c r="M2135" s="52" t="s">
        <v>159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909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75" t="s">
        <v>1129</v>
      </c>
      <c r="E2136" s="802">
        <v>40861</v>
      </c>
      <c r="F2136" s="189" t="s">
        <v>601</v>
      </c>
      <c r="G2136" s="40"/>
      <c r="H2136" s="632" t="s">
        <v>1116</v>
      </c>
      <c r="I2136" s="260">
        <v>12</v>
      </c>
      <c r="J2136" s="260">
        <v>10344</v>
      </c>
      <c r="K2136" s="618">
        <f t="shared" si="171"/>
        <v>124128</v>
      </c>
      <c r="L2136" s="52" t="s">
        <v>167</v>
      </c>
      <c r="M2136" s="52" t="s">
        <v>159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909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75" t="s">
        <v>1129</v>
      </c>
      <c r="E2137" s="802">
        <v>40861</v>
      </c>
      <c r="F2137" s="189" t="s">
        <v>661</v>
      </c>
      <c r="G2137" s="40"/>
      <c r="H2137" s="632" t="s">
        <v>1116</v>
      </c>
      <c r="I2137" s="260">
        <v>103</v>
      </c>
      <c r="J2137" s="260">
        <v>24595</v>
      </c>
      <c r="K2137" s="618">
        <f t="shared" si="171"/>
        <v>2533285</v>
      </c>
      <c r="L2137" s="52" t="s">
        <v>167</v>
      </c>
      <c r="M2137" s="52" t="s">
        <v>159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909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75" t="s">
        <v>1129</v>
      </c>
      <c r="E2138" s="802">
        <v>40861</v>
      </c>
      <c r="F2138" s="189" t="s">
        <v>572</v>
      </c>
      <c r="G2138" s="40"/>
      <c r="H2138" s="632" t="s">
        <v>1116</v>
      </c>
      <c r="I2138" s="260">
        <v>45</v>
      </c>
      <c r="J2138" s="260">
        <v>13954</v>
      </c>
      <c r="K2138" s="618">
        <f t="shared" si="171"/>
        <v>627930</v>
      </c>
      <c r="L2138" s="52" t="s">
        <v>167</v>
      </c>
      <c r="M2138" s="52" t="s">
        <v>159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909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75" t="s">
        <v>1129</v>
      </c>
      <c r="E2139" s="802">
        <v>40861</v>
      </c>
      <c r="F2139" s="40" t="s">
        <v>634</v>
      </c>
      <c r="G2139" s="40"/>
      <c r="H2139" s="632" t="s">
        <v>1116</v>
      </c>
      <c r="I2139" s="260">
        <v>32.5</v>
      </c>
      <c r="J2139" s="260">
        <v>18396</v>
      </c>
      <c r="K2139" s="618">
        <f t="shared" si="171"/>
        <v>597870</v>
      </c>
      <c r="L2139" s="52" t="s">
        <v>167</v>
      </c>
      <c r="M2139" s="52" t="s">
        <v>159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909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75" t="s">
        <v>1129</v>
      </c>
      <c r="E2140" s="802">
        <v>40861</v>
      </c>
      <c r="F2140" s="40" t="s">
        <v>665</v>
      </c>
      <c r="G2140" s="40"/>
      <c r="H2140" s="632" t="s">
        <v>1116</v>
      </c>
      <c r="I2140" s="260">
        <v>30</v>
      </c>
      <c r="J2140" s="260">
        <v>20278</v>
      </c>
      <c r="K2140" s="618">
        <f t="shared" si="171"/>
        <v>608340</v>
      </c>
      <c r="L2140" s="52" t="s">
        <v>167</v>
      </c>
      <c r="M2140" s="52" t="s">
        <v>159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909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75" t="s">
        <v>1129</v>
      </c>
      <c r="E2141" s="802">
        <v>40861</v>
      </c>
      <c r="F2141" s="40" t="s">
        <v>672</v>
      </c>
      <c r="G2141" s="40"/>
      <c r="H2141" s="632" t="s">
        <v>1116</v>
      </c>
      <c r="I2141" s="260">
        <v>30.5</v>
      </c>
      <c r="J2141" s="260">
        <v>16502</v>
      </c>
      <c r="K2141" s="618">
        <f t="shared" si="171"/>
        <v>503311</v>
      </c>
      <c r="L2141" s="52" t="s">
        <v>167</v>
      </c>
      <c r="M2141" s="52" t="s">
        <v>159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909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75" t="s">
        <v>1129</v>
      </c>
      <c r="E2142" s="802">
        <v>40861</v>
      </c>
      <c r="F2142" s="40" t="s">
        <v>664</v>
      </c>
      <c r="G2142" s="40"/>
      <c r="H2142" s="632" t="s">
        <v>1116</v>
      </c>
      <c r="I2142" s="260">
        <v>51</v>
      </c>
      <c r="J2142" s="260">
        <v>34653</v>
      </c>
      <c r="K2142" s="618">
        <f t="shared" si="171"/>
        <v>1767303</v>
      </c>
      <c r="L2142" s="52" t="s">
        <v>167</v>
      </c>
      <c r="M2142" s="52" t="s">
        <v>159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909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75" t="s">
        <v>1129</v>
      </c>
      <c r="E2143" s="802">
        <v>40861</v>
      </c>
      <c r="F2143" s="40" t="s">
        <v>662</v>
      </c>
      <c r="G2143" s="40"/>
      <c r="H2143" s="632" t="s">
        <v>1116</v>
      </c>
      <c r="I2143" s="260">
        <v>38</v>
      </c>
      <c r="J2143" s="260">
        <v>27283</v>
      </c>
      <c r="K2143" s="618">
        <f t="shared" si="171"/>
        <v>1036754</v>
      </c>
      <c r="L2143" s="52" t="s">
        <v>167</v>
      </c>
      <c r="M2143" s="52" t="s">
        <v>159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909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75" t="s">
        <v>1129</v>
      </c>
      <c r="E2144" s="802">
        <v>40861</v>
      </c>
      <c r="F2144" s="40" t="s">
        <v>672</v>
      </c>
      <c r="G2144" s="40"/>
      <c r="H2144" s="632" t="s">
        <v>1116</v>
      </c>
      <c r="I2144" s="260">
        <v>118</v>
      </c>
      <c r="J2144" s="260">
        <v>16502</v>
      </c>
      <c r="K2144" s="618">
        <f t="shared" si="171"/>
        <v>1947236</v>
      </c>
      <c r="L2144" s="52" t="s">
        <v>167</v>
      </c>
      <c r="M2144" s="52" t="s">
        <v>159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909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356</v>
      </c>
      <c r="E2145" s="184">
        <v>40862</v>
      </c>
      <c r="F2145" s="189" t="s">
        <v>358</v>
      </c>
      <c r="G2145" s="620" t="s">
        <v>353</v>
      </c>
      <c r="H2145" s="7" t="s">
        <v>758</v>
      </c>
      <c r="I2145" s="260"/>
      <c r="J2145" s="260"/>
      <c r="K2145" s="618">
        <v>13199000</v>
      </c>
      <c r="L2145" s="619" t="s">
        <v>24</v>
      </c>
      <c r="M2145" s="619" t="s">
        <v>274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909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993</v>
      </c>
      <c r="E2146" s="191">
        <v>40862</v>
      </c>
      <c r="F2146" s="192" t="s">
        <v>769</v>
      </c>
      <c r="G2146" s="502" t="s">
        <v>1320</v>
      </c>
      <c r="H2146" s="193" t="s">
        <v>756</v>
      </c>
      <c r="I2146" s="260">
        <v>209</v>
      </c>
      <c r="J2146" s="260">
        <v>10595</v>
      </c>
      <c r="K2146" s="618">
        <v>2214355</v>
      </c>
      <c r="L2146" s="194" t="s">
        <v>274</v>
      </c>
      <c r="M2146" s="194" t="s">
        <v>181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909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993</v>
      </c>
      <c r="E2147" s="191">
        <v>40862</v>
      </c>
      <c r="F2147" s="192" t="s">
        <v>1293</v>
      </c>
      <c r="G2147" s="502" t="s">
        <v>1320</v>
      </c>
      <c r="H2147" s="193" t="s">
        <v>756</v>
      </c>
      <c r="I2147" s="260">
        <v>141</v>
      </c>
      <c r="J2147" s="260">
        <v>17966</v>
      </c>
      <c r="K2147" s="618">
        <v>2533206</v>
      </c>
      <c r="L2147" s="194" t="s">
        <v>274</v>
      </c>
      <c r="M2147" s="194" t="s">
        <v>181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909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993</v>
      </c>
      <c r="E2148" s="191">
        <v>40862</v>
      </c>
      <c r="F2148" s="192" t="s">
        <v>1294</v>
      </c>
      <c r="G2148" s="502" t="s">
        <v>1320</v>
      </c>
      <c r="H2148" s="193" t="s">
        <v>756</v>
      </c>
      <c r="I2148" s="260">
        <v>348</v>
      </c>
      <c r="J2148" s="260">
        <v>14535</v>
      </c>
      <c r="K2148" s="618">
        <v>5058180</v>
      </c>
      <c r="L2148" s="194" t="s">
        <v>274</v>
      </c>
      <c r="M2148" s="194" t="s">
        <v>181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909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993</v>
      </c>
      <c r="E2149" s="191">
        <v>40862</v>
      </c>
      <c r="F2149" s="192" t="s">
        <v>770</v>
      </c>
      <c r="G2149" s="502" t="s">
        <v>1320</v>
      </c>
      <c r="H2149" s="193" t="s">
        <v>756</v>
      </c>
      <c r="I2149" s="260">
        <v>38</v>
      </c>
      <c r="J2149" s="260">
        <v>11321</v>
      </c>
      <c r="K2149" s="618">
        <v>430198</v>
      </c>
      <c r="L2149" s="194" t="s">
        <v>274</v>
      </c>
      <c r="M2149" s="194" t="s">
        <v>181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909"/>
    </row>
    <row r="2150" spans="1:30" s="843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993</v>
      </c>
      <c r="E2150" s="191">
        <v>40862</v>
      </c>
      <c r="F2150" s="192" t="s">
        <v>1295</v>
      </c>
      <c r="G2150" s="502" t="s">
        <v>1320</v>
      </c>
      <c r="H2150" s="193" t="s">
        <v>756</v>
      </c>
      <c r="I2150" s="260">
        <v>24</v>
      </c>
      <c r="J2150" s="260">
        <v>10267</v>
      </c>
      <c r="K2150" s="618">
        <v>246408</v>
      </c>
      <c r="L2150" s="194" t="s">
        <v>274</v>
      </c>
      <c r="M2150" s="194" t="s">
        <v>181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909"/>
      <c r="AB2150" s="198"/>
      <c r="AC2150" s="198"/>
      <c r="AD2150" s="198"/>
    </row>
    <row r="2151" spans="1:30" s="843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993</v>
      </c>
      <c r="E2151" s="191">
        <v>40862</v>
      </c>
      <c r="F2151" s="192" t="s">
        <v>1034</v>
      </c>
      <c r="G2151" s="502" t="s">
        <v>1320</v>
      </c>
      <c r="H2151" s="193" t="s">
        <v>756</v>
      </c>
      <c r="I2151" s="260">
        <v>1</v>
      </c>
      <c r="J2151" s="260">
        <v>13099</v>
      </c>
      <c r="K2151" s="618">
        <v>13099</v>
      </c>
      <c r="L2151" s="194" t="s">
        <v>274</v>
      </c>
      <c r="M2151" s="194" t="s">
        <v>181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909"/>
      <c r="AB2151" s="198"/>
      <c r="AC2151" s="198"/>
      <c r="AD2151" s="198"/>
    </row>
    <row r="2152" spans="1:30" s="843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993</v>
      </c>
      <c r="E2152" s="191">
        <v>40862</v>
      </c>
      <c r="F2152" s="192" t="s">
        <v>772</v>
      </c>
      <c r="G2152" s="502" t="s">
        <v>1320</v>
      </c>
      <c r="H2152" s="193" t="s">
        <v>756</v>
      </c>
      <c r="I2152" s="260">
        <v>3</v>
      </c>
      <c r="J2152" s="260">
        <v>12564</v>
      </c>
      <c r="K2152" s="618">
        <v>37692</v>
      </c>
      <c r="L2152" s="194" t="s">
        <v>274</v>
      </c>
      <c r="M2152" s="194" t="s">
        <v>181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909"/>
      <c r="AB2152" s="198"/>
      <c r="AC2152" s="198"/>
      <c r="AD2152" s="198"/>
    </row>
    <row r="2153" spans="1:30" s="843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993</v>
      </c>
      <c r="E2153" s="191">
        <v>40862</v>
      </c>
      <c r="F2153" s="192" t="s">
        <v>775</v>
      </c>
      <c r="G2153" s="502" t="s">
        <v>1320</v>
      </c>
      <c r="H2153" s="193" t="s">
        <v>756</v>
      </c>
      <c r="I2153" s="260">
        <v>3</v>
      </c>
      <c r="J2153" s="260">
        <v>16284</v>
      </c>
      <c r="K2153" s="618">
        <v>48852</v>
      </c>
      <c r="L2153" s="194" t="s">
        <v>274</v>
      </c>
      <c r="M2153" s="194" t="s">
        <v>181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909"/>
      <c r="AB2153" s="198"/>
      <c r="AC2153" s="198"/>
      <c r="AD2153" s="198"/>
    </row>
    <row r="2154" spans="1:30" s="843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993</v>
      </c>
      <c r="E2154" s="191">
        <v>40862</v>
      </c>
      <c r="F2154" s="192" t="s">
        <v>771</v>
      </c>
      <c r="G2154" s="502" t="s">
        <v>1320</v>
      </c>
      <c r="H2154" s="193" t="s">
        <v>756</v>
      </c>
      <c r="I2154" s="260">
        <v>5</v>
      </c>
      <c r="J2154" s="260">
        <v>10253</v>
      </c>
      <c r="K2154" s="618">
        <v>51265</v>
      </c>
      <c r="L2154" s="194" t="s">
        <v>274</v>
      </c>
      <c r="M2154" s="194" t="s">
        <v>181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909"/>
      <c r="AB2154" s="198"/>
      <c r="AC2154" s="198"/>
      <c r="AD2154" s="198"/>
    </row>
    <row r="2155" spans="1:30" s="843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993</v>
      </c>
      <c r="E2155" s="191">
        <v>40862</v>
      </c>
      <c r="F2155" s="192" t="s">
        <v>1321</v>
      </c>
      <c r="G2155" s="502" t="s">
        <v>1320</v>
      </c>
      <c r="H2155" s="193" t="s">
        <v>756</v>
      </c>
      <c r="I2155" s="260">
        <v>4</v>
      </c>
      <c r="J2155" s="260">
        <v>10026</v>
      </c>
      <c r="K2155" s="618">
        <v>40104</v>
      </c>
      <c r="L2155" s="194" t="s">
        <v>274</v>
      </c>
      <c r="M2155" s="194" t="s">
        <v>181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909"/>
      <c r="AB2155" s="198"/>
      <c r="AC2155" s="198"/>
      <c r="AD2155" s="198"/>
    </row>
    <row r="2156" spans="1:30" s="843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993</v>
      </c>
      <c r="E2156" s="191">
        <v>40862</v>
      </c>
      <c r="F2156" s="192" t="s">
        <v>1055</v>
      </c>
      <c r="G2156" s="502" t="s">
        <v>1320</v>
      </c>
      <c r="H2156" s="193" t="s">
        <v>756</v>
      </c>
      <c r="I2156" s="260">
        <v>1</v>
      </c>
      <c r="J2156" s="260">
        <v>7285</v>
      </c>
      <c r="K2156" s="618">
        <v>7285</v>
      </c>
      <c r="L2156" s="194" t="s">
        <v>274</v>
      </c>
      <c r="M2156" s="194" t="s">
        <v>181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909"/>
      <c r="AB2156" s="198"/>
      <c r="AC2156" s="198"/>
      <c r="AD2156" s="198"/>
    </row>
    <row r="2157" spans="1:30" s="843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993</v>
      </c>
      <c r="E2157" s="191">
        <v>40862</v>
      </c>
      <c r="F2157" s="192" t="s">
        <v>780</v>
      </c>
      <c r="G2157" s="502" t="s">
        <v>1320</v>
      </c>
      <c r="H2157" s="193" t="s">
        <v>756</v>
      </c>
      <c r="I2157" s="260">
        <v>4</v>
      </c>
      <c r="J2157" s="260">
        <v>5210</v>
      </c>
      <c r="K2157" s="618">
        <v>20840</v>
      </c>
      <c r="L2157" s="194" t="s">
        <v>274</v>
      </c>
      <c r="M2157" s="194" t="s">
        <v>181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909"/>
      <c r="AB2157" s="198"/>
      <c r="AC2157" s="198"/>
      <c r="AD2157" s="198"/>
    </row>
    <row r="2158" spans="1:30" s="843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993</v>
      </c>
      <c r="E2158" s="191">
        <v>40862</v>
      </c>
      <c r="F2158" s="189" t="s">
        <v>948</v>
      </c>
      <c r="G2158" s="502" t="s">
        <v>1320</v>
      </c>
      <c r="H2158" s="193" t="s">
        <v>756</v>
      </c>
      <c r="I2158" s="260">
        <v>4</v>
      </c>
      <c r="J2158" s="260">
        <v>7094</v>
      </c>
      <c r="K2158" s="618">
        <v>28376</v>
      </c>
      <c r="L2158" s="194" t="s">
        <v>274</v>
      </c>
      <c r="M2158" s="194" t="s">
        <v>181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909"/>
      <c r="AB2158" s="198"/>
      <c r="AC2158" s="198"/>
      <c r="AD2158" s="198"/>
    </row>
    <row r="2159" spans="1:30" s="843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993</v>
      </c>
      <c r="E2159" s="191">
        <v>40862</v>
      </c>
      <c r="F2159" s="192" t="s">
        <v>781</v>
      </c>
      <c r="G2159" s="502" t="s">
        <v>1320</v>
      </c>
      <c r="H2159" s="193" t="s">
        <v>756</v>
      </c>
      <c r="I2159" s="260">
        <v>2</v>
      </c>
      <c r="J2159" s="260">
        <v>7348</v>
      </c>
      <c r="K2159" s="618">
        <v>14696</v>
      </c>
      <c r="L2159" s="194" t="s">
        <v>274</v>
      </c>
      <c r="M2159" s="194" t="s">
        <v>181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909"/>
      <c r="AB2159" s="198"/>
      <c r="AC2159" s="198"/>
      <c r="AD2159" s="198"/>
    </row>
    <row r="2160" spans="1:30" s="843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993</v>
      </c>
      <c r="E2160" s="191">
        <v>40862</v>
      </c>
      <c r="F2160" s="192" t="s">
        <v>950</v>
      </c>
      <c r="G2160" s="502" t="s">
        <v>1320</v>
      </c>
      <c r="H2160" s="193" t="s">
        <v>756</v>
      </c>
      <c r="I2160" s="260">
        <v>221</v>
      </c>
      <c r="J2160" s="260">
        <v>9594</v>
      </c>
      <c r="K2160" s="618">
        <v>2120274</v>
      </c>
      <c r="L2160" s="194" t="s">
        <v>274</v>
      </c>
      <c r="M2160" s="194" t="s">
        <v>181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909"/>
      <c r="AB2160" s="198"/>
      <c r="AC2160" s="198"/>
      <c r="AD2160" s="198"/>
    </row>
    <row r="2161" spans="1:30" s="843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993</v>
      </c>
      <c r="E2161" s="191">
        <v>40862</v>
      </c>
      <c r="F2161" s="192" t="s">
        <v>782</v>
      </c>
      <c r="G2161" s="502" t="s">
        <v>1320</v>
      </c>
      <c r="H2161" s="193" t="s">
        <v>756</v>
      </c>
      <c r="I2161" s="260">
        <v>62</v>
      </c>
      <c r="J2161" s="260">
        <v>15136</v>
      </c>
      <c r="K2161" s="618">
        <v>938432</v>
      </c>
      <c r="L2161" s="194" t="s">
        <v>274</v>
      </c>
      <c r="M2161" s="194" t="s">
        <v>181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909"/>
      <c r="AB2161" s="198"/>
      <c r="AC2161" s="198"/>
      <c r="AD2161" s="198"/>
    </row>
    <row r="2162" spans="1:30" s="843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993</v>
      </c>
      <c r="E2162" s="191">
        <v>40862</v>
      </c>
      <c r="F2162" s="192" t="s">
        <v>946</v>
      </c>
      <c r="G2162" s="502" t="s">
        <v>1320</v>
      </c>
      <c r="H2162" s="193" t="s">
        <v>756</v>
      </c>
      <c r="I2162" s="260">
        <v>139</v>
      </c>
      <c r="J2162" s="260">
        <v>8450</v>
      </c>
      <c r="K2162" s="618">
        <v>1174550</v>
      </c>
      <c r="L2162" s="194" t="s">
        <v>274</v>
      </c>
      <c r="M2162" s="194" t="s">
        <v>181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909"/>
      <c r="AB2162" s="198"/>
      <c r="AC2162" s="198"/>
      <c r="AD2162" s="198"/>
    </row>
    <row r="2163" spans="1:30" s="843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993</v>
      </c>
      <c r="E2163" s="191">
        <v>40862</v>
      </c>
      <c r="F2163" s="192" t="s">
        <v>769</v>
      </c>
      <c r="G2163" s="502" t="s">
        <v>1320</v>
      </c>
      <c r="H2163" s="193" t="s">
        <v>756</v>
      </c>
      <c r="I2163" s="260">
        <v>312</v>
      </c>
      <c r="J2163" s="260">
        <v>10595</v>
      </c>
      <c r="K2163" s="618">
        <v>3305640</v>
      </c>
      <c r="L2163" s="194" t="s">
        <v>274</v>
      </c>
      <c r="M2163" s="194" t="s">
        <v>181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909"/>
      <c r="AB2163" s="198"/>
      <c r="AC2163" s="198"/>
      <c r="AD2163" s="198"/>
    </row>
    <row r="2164" spans="1:30" s="843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993</v>
      </c>
      <c r="E2164" s="191">
        <v>40862</v>
      </c>
      <c r="F2164" s="192" t="s">
        <v>1322</v>
      </c>
      <c r="G2164" s="502" t="s">
        <v>1320</v>
      </c>
      <c r="H2164" s="193" t="s">
        <v>756</v>
      </c>
      <c r="I2164" s="260">
        <v>12</v>
      </c>
      <c r="J2164" s="260">
        <v>14836</v>
      </c>
      <c r="K2164" s="618">
        <v>178032</v>
      </c>
      <c r="L2164" s="194" t="s">
        <v>274</v>
      </c>
      <c r="M2164" s="194" t="s">
        <v>181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909"/>
      <c r="AB2164" s="198"/>
      <c r="AC2164" s="198"/>
      <c r="AD2164" s="198"/>
    </row>
    <row r="2165" spans="1:30" s="843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993</v>
      </c>
      <c r="E2165" s="191">
        <v>40862</v>
      </c>
      <c r="F2165" s="192" t="s">
        <v>773</v>
      </c>
      <c r="G2165" s="502" t="s">
        <v>1320</v>
      </c>
      <c r="H2165" s="193" t="s">
        <v>756</v>
      </c>
      <c r="I2165" s="260">
        <v>206</v>
      </c>
      <c r="J2165" s="260">
        <v>15618</v>
      </c>
      <c r="K2165" s="618">
        <v>3217308</v>
      </c>
      <c r="L2165" s="194" t="s">
        <v>274</v>
      </c>
      <c r="M2165" s="194" t="s">
        <v>181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909"/>
      <c r="AB2165" s="198"/>
      <c r="AC2165" s="198"/>
      <c r="AD2165" s="198"/>
    </row>
    <row r="2166" spans="1:30" s="843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993</v>
      </c>
      <c r="E2166" s="191">
        <v>40862</v>
      </c>
      <c r="F2166" s="192" t="s">
        <v>1323</v>
      </c>
      <c r="G2166" s="502" t="s">
        <v>1320</v>
      </c>
      <c r="H2166" s="193" t="s">
        <v>756</v>
      </c>
      <c r="I2166" s="260">
        <v>45</v>
      </c>
      <c r="J2166" s="260">
        <v>16215</v>
      </c>
      <c r="K2166" s="618">
        <v>729675</v>
      </c>
      <c r="L2166" s="194" t="s">
        <v>274</v>
      </c>
      <c r="M2166" s="194" t="s">
        <v>181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909"/>
      <c r="AB2166" s="198"/>
      <c r="AC2166" s="198"/>
      <c r="AD2166" s="198"/>
    </row>
    <row r="2167" spans="1:30" s="843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993</v>
      </c>
      <c r="E2167" s="191">
        <v>40862</v>
      </c>
      <c r="F2167" s="192" t="s">
        <v>1324</v>
      </c>
      <c r="G2167" s="502" t="s">
        <v>1320</v>
      </c>
      <c r="H2167" s="193" t="s">
        <v>756</v>
      </c>
      <c r="I2167" s="260">
        <v>63</v>
      </c>
      <c r="J2167" s="260">
        <v>12346</v>
      </c>
      <c r="K2167" s="618">
        <v>777798</v>
      </c>
      <c r="L2167" s="194" t="s">
        <v>274</v>
      </c>
      <c r="M2167" s="194" t="s">
        <v>181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909"/>
      <c r="AB2167" s="198"/>
      <c r="AC2167" s="198"/>
      <c r="AD2167" s="198"/>
    </row>
    <row r="2168" spans="1:30" s="843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993</v>
      </c>
      <c r="E2168" s="191">
        <v>40862</v>
      </c>
      <c r="F2168" s="192" t="s">
        <v>1325</v>
      </c>
      <c r="G2168" s="502" t="s">
        <v>1320</v>
      </c>
      <c r="H2168" s="193" t="s">
        <v>756</v>
      </c>
      <c r="I2168" s="260">
        <v>60</v>
      </c>
      <c r="J2168" s="260">
        <v>13110</v>
      </c>
      <c r="K2168" s="618">
        <v>786600</v>
      </c>
      <c r="L2168" s="194" t="s">
        <v>274</v>
      </c>
      <c r="M2168" s="194" t="s">
        <v>181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909"/>
      <c r="AB2168" s="198"/>
      <c r="AC2168" s="198"/>
      <c r="AD2168" s="198"/>
    </row>
    <row r="2169" spans="1:30" s="843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993</v>
      </c>
      <c r="E2169" s="191">
        <v>40862</v>
      </c>
      <c r="F2169" s="192" t="s">
        <v>1326</v>
      </c>
      <c r="G2169" s="502" t="s">
        <v>1320</v>
      </c>
      <c r="H2169" s="193" t="s">
        <v>756</v>
      </c>
      <c r="I2169" s="260">
        <v>61</v>
      </c>
      <c r="J2169" s="260">
        <v>10884</v>
      </c>
      <c r="K2169" s="618">
        <v>663924</v>
      </c>
      <c r="L2169" s="194" t="s">
        <v>274</v>
      </c>
      <c r="M2169" s="194" t="s">
        <v>181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909"/>
      <c r="AB2169" s="198"/>
      <c r="AC2169" s="198"/>
      <c r="AD2169" s="198"/>
    </row>
    <row r="2170" spans="1:30" s="843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993</v>
      </c>
      <c r="E2170" s="191">
        <v>40862</v>
      </c>
      <c r="F2170" s="192" t="s">
        <v>1327</v>
      </c>
      <c r="G2170" s="502" t="s">
        <v>1320</v>
      </c>
      <c r="H2170" s="193" t="s">
        <v>756</v>
      </c>
      <c r="I2170" s="260">
        <v>104</v>
      </c>
      <c r="J2170" s="260">
        <v>22061</v>
      </c>
      <c r="K2170" s="618">
        <v>2294344</v>
      </c>
      <c r="L2170" s="194" t="s">
        <v>274</v>
      </c>
      <c r="M2170" s="194" t="s">
        <v>181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909"/>
      <c r="AB2170" s="198"/>
      <c r="AC2170" s="198"/>
      <c r="AD2170" s="198"/>
    </row>
    <row r="2171" spans="1:30" s="843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993</v>
      </c>
      <c r="E2171" s="191">
        <v>40862</v>
      </c>
      <c r="F2171" s="192" t="s">
        <v>1328</v>
      </c>
      <c r="G2171" s="502" t="s">
        <v>1320</v>
      </c>
      <c r="H2171" s="193" t="s">
        <v>756</v>
      </c>
      <c r="I2171" s="260">
        <v>152</v>
      </c>
      <c r="J2171" s="260">
        <v>9449</v>
      </c>
      <c r="K2171" s="618">
        <v>1436248</v>
      </c>
      <c r="L2171" s="194" t="s">
        <v>274</v>
      </c>
      <c r="M2171" s="194" t="s">
        <v>181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909"/>
      <c r="AB2171" s="198"/>
      <c r="AC2171" s="198"/>
      <c r="AD2171" s="198"/>
    </row>
    <row r="2172" spans="1:30" s="843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993</v>
      </c>
      <c r="E2172" s="191">
        <v>40862</v>
      </c>
      <c r="F2172" s="192" t="s">
        <v>1329</v>
      </c>
      <c r="G2172" s="502" t="s">
        <v>1320</v>
      </c>
      <c r="H2172" s="193" t="s">
        <v>756</v>
      </c>
      <c r="I2172" s="260">
        <v>235</v>
      </c>
      <c r="J2172" s="260">
        <v>10362</v>
      </c>
      <c r="K2172" s="618">
        <v>2435070</v>
      </c>
      <c r="L2172" s="194" t="s">
        <v>274</v>
      </c>
      <c r="M2172" s="194" t="s">
        <v>181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909"/>
      <c r="AB2172" s="198"/>
      <c r="AC2172" s="198"/>
      <c r="AD2172" s="198"/>
    </row>
    <row r="2173" spans="1:30" s="843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993</v>
      </c>
      <c r="E2173" s="191">
        <v>40862</v>
      </c>
      <c r="F2173" s="192" t="s">
        <v>1200</v>
      </c>
      <c r="G2173" s="502" t="s">
        <v>1320</v>
      </c>
      <c r="H2173" s="193" t="s">
        <v>756</v>
      </c>
      <c r="I2173" s="260"/>
      <c r="J2173" s="260"/>
      <c r="K2173" s="618">
        <v>3080245</v>
      </c>
      <c r="L2173" s="194" t="s">
        <v>274</v>
      </c>
      <c r="M2173" s="194" t="s">
        <v>754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909"/>
      <c r="AB2173" s="198"/>
      <c r="AC2173" s="198"/>
      <c r="AD2173" s="198"/>
    </row>
    <row r="2174" spans="1:30" s="843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75" t="s">
        <v>1130</v>
      </c>
      <c r="E2174" s="802">
        <v>40862</v>
      </c>
      <c r="F2174" s="40" t="s">
        <v>664</v>
      </c>
      <c r="G2174" s="40"/>
      <c r="H2174" s="632" t="s">
        <v>1116</v>
      </c>
      <c r="I2174" s="260">
        <v>19</v>
      </c>
      <c r="J2174" s="260">
        <v>34653</v>
      </c>
      <c r="K2174" s="618">
        <f t="shared" ref="K2174:K2205" si="174">ROUND(I2174*J2174,0)</f>
        <v>658407</v>
      </c>
      <c r="L2174" s="52" t="s">
        <v>167</v>
      </c>
      <c r="M2174" s="52" t="s">
        <v>159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909"/>
      <c r="AB2174" s="198"/>
      <c r="AC2174" s="198"/>
      <c r="AD2174" s="198"/>
    </row>
    <row r="2175" spans="1:30" s="843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75" t="s">
        <v>1130</v>
      </c>
      <c r="E2175" s="802">
        <v>40862</v>
      </c>
      <c r="F2175" s="40" t="s">
        <v>674</v>
      </c>
      <c r="G2175" s="40"/>
      <c r="H2175" s="632" t="s">
        <v>1116</v>
      </c>
      <c r="I2175" s="260">
        <v>8</v>
      </c>
      <c r="J2175" s="260">
        <v>14105</v>
      </c>
      <c r="K2175" s="618">
        <f t="shared" si="174"/>
        <v>112840</v>
      </c>
      <c r="L2175" s="52" t="s">
        <v>167</v>
      </c>
      <c r="M2175" s="52" t="s">
        <v>159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909"/>
      <c r="AB2175" s="198"/>
      <c r="AC2175" s="198"/>
      <c r="AD2175" s="198"/>
    </row>
    <row r="2176" spans="1:30" s="843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75" t="s">
        <v>1130</v>
      </c>
      <c r="E2176" s="802">
        <v>40862</v>
      </c>
      <c r="F2176" s="189" t="s">
        <v>530</v>
      </c>
      <c r="G2176" s="40"/>
      <c r="H2176" s="632" t="s">
        <v>1116</v>
      </c>
      <c r="I2176" s="260">
        <v>24</v>
      </c>
      <c r="J2176" s="260">
        <v>8620</v>
      </c>
      <c r="K2176" s="618">
        <f t="shared" si="174"/>
        <v>206880</v>
      </c>
      <c r="L2176" s="52" t="s">
        <v>167</v>
      </c>
      <c r="M2176" s="52" t="s">
        <v>159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909"/>
      <c r="AB2176" s="198"/>
      <c r="AC2176" s="198"/>
      <c r="AD2176" s="198"/>
    </row>
    <row r="2177" spans="1:30" s="843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75" t="s">
        <v>1130</v>
      </c>
      <c r="E2177" s="802">
        <v>40862</v>
      </c>
      <c r="F2177" s="40" t="s">
        <v>674</v>
      </c>
      <c r="G2177" s="40"/>
      <c r="H2177" s="632" t="s">
        <v>1116</v>
      </c>
      <c r="I2177" s="260">
        <v>12</v>
      </c>
      <c r="J2177" s="260">
        <v>14105</v>
      </c>
      <c r="K2177" s="618">
        <f t="shared" si="174"/>
        <v>169260</v>
      </c>
      <c r="L2177" s="52" t="s">
        <v>167</v>
      </c>
      <c r="M2177" s="52" t="s">
        <v>159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909"/>
      <c r="AB2177" s="198"/>
      <c r="AC2177" s="198"/>
      <c r="AD2177" s="198"/>
    </row>
    <row r="2178" spans="1:30" s="843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75" t="s">
        <v>1130</v>
      </c>
      <c r="E2178" s="802">
        <v>40862</v>
      </c>
      <c r="F2178" s="189" t="s">
        <v>572</v>
      </c>
      <c r="G2178" s="40"/>
      <c r="H2178" s="632" t="s">
        <v>1116</v>
      </c>
      <c r="I2178" s="260">
        <v>1</v>
      </c>
      <c r="J2178" s="260">
        <v>13954</v>
      </c>
      <c r="K2178" s="618">
        <f t="shared" si="174"/>
        <v>13954</v>
      </c>
      <c r="L2178" s="52" t="s">
        <v>167</v>
      </c>
      <c r="M2178" s="52" t="s">
        <v>159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909"/>
      <c r="AB2178" s="198"/>
      <c r="AC2178" s="198"/>
      <c r="AD2178" s="198"/>
    </row>
    <row r="2179" spans="1:30" s="843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75" t="s">
        <v>1130</v>
      </c>
      <c r="E2179" s="802">
        <v>40862</v>
      </c>
      <c r="F2179" s="189" t="s">
        <v>661</v>
      </c>
      <c r="G2179" s="40"/>
      <c r="H2179" s="632" t="s">
        <v>1116</v>
      </c>
      <c r="I2179" s="260">
        <v>12.5</v>
      </c>
      <c r="J2179" s="260">
        <v>24595</v>
      </c>
      <c r="K2179" s="618">
        <f t="shared" si="174"/>
        <v>307438</v>
      </c>
      <c r="L2179" s="52" t="s">
        <v>167</v>
      </c>
      <c r="M2179" s="52" t="s">
        <v>159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909"/>
      <c r="AB2179" s="198"/>
      <c r="AC2179" s="198"/>
      <c r="AD2179" s="198"/>
    </row>
    <row r="2180" spans="1:30" s="843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75" t="s">
        <v>1130</v>
      </c>
      <c r="E2180" s="802">
        <v>40862</v>
      </c>
      <c r="F2180" s="189" t="s">
        <v>530</v>
      </c>
      <c r="G2180" s="40"/>
      <c r="H2180" s="632" t="s">
        <v>1116</v>
      </c>
      <c r="I2180" s="260">
        <v>274</v>
      </c>
      <c r="J2180" s="260">
        <v>8620</v>
      </c>
      <c r="K2180" s="618">
        <f t="shared" si="174"/>
        <v>2361880</v>
      </c>
      <c r="L2180" s="52" t="s">
        <v>167</v>
      </c>
      <c r="M2180" s="52" t="s">
        <v>159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909"/>
      <c r="AB2180" s="198"/>
      <c r="AC2180" s="198"/>
      <c r="AD2180" s="198"/>
    </row>
    <row r="2181" spans="1:30" s="843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75" t="s">
        <v>1130</v>
      </c>
      <c r="E2181" s="802">
        <v>40862</v>
      </c>
      <c r="F2181" s="189" t="s">
        <v>530</v>
      </c>
      <c r="G2181" s="40"/>
      <c r="H2181" s="632" t="s">
        <v>1116</v>
      </c>
      <c r="I2181" s="260">
        <v>123</v>
      </c>
      <c r="J2181" s="260">
        <v>8620</v>
      </c>
      <c r="K2181" s="618">
        <f t="shared" si="174"/>
        <v>1060260</v>
      </c>
      <c r="L2181" s="52" t="s">
        <v>167</v>
      </c>
      <c r="M2181" s="52" t="s">
        <v>159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909"/>
      <c r="AB2181" s="198"/>
      <c r="AC2181" s="198"/>
      <c r="AD2181" s="198"/>
    </row>
    <row r="2182" spans="1:30" s="843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75" t="s">
        <v>1130</v>
      </c>
      <c r="E2182" s="802">
        <v>40862</v>
      </c>
      <c r="F2182" s="189" t="s">
        <v>410</v>
      </c>
      <c r="G2182" s="40"/>
      <c r="H2182" s="632" t="s">
        <v>1116</v>
      </c>
      <c r="I2182" s="851">
        <v>4</v>
      </c>
      <c r="J2182" s="260">
        <v>4449</v>
      </c>
      <c r="K2182" s="618">
        <f t="shared" si="174"/>
        <v>17796</v>
      </c>
      <c r="L2182" s="52" t="s">
        <v>167</v>
      </c>
      <c r="M2182" s="52" t="s">
        <v>159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909"/>
      <c r="AB2182" s="198"/>
      <c r="AC2182" s="198"/>
      <c r="AD2182" s="198"/>
    </row>
    <row r="2183" spans="1:30" s="843" customFormat="1" ht="15.75" customHeight="1">
      <c r="A2183" s="204" t="str">
        <f>IF(B2183&lt;&gt;"",IF(AND(B2183&gt;=_TM1,B2183&lt;=_TM2,OR(TH!L2183="1111",TH!M2183="1111")),TH!D2183,""),"")</f>
        <v/>
      </c>
      <c r="B2183" s="719">
        <f t="shared" si="172"/>
        <v>11</v>
      </c>
      <c r="C2183" s="875">
        <f t="shared" si="173"/>
        <v>40862</v>
      </c>
      <c r="D2183" s="48" t="s">
        <v>1151</v>
      </c>
      <c r="E2183" s="910">
        <v>40862</v>
      </c>
      <c r="F2183" s="49" t="s">
        <v>769</v>
      </c>
      <c r="G2183" s="49"/>
      <c r="H2183" s="883" t="s">
        <v>1116</v>
      </c>
      <c r="I2183" s="258">
        <v>209</v>
      </c>
      <c r="J2183" s="258">
        <v>9549.5034011564458</v>
      </c>
      <c r="K2183" s="723">
        <f t="shared" si="174"/>
        <v>1995846</v>
      </c>
      <c r="L2183" s="52" t="s">
        <v>169</v>
      </c>
      <c r="M2183" s="52" t="s">
        <v>167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909"/>
    </row>
    <row r="2184" spans="1:30" s="843" customFormat="1" ht="15.75" customHeight="1">
      <c r="A2184" s="204" t="str">
        <f>IF(B2184&lt;&gt;"",IF(AND(B2184&gt;=_TM1,B2184&lt;=_TM2,OR(TH!L2184="1111",TH!M2184="1111")),TH!D2184,""),"")</f>
        <v/>
      </c>
      <c r="B2184" s="719">
        <f t="shared" si="172"/>
        <v>11</v>
      </c>
      <c r="C2184" s="875">
        <f t="shared" si="173"/>
        <v>40862</v>
      </c>
      <c r="D2184" s="48" t="s">
        <v>1151</v>
      </c>
      <c r="E2184" s="910">
        <v>40862</v>
      </c>
      <c r="F2184" s="49" t="s">
        <v>1293</v>
      </c>
      <c r="G2184" s="49"/>
      <c r="H2184" s="883" t="s">
        <v>1116</v>
      </c>
      <c r="I2184" s="258">
        <v>141</v>
      </c>
      <c r="J2184" s="258">
        <v>15403.501093646861</v>
      </c>
      <c r="K2184" s="723">
        <f t="shared" si="174"/>
        <v>2171894</v>
      </c>
      <c r="L2184" s="52" t="s">
        <v>169</v>
      </c>
      <c r="M2184" s="52" t="s">
        <v>167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909"/>
    </row>
    <row r="2185" spans="1:30" s="843" customFormat="1" ht="15.75" customHeight="1">
      <c r="A2185" s="204" t="str">
        <f>IF(B2185&lt;&gt;"",IF(AND(B2185&gt;=_TM1,B2185&lt;=_TM2,OR(TH!L2185="1111",TH!M2185="1111")),TH!D2185,""),"")</f>
        <v/>
      </c>
      <c r="B2185" s="719">
        <f t="shared" si="172"/>
        <v>11</v>
      </c>
      <c r="C2185" s="875">
        <f t="shared" si="173"/>
        <v>40862</v>
      </c>
      <c r="D2185" s="48" t="s">
        <v>1151</v>
      </c>
      <c r="E2185" s="910">
        <v>40862</v>
      </c>
      <c r="F2185" s="49" t="s">
        <v>1294</v>
      </c>
      <c r="G2185" s="49"/>
      <c r="H2185" s="883" t="s">
        <v>1116</v>
      </c>
      <c r="I2185" s="258">
        <v>348</v>
      </c>
      <c r="J2185" s="258">
        <v>11437.505312282225</v>
      </c>
      <c r="K2185" s="723">
        <f t="shared" si="174"/>
        <v>3980252</v>
      </c>
      <c r="L2185" s="52" t="s">
        <v>169</v>
      </c>
      <c r="M2185" s="52" t="s">
        <v>167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909"/>
    </row>
    <row r="2186" spans="1:30" s="843" customFormat="1" ht="15.75" customHeight="1">
      <c r="A2186" s="204" t="str">
        <f>IF(B2186&lt;&gt;"",IF(AND(B2186&gt;=_TM1,B2186&lt;=_TM2,OR(TH!L2186="1111",TH!M2186="1111")),TH!D2186,""),"")</f>
        <v/>
      </c>
      <c r="B2186" s="719">
        <f t="shared" si="172"/>
        <v>11</v>
      </c>
      <c r="C2186" s="875">
        <f t="shared" si="173"/>
        <v>40862</v>
      </c>
      <c r="D2186" s="48" t="s">
        <v>1151</v>
      </c>
      <c r="E2186" s="910">
        <v>40862</v>
      </c>
      <c r="F2186" s="49" t="s">
        <v>770</v>
      </c>
      <c r="G2186" s="49"/>
      <c r="H2186" s="883" t="s">
        <v>1116</v>
      </c>
      <c r="I2186" s="258">
        <v>38</v>
      </c>
      <c r="J2186" s="258">
        <v>9918.4818700559699</v>
      </c>
      <c r="K2186" s="723">
        <f t="shared" si="174"/>
        <v>376902</v>
      </c>
      <c r="L2186" s="52" t="s">
        <v>169</v>
      </c>
      <c r="M2186" s="52" t="s">
        <v>167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909"/>
    </row>
    <row r="2187" spans="1:30" s="843" customFormat="1" ht="15.75" customHeight="1">
      <c r="A2187" s="204" t="str">
        <f>IF(B2187&lt;&gt;"",IF(AND(B2187&gt;=_TM1,B2187&lt;=_TM2,OR(TH!L2187="1111",TH!M2187="1111")),TH!D2187,""),"")</f>
        <v/>
      </c>
      <c r="B2187" s="719">
        <f t="shared" si="172"/>
        <v>11</v>
      </c>
      <c r="C2187" s="875">
        <f t="shared" si="173"/>
        <v>40862</v>
      </c>
      <c r="D2187" s="48" t="s">
        <v>1151</v>
      </c>
      <c r="E2187" s="910">
        <v>40862</v>
      </c>
      <c r="F2187" s="192" t="s">
        <v>1295</v>
      </c>
      <c r="G2187" s="49"/>
      <c r="H2187" s="883" t="s">
        <v>1116</v>
      </c>
      <c r="I2187" s="258">
        <v>24</v>
      </c>
      <c r="J2187" s="258">
        <v>8350.9665191787753</v>
      </c>
      <c r="K2187" s="723">
        <f t="shared" si="174"/>
        <v>200423</v>
      </c>
      <c r="L2187" s="52" t="s">
        <v>169</v>
      </c>
      <c r="M2187" s="52" t="s">
        <v>167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909"/>
    </row>
    <row r="2188" spans="1:30" s="843" customFormat="1" ht="15.75" customHeight="1">
      <c r="A2188" s="204" t="str">
        <f>IF(B2188&lt;&gt;"",IF(AND(B2188&gt;=_TM1,B2188&lt;=_TM2,OR(TH!L2188="1111",TH!M2188="1111")),TH!D2188,""),"")</f>
        <v/>
      </c>
      <c r="B2188" s="719">
        <f t="shared" si="172"/>
        <v>11</v>
      </c>
      <c r="C2188" s="875">
        <f t="shared" si="173"/>
        <v>40862</v>
      </c>
      <c r="D2188" s="48" t="s">
        <v>1151</v>
      </c>
      <c r="E2188" s="910">
        <v>40862</v>
      </c>
      <c r="F2188" s="49" t="s">
        <v>1034</v>
      </c>
      <c r="G2188" s="49"/>
      <c r="H2188" s="883" t="s">
        <v>1116</v>
      </c>
      <c r="I2188" s="258">
        <v>1</v>
      </c>
      <c r="J2188" s="258">
        <v>11436.508185845443</v>
      </c>
      <c r="K2188" s="723">
        <f t="shared" si="174"/>
        <v>11437</v>
      </c>
      <c r="L2188" s="52" t="s">
        <v>169</v>
      </c>
      <c r="M2188" s="52" t="s">
        <v>167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909"/>
    </row>
    <row r="2189" spans="1:30" s="843" customFormat="1" ht="15.75" customHeight="1">
      <c r="A2189" s="204" t="str">
        <f>IF(B2189&lt;&gt;"",IF(AND(B2189&gt;=_TM1,B2189&lt;=_TM2,OR(TH!L2189="1111",TH!M2189="1111")),TH!D2189,""),"")</f>
        <v/>
      </c>
      <c r="B2189" s="719">
        <f t="shared" si="172"/>
        <v>11</v>
      </c>
      <c r="C2189" s="875">
        <f t="shared" si="173"/>
        <v>40862</v>
      </c>
      <c r="D2189" s="48" t="s">
        <v>1151</v>
      </c>
      <c r="E2189" s="910">
        <v>40862</v>
      </c>
      <c r="F2189" s="49" t="s">
        <v>772</v>
      </c>
      <c r="G2189" s="49"/>
      <c r="H2189" s="883" t="s">
        <v>1116</v>
      </c>
      <c r="I2189" s="258">
        <v>3</v>
      </c>
      <c r="J2189" s="258">
        <v>10496.174852512109</v>
      </c>
      <c r="K2189" s="723">
        <f t="shared" si="174"/>
        <v>31489</v>
      </c>
      <c r="L2189" s="52" t="s">
        <v>169</v>
      </c>
      <c r="M2189" s="52" t="s">
        <v>167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909"/>
    </row>
    <row r="2190" spans="1:30" s="843" customFormat="1" ht="15.75" customHeight="1">
      <c r="A2190" s="204" t="str">
        <f>IF(B2190&lt;&gt;"",IF(AND(B2190&gt;=_TM1,B2190&lt;=_TM2,OR(TH!L2190="1111",TH!M2190="1111")),TH!D2190,""),"")</f>
        <v/>
      </c>
      <c r="B2190" s="719">
        <f t="shared" si="172"/>
        <v>11</v>
      </c>
      <c r="C2190" s="875">
        <f t="shared" si="173"/>
        <v>40862</v>
      </c>
      <c r="D2190" s="48" t="s">
        <v>1151</v>
      </c>
      <c r="E2190" s="910">
        <v>40862</v>
      </c>
      <c r="F2190" s="49" t="s">
        <v>775</v>
      </c>
      <c r="G2190" s="49"/>
      <c r="H2190" s="883" t="s">
        <v>1116</v>
      </c>
      <c r="I2190" s="258">
        <v>3</v>
      </c>
      <c r="J2190" s="258">
        <v>11117.174852512109</v>
      </c>
      <c r="K2190" s="723">
        <f t="shared" si="174"/>
        <v>33352</v>
      </c>
      <c r="L2190" s="52" t="s">
        <v>169</v>
      </c>
      <c r="M2190" s="52" t="s">
        <v>167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909"/>
    </row>
    <row r="2191" spans="1:30" s="843" customFormat="1" ht="15.75" customHeight="1">
      <c r="A2191" s="204" t="str">
        <f>IF(B2191&lt;&gt;"",IF(AND(B2191&gt;=_TM1,B2191&lt;=_TM2,OR(TH!L2191="1111",TH!M2191="1111")),TH!D2191,""),"")</f>
        <v/>
      </c>
      <c r="B2191" s="719">
        <f t="shared" si="172"/>
        <v>11</v>
      </c>
      <c r="C2191" s="875">
        <f t="shared" si="173"/>
        <v>40862</v>
      </c>
      <c r="D2191" s="48" t="s">
        <v>1151</v>
      </c>
      <c r="E2191" s="910">
        <v>40862</v>
      </c>
      <c r="F2191" s="49" t="s">
        <v>771</v>
      </c>
      <c r="G2191" s="49"/>
      <c r="H2191" s="883" t="s">
        <v>1116</v>
      </c>
      <c r="I2191" s="258">
        <v>5</v>
      </c>
      <c r="J2191" s="258">
        <v>8047.3081858454416</v>
      </c>
      <c r="K2191" s="723">
        <f t="shared" si="174"/>
        <v>40237</v>
      </c>
      <c r="L2191" s="52" t="s">
        <v>169</v>
      </c>
      <c r="M2191" s="52" t="s">
        <v>167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909"/>
    </row>
    <row r="2192" spans="1:30" s="843" customFormat="1" ht="15.75" customHeight="1">
      <c r="A2192" s="204" t="str">
        <f>IF(B2192&lt;&gt;"",IF(AND(B2192&gt;=_TM1,B2192&lt;=_TM2,OR(TH!L2192="1111",TH!M2192="1111")),TH!D2192,""),"")</f>
        <v/>
      </c>
      <c r="B2192" s="719">
        <f t="shared" si="172"/>
        <v>11</v>
      </c>
      <c r="C2192" s="875">
        <f t="shared" si="173"/>
        <v>40862</v>
      </c>
      <c r="D2192" s="48" t="s">
        <v>1152</v>
      </c>
      <c r="E2192" s="910">
        <v>40862</v>
      </c>
      <c r="F2192" s="192" t="s">
        <v>1321</v>
      </c>
      <c r="G2192" s="49"/>
      <c r="H2192" s="883" t="s">
        <v>1116</v>
      </c>
      <c r="I2192" s="258">
        <v>4</v>
      </c>
      <c r="J2192" s="258">
        <v>8047.2581858454423</v>
      </c>
      <c r="K2192" s="723">
        <f t="shared" si="174"/>
        <v>32189</v>
      </c>
      <c r="L2192" s="52" t="s">
        <v>169</v>
      </c>
      <c r="M2192" s="52" t="s">
        <v>167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909"/>
    </row>
    <row r="2193" spans="1:30" s="843" customFormat="1" ht="15.75" customHeight="1">
      <c r="A2193" s="204" t="str">
        <f>IF(B2193&lt;&gt;"",IF(AND(B2193&gt;=_TM1,B2193&lt;=_TM2,OR(TH!L2193="1111",TH!M2193="1111")),TH!D2193,""),"")</f>
        <v/>
      </c>
      <c r="B2193" s="719">
        <f t="shared" si="172"/>
        <v>11</v>
      </c>
      <c r="C2193" s="875">
        <f t="shared" si="173"/>
        <v>40862</v>
      </c>
      <c r="D2193" s="48" t="s">
        <v>1152</v>
      </c>
      <c r="E2193" s="910">
        <v>40862</v>
      </c>
      <c r="F2193" s="885" t="s">
        <v>1055</v>
      </c>
      <c r="G2193" s="49"/>
      <c r="H2193" s="883" t="s">
        <v>1116</v>
      </c>
      <c r="I2193" s="258">
        <v>1</v>
      </c>
      <c r="J2193" s="258">
        <v>5746.5081858454423</v>
      </c>
      <c r="K2193" s="723">
        <f t="shared" si="174"/>
        <v>5747</v>
      </c>
      <c r="L2193" s="52" t="s">
        <v>169</v>
      </c>
      <c r="M2193" s="52" t="s">
        <v>167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909"/>
    </row>
    <row r="2194" spans="1:30" s="843" customFormat="1" ht="15.75" customHeight="1">
      <c r="A2194" s="204" t="str">
        <f>IF(B2194&lt;&gt;"",IF(AND(B2194&gt;=_TM1,B2194&lt;=_TM2,OR(TH!L2194="1111",TH!M2194="1111")),TH!D2194,""),"")</f>
        <v/>
      </c>
      <c r="B2194" s="719">
        <f t="shared" si="172"/>
        <v>11</v>
      </c>
      <c r="C2194" s="875">
        <f t="shared" si="173"/>
        <v>40862</v>
      </c>
      <c r="D2194" s="48" t="s">
        <v>1152</v>
      </c>
      <c r="E2194" s="910">
        <v>40862</v>
      </c>
      <c r="F2194" s="49" t="s">
        <v>780</v>
      </c>
      <c r="G2194" s="49"/>
      <c r="H2194" s="883" t="s">
        <v>1116</v>
      </c>
      <c r="I2194" s="258">
        <v>4</v>
      </c>
      <c r="J2194" s="258">
        <v>5069.7581858454423</v>
      </c>
      <c r="K2194" s="723">
        <f t="shared" si="174"/>
        <v>20279</v>
      </c>
      <c r="L2194" s="52" t="s">
        <v>169</v>
      </c>
      <c r="M2194" s="52" t="s">
        <v>167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909"/>
    </row>
    <row r="2195" spans="1:30" s="843" customFormat="1" ht="15.75" customHeight="1">
      <c r="A2195" s="204" t="str">
        <f>IF(B2195&lt;&gt;"",IF(AND(B2195&gt;=_TM1,B2195&lt;=_TM2,OR(TH!L2195="1111",TH!M2195="1111")),TH!D2195,""),"")</f>
        <v/>
      </c>
      <c r="B2195" s="719">
        <f t="shared" si="172"/>
        <v>11</v>
      </c>
      <c r="C2195" s="875">
        <f t="shared" si="173"/>
        <v>40862</v>
      </c>
      <c r="D2195" s="48" t="s">
        <v>1152</v>
      </c>
      <c r="E2195" s="910">
        <v>40862</v>
      </c>
      <c r="F2195" s="189" t="s">
        <v>948</v>
      </c>
      <c r="G2195" s="49"/>
      <c r="H2195" s="883" t="s">
        <v>1116</v>
      </c>
      <c r="I2195" s="258">
        <v>4</v>
      </c>
      <c r="J2195" s="258">
        <v>5747.2581858454423</v>
      </c>
      <c r="K2195" s="723">
        <f t="shared" si="174"/>
        <v>22989</v>
      </c>
      <c r="L2195" s="52" t="s">
        <v>169</v>
      </c>
      <c r="M2195" s="52" t="s">
        <v>167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909"/>
    </row>
    <row r="2196" spans="1:30" s="843" customFormat="1" ht="15.75" customHeight="1">
      <c r="A2196" s="204" t="str">
        <f>IF(B2196&lt;&gt;"",IF(AND(B2196&gt;=_TM1,B2196&lt;=_TM2,OR(TH!L2196="1111",TH!M2196="1111")),TH!D2196,""),"")</f>
        <v/>
      </c>
      <c r="B2196" s="719">
        <f t="shared" si="172"/>
        <v>11</v>
      </c>
      <c r="C2196" s="875">
        <f t="shared" si="173"/>
        <v>40862</v>
      </c>
      <c r="D2196" s="48" t="s">
        <v>1152</v>
      </c>
      <c r="E2196" s="910">
        <v>40862</v>
      </c>
      <c r="F2196" s="49" t="s">
        <v>781</v>
      </c>
      <c r="G2196" s="49"/>
      <c r="H2196" s="883" t="s">
        <v>1116</v>
      </c>
      <c r="I2196" s="258">
        <v>2</v>
      </c>
      <c r="J2196" s="258">
        <v>5747.0081858454423</v>
      </c>
      <c r="K2196" s="723">
        <f t="shared" si="174"/>
        <v>11494</v>
      </c>
      <c r="L2196" s="52" t="s">
        <v>169</v>
      </c>
      <c r="M2196" s="52" t="s">
        <v>167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909"/>
    </row>
    <row r="2197" spans="1:30" s="843" customFormat="1" ht="15.75" customHeight="1">
      <c r="A2197" s="204" t="str">
        <f>IF(B2197&lt;&gt;"",IF(AND(B2197&gt;=_TM1,B2197&lt;=_TM2,OR(TH!L2197="1111",TH!M2197="1111")),TH!D2197,""),"")</f>
        <v/>
      </c>
      <c r="B2197" s="719">
        <f t="shared" si="172"/>
        <v>11</v>
      </c>
      <c r="C2197" s="875">
        <f t="shared" si="173"/>
        <v>40862</v>
      </c>
      <c r="D2197" s="48" t="s">
        <v>1152</v>
      </c>
      <c r="E2197" s="910">
        <v>40862</v>
      </c>
      <c r="F2197" s="192" t="s">
        <v>950</v>
      </c>
      <c r="G2197" s="49"/>
      <c r="H2197" s="883" t="s">
        <v>1116</v>
      </c>
      <c r="I2197" s="258">
        <v>221</v>
      </c>
      <c r="J2197" s="258">
        <v>8211.8430274744023</v>
      </c>
      <c r="K2197" s="723">
        <f t="shared" si="174"/>
        <v>1814817</v>
      </c>
      <c r="L2197" s="52" t="s">
        <v>169</v>
      </c>
      <c r="M2197" s="52" t="s">
        <v>167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909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9">
        <f t="shared" si="172"/>
        <v>11</v>
      </c>
      <c r="C2198" s="875">
        <f t="shared" si="173"/>
        <v>40862</v>
      </c>
      <c r="D2198" s="48" t="s">
        <v>1152</v>
      </c>
      <c r="E2198" s="910">
        <v>40862</v>
      </c>
      <c r="F2198" s="49" t="s">
        <v>782</v>
      </c>
      <c r="G2198" s="49"/>
      <c r="H2198" s="883" t="s">
        <v>1116</v>
      </c>
      <c r="I2198" s="258">
        <v>62</v>
      </c>
      <c r="J2198" s="258">
        <v>14113.992056813184</v>
      </c>
      <c r="K2198" s="723">
        <f t="shared" si="174"/>
        <v>875068</v>
      </c>
      <c r="L2198" s="52" t="s">
        <v>169</v>
      </c>
      <c r="M2198" s="52" t="s">
        <v>167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909"/>
      <c r="AB2198" s="843"/>
      <c r="AC2198" s="843"/>
      <c r="AD2198" s="843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9">
        <f t="shared" si="172"/>
        <v>11</v>
      </c>
      <c r="C2199" s="875">
        <f t="shared" si="173"/>
        <v>40862</v>
      </c>
      <c r="D2199" s="48" t="s">
        <v>1152</v>
      </c>
      <c r="E2199" s="910">
        <v>40862</v>
      </c>
      <c r="F2199" s="192" t="s">
        <v>946</v>
      </c>
      <c r="G2199" s="49"/>
      <c r="H2199" s="883" t="s">
        <v>1116</v>
      </c>
      <c r="I2199" s="258">
        <v>139</v>
      </c>
      <c r="J2199" s="258">
        <v>7422.5009916008385</v>
      </c>
      <c r="K2199" s="723">
        <f t="shared" si="174"/>
        <v>1031728</v>
      </c>
      <c r="L2199" s="52" t="s">
        <v>169</v>
      </c>
      <c r="M2199" s="52" t="s">
        <v>167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909"/>
      <c r="AB2199" s="843"/>
      <c r="AC2199" s="843"/>
      <c r="AD2199" s="843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9">
        <f t="shared" si="172"/>
        <v>11</v>
      </c>
      <c r="C2200" s="875">
        <f t="shared" si="173"/>
        <v>40862</v>
      </c>
      <c r="D2200" s="48" t="s">
        <v>1152</v>
      </c>
      <c r="E2200" s="910">
        <v>40862</v>
      </c>
      <c r="F2200" s="49" t="s">
        <v>769</v>
      </c>
      <c r="G2200" s="49"/>
      <c r="H2200" s="883" t="s">
        <v>1116</v>
      </c>
      <c r="I2200" s="258">
        <v>312</v>
      </c>
      <c r="J2200" s="258">
        <v>9549.50498071724</v>
      </c>
      <c r="K2200" s="723">
        <f t="shared" si="174"/>
        <v>2979446</v>
      </c>
      <c r="L2200" s="52" t="s">
        <v>169</v>
      </c>
      <c r="M2200" s="52" t="s">
        <v>167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909"/>
      <c r="AB2200" s="843"/>
      <c r="AC2200" s="843"/>
      <c r="AD2200" s="843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9">
        <f t="shared" ref="B2201:B2264" si="175">IF(C2201&lt;&gt;"",MONTH(C2201),"")</f>
        <v>11</v>
      </c>
      <c r="C2201" s="875">
        <f t="shared" si="173"/>
        <v>40862</v>
      </c>
      <c r="D2201" s="48" t="s">
        <v>1153</v>
      </c>
      <c r="E2201" s="910">
        <v>40862</v>
      </c>
      <c r="F2201" s="49" t="s">
        <v>1322</v>
      </c>
      <c r="G2201" s="49"/>
      <c r="H2201" s="883" t="s">
        <v>1116</v>
      </c>
      <c r="I2201" s="258">
        <v>12</v>
      </c>
      <c r="J2201" s="258">
        <v>11642.424852512109</v>
      </c>
      <c r="K2201" s="723">
        <f t="shared" si="174"/>
        <v>139709</v>
      </c>
      <c r="L2201" s="52" t="s">
        <v>169</v>
      </c>
      <c r="M2201" s="52" t="s">
        <v>167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909"/>
      <c r="AB2201" s="843"/>
      <c r="AC2201" s="843"/>
      <c r="AD2201" s="843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9">
        <f t="shared" si="175"/>
        <v>11</v>
      </c>
      <c r="C2202" s="875">
        <f t="shared" si="173"/>
        <v>40862</v>
      </c>
      <c r="D2202" s="48" t="s">
        <v>1153</v>
      </c>
      <c r="E2202" s="910">
        <v>40862</v>
      </c>
      <c r="F2202" s="49" t="s">
        <v>773</v>
      </c>
      <c r="G2202" s="49"/>
      <c r="H2202" s="883" t="s">
        <v>1116</v>
      </c>
      <c r="I2202" s="258">
        <v>206</v>
      </c>
      <c r="J2202" s="258">
        <v>13596.003331476513</v>
      </c>
      <c r="K2202" s="723">
        <f t="shared" si="174"/>
        <v>2800777</v>
      </c>
      <c r="L2202" s="52" t="s">
        <v>169</v>
      </c>
      <c r="M2202" s="52" t="s">
        <v>167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909"/>
      <c r="AB2202" s="843"/>
      <c r="AC2202" s="843"/>
      <c r="AD2202" s="843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9">
        <f t="shared" si="175"/>
        <v>11</v>
      </c>
      <c r="C2203" s="875">
        <f t="shared" si="173"/>
        <v>40862</v>
      </c>
      <c r="D2203" s="48" t="s">
        <v>1153</v>
      </c>
      <c r="E2203" s="910">
        <v>40862</v>
      </c>
      <c r="F2203" s="49" t="s">
        <v>1323</v>
      </c>
      <c r="G2203" s="49"/>
      <c r="H2203" s="883" t="s">
        <v>1116</v>
      </c>
      <c r="I2203" s="258">
        <v>45</v>
      </c>
      <c r="J2203" s="258">
        <v>15252.485963623221</v>
      </c>
      <c r="K2203" s="723">
        <f t="shared" si="174"/>
        <v>686362</v>
      </c>
      <c r="L2203" s="52" t="s">
        <v>169</v>
      </c>
      <c r="M2203" s="52" t="s">
        <v>167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909"/>
      <c r="AB2203" s="843"/>
      <c r="AC2203" s="843"/>
      <c r="AD2203" s="843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9">
        <f t="shared" si="175"/>
        <v>11</v>
      </c>
      <c r="C2204" s="875">
        <f t="shared" si="173"/>
        <v>40862</v>
      </c>
      <c r="D2204" s="48" t="s">
        <v>1153</v>
      </c>
      <c r="E2204" s="910">
        <v>40862</v>
      </c>
      <c r="F2204" s="49" t="s">
        <v>1324</v>
      </c>
      <c r="G2204" s="49"/>
      <c r="H2204" s="883" t="s">
        <v>1116</v>
      </c>
      <c r="I2204" s="258">
        <v>63</v>
      </c>
      <c r="J2204" s="258">
        <v>10788.49231282957</v>
      </c>
      <c r="K2204" s="723">
        <f t="shared" si="174"/>
        <v>679675</v>
      </c>
      <c r="L2204" s="52" t="s">
        <v>169</v>
      </c>
      <c r="M2204" s="52" t="s">
        <v>167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909"/>
      <c r="AB2204" s="843"/>
      <c r="AC2204" s="843"/>
      <c r="AD2204" s="843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9">
        <f t="shared" si="175"/>
        <v>11</v>
      </c>
      <c r="C2205" s="875">
        <f t="shared" si="173"/>
        <v>40862</v>
      </c>
      <c r="D2205" s="48" t="s">
        <v>1153</v>
      </c>
      <c r="E2205" s="910">
        <v>40862</v>
      </c>
      <c r="F2205" s="49" t="s">
        <v>1325</v>
      </c>
      <c r="G2205" s="49"/>
      <c r="H2205" s="883" t="s">
        <v>1116</v>
      </c>
      <c r="I2205" s="258">
        <v>60</v>
      </c>
      <c r="J2205" s="258">
        <v>11437.491519178777</v>
      </c>
      <c r="K2205" s="723">
        <f t="shared" si="174"/>
        <v>686249</v>
      </c>
      <c r="L2205" s="52" t="s">
        <v>169</v>
      </c>
      <c r="M2205" s="52" t="s">
        <v>167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909"/>
      <c r="AB2205" s="843"/>
      <c r="AC2205" s="843"/>
      <c r="AD2205" s="843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9">
        <f t="shared" si="175"/>
        <v>11</v>
      </c>
      <c r="C2206" s="875">
        <f t="shared" ref="C2206:C2237" si="176">E2206</f>
        <v>40862</v>
      </c>
      <c r="D2206" s="48" t="s">
        <v>1153</v>
      </c>
      <c r="E2206" s="910">
        <v>40862</v>
      </c>
      <c r="F2206" s="49" t="s">
        <v>1326</v>
      </c>
      <c r="G2206" s="49"/>
      <c r="H2206" s="883" t="s">
        <v>1116</v>
      </c>
      <c r="I2206" s="258">
        <v>61</v>
      </c>
      <c r="J2206" s="258">
        <v>9549.4917924028196</v>
      </c>
      <c r="K2206" s="723">
        <f t="shared" ref="K2206:K2237" si="177">ROUND(I2206*J2206,0)</f>
        <v>582519</v>
      </c>
      <c r="L2206" s="52" t="s">
        <v>169</v>
      </c>
      <c r="M2206" s="52" t="s">
        <v>167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909"/>
      <c r="AB2206" s="843"/>
      <c r="AC2206" s="843"/>
      <c r="AD2206" s="843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9">
        <f t="shared" si="175"/>
        <v>11</v>
      </c>
      <c r="C2207" s="875">
        <f t="shared" si="176"/>
        <v>40862</v>
      </c>
      <c r="D2207" s="48" t="s">
        <v>1153</v>
      </c>
      <c r="E2207" s="910">
        <v>40862</v>
      </c>
      <c r="F2207" s="49" t="s">
        <v>1327</v>
      </c>
      <c r="G2207" s="49"/>
      <c r="H2207" s="883" t="s">
        <v>1116</v>
      </c>
      <c r="I2207" s="258">
        <v>104</v>
      </c>
      <c r="J2207" s="258">
        <v>18291.796647383904</v>
      </c>
      <c r="K2207" s="723">
        <f t="shared" si="177"/>
        <v>1902347</v>
      </c>
      <c r="L2207" s="52" t="s">
        <v>169</v>
      </c>
      <c r="M2207" s="52" t="s">
        <v>167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909"/>
      <c r="AB2207" s="843"/>
      <c r="AC2207" s="843"/>
      <c r="AD2207" s="843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9">
        <f t="shared" si="175"/>
        <v>11</v>
      </c>
      <c r="C2208" s="875">
        <f t="shared" si="176"/>
        <v>40862</v>
      </c>
      <c r="D2208" s="48" t="s">
        <v>1153</v>
      </c>
      <c r="E2208" s="910">
        <v>40862</v>
      </c>
      <c r="F2208" s="49" t="s">
        <v>1328</v>
      </c>
      <c r="G2208" s="49"/>
      <c r="H2208" s="883" t="s">
        <v>1116</v>
      </c>
      <c r="I2208" s="258">
        <v>152</v>
      </c>
      <c r="J2208" s="258">
        <v>8119.251606898074</v>
      </c>
      <c r="K2208" s="723">
        <f t="shared" si="177"/>
        <v>1234126</v>
      </c>
      <c r="L2208" s="52" t="s">
        <v>169</v>
      </c>
      <c r="M2208" s="52" t="s">
        <v>167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909"/>
      <c r="AB2208" s="843"/>
      <c r="AC2208" s="843"/>
      <c r="AD2208" s="843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9">
        <f t="shared" si="175"/>
        <v>11</v>
      </c>
      <c r="C2209" s="875">
        <f t="shared" si="176"/>
        <v>40862</v>
      </c>
      <c r="D2209" s="48" t="s">
        <v>1153</v>
      </c>
      <c r="E2209" s="910">
        <v>40862</v>
      </c>
      <c r="F2209" s="49" t="s">
        <v>1329</v>
      </c>
      <c r="G2209" s="49"/>
      <c r="H2209" s="883" t="s">
        <v>1116</v>
      </c>
      <c r="I2209" s="258">
        <v>235</v>
      </c>
      <c r="J2209" s="258">
        <v>9584.6145688241668</v>
      </c>
      <c r="K2209" s="723">
        <f t="shared" si="177"/>
        <v>2252384</v>
      </c>
      <c r="L2209" s="52" t="s">
        <v>169</v>
      </c>
      <c r="M2209" s="52" t="s">
        <v>167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909"/>
      <c r="AB2209" s="843"/>
      <c r="AC2209" s="843"/>
      <c r="AD2209" s="843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993</v>
      </c>
      <c r="E2210" s="802">
        <v>40862</v>
      </c>
      <c r="F2210" s="192" t="s">
        <v>769</v>
      </c>
      <c r="G2210" s="502" t="s">
        <v>1320</v>
      </c>
      <c r="H2210" s="193" t="s">
        <v>756</v>
      </c>
      <c r="I2210" s="260">
        <v>209</v>
      </c>
      <c r="J2210" s="260">
        <v>9549.5034011564458</v>
      </c>
      <c r="K2210" s="881">
        <f t="shared" si="177"/>
        <v>1995846</v>
      </c>
      <c r="L2210" s="869" t="s">
        <v>179</v>
      </c>
      <c r="M2210" s="86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909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993</v>
      </c>
      <c r="E2211" s="802">
        <v>40862</v>
      </c>
      <c r="F2211" s="192" t="s">
        <v>1293</v>
      </c>
      <c r="G2211" s="502" t="s">
        <v>1320</v>
      </c>
      <c r="H2211" s="193" t="s">
        <v>756</v>
      </c>
      <c r="I2211" s="260">
        <v>141</v>
      </c>
      <c r="J2211" s="260">
        <v>15403.501093646861</v>
      </c>
      <c r="K2211" s="881">
        <f t="shared" si="177"/>
        <v>2171894</v>
      </c>
      <c r="L2211" s="869" t="s">
        <v>179</v>
      </c>
      <c r="M2211" s="86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909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993</v>
      </c>
      <c r="E2212" s="802">
        <v>40862</v>
      </c>
      <c r="F2212" s="192" t="s">
        <v>1294</v>
      </c>
      <c r="G2212" s="502" t="s">
        <v>1320</v>
      </c>
      <c r="H2212" s="193" t="s">
        <v>756</v>
      </c>
      <c r="I2212" s="260">
        <v>348</v>
      </c>
      <c r="J2212" s="260">
        <v>11437.505312282225</v>
      </c>
      <c r="K2212" s="881">
        <f t="shared" si="177"/>
        <v>3980252</v>
      </c>
      <c r="L2212" s="869" t="s">
        <v>179</v>
      </c>
      <c r="M2212" s="86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909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993</v>
      </c>
      <c r="E2213" s="802">
        <v>40862</v>
      </c>
      <c r="F2213" s="192" t="s">
        <v>770</v>
      </c>
      <c r="G2213" s="502" t="s">
        <v>1320</v>
      </c>
      <c r="H2213" s="193" t="s">
        <v>756</v>
      </c>
      <c r="I2213" s="260">
        <v>38</v>
      </c>
      <c r="J2213" s="260">
        <v>9918.4818700559699</v>
      </c>
      <c r="K2213" s="881">
        <f t="shared" si="177"/>
        <v>376902</v>
      </c>
      <c r="L2213" s="869" t="s">
        <v>179</v>
      </c>
      <c r="M2213" s="86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909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993</v>
      </c>
      <c r="E2214" s="802">
        <v>40862</v>
      </c>
      <c r="F2214" s="192" t="s">
        <v>1295</v>
      </c>
      <c r="G2214" s="502" t="s">
        <v>1320</v>
      </c>
      <c r="H2214" s="193" t="s">
        <v>756</v>
      </c>
      <c r="I2214" s="260">
        <v>24</v>
      </c>
      <c r="J2214" s="260">
        <v>8350.9665191787753</v>
      </c>
      <c r="K2214" s="881">
        <f t="shared" si="177"/>
        <v>200423</v>
      </c>
      <c r="L2214" s="869" t="s">
        <v>179</v>
      </c>
      <c r="M2214" s="86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909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993</v>
      </c>
      <c r="E2215" s="802">
        <v>40862</v>
      </c>
      <c r="F2215" s="192" t="s">
        <v>1034</v>
      </c>
      <c r="G2215" s="502" t="s">
        <v>1320</v>
      </c>
      <c r="H2215" s="193" t="s">
        <v>756</v>
      </c>
      <c r="I2215" s="260">
        <v>1</v>
      </c>
      <c r="J2215" s="260">
        <v>11436.508185845443</v>
      </c>
      <c r="K2215" s="881">
        <f t="shared" si="177"/>
        <v>11437</v>
      </c>
      <c r="L2215" s="869" t="s">
        <v>179</v>
      </c>
      <c r="M2215" s="86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909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993</v>
      </c>
      <c r="E2216" s="802">
        <v>40862</v>
      </c>
      <c r="F2216" s="192" t="s">
        <v>772</v>
      </c>
      <c r="G2216" s="502" t="s">
        <v>1320</v>
      </c>
      <c r="H2216" s="193" t="s">
        <v>756</v>
      </c>
      <c r="I2216" s="260">
        <v>3</v>
      </c>
      <c r="J2216" s="260">
        <v>10496.174852512109</v>
      </c>
      <c r="K2216" s="881">
        <f t="shared" si="177"/>
        <v>31489</v>
      </c>
      <c r="L2216" s="869" t="s">
        <v>179</v>
      </c>
      <c r="M2216" s="86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909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993</v>
      </c>
      <c r="E2217" s="802">
        <v>40862</v>
      </c>
      <c r="F2217" s="192" t="s">
        <v>775</v>
      </c>
      <c r="G2217" s="502" t="s">
        <v>1320</v>
      </c>
      <c r="H2217" s="193" t="s">
        <v>756</v>
      </c>
      <c r="I2217" s="260">
        <v>3</v>
      </c>
      <c r="J2217" s="260">
        <v>11117.174852512109</v>
      </c>
      <c r="K2217" s="881">
        <f t="shared" si="177"/>
        <v>33352</v>
      </c>
      <c r="L2217" s="869" t="s">
        <v>179</v>
      </c>
      <c r="M2217" s="86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909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993</v>
      </c>
      <c r="E2218" s="802">
        <v>40862</v>
      </c>
      <c r="F2218" s="192" t="s">
        <v>771</v>
      </c>
      <c r="G2218" s="502" t="s">
        <v>1320</v>
      </c>
      <c r="H2218" s="193" t="s">
        <v>756</v>
      </c>
      <c r="I2218" s="260">
        <v>5</v>
      </c>
      <c r="J2218" s="260">
        <v>8047.3081858454416</v>
      </c>
      <c r="K2218" s="881">
        <f t="shared" si="177"/>
        <v>40237</v>
      </c>
      <c r="L2218" s="869" t="s">
        <v>179</v>
      </c>
      <c r="M2218" s="86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909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993</v>
      </c>
      <c r="E2219" s="802">
        <v>40862</v>
      </c>
      <c r="F2219" s="192" t="s">
        <v>1321</v>
      </c>
      <c r="G2219" s="502" t="s">
        <v>1320</v>
      </c>
      <c r="H2219" s="193" t="s">
        <v>756</v>
      </c>
      <c r="I2219" s="260">
        <v>4</v>
      </c>
      <c r="J2219" s="260">
        <v>8047.2581858454423</v>
      </c>
      <c r="K2219" s="881">
        <f t="shared" si="177"/>
        <v>32189</v>
      </c>
      <c r="L2219" s="869" t="s">
        <v>179</v>
      </c>
      <c r="M2219" s="86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909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993</v>
      </c>
      <c r="E2220" s="802">
        <v>40862</v>
      </c>
      <c r="F2220" s="192" t="s">
        <v>1055</v>
      </c>
      <c r="G2220" s="502" t="s">
        <v>1320</v>
      </c>
      <c r="H2220" s="193" t="s">
        <v>756</v>
      </c>
      <c r="I2220" s="260">
        <v>1</v>
      </c>
      <c r="J2220" s="260">
        <v>5746.5081858454423</v>
      </c>
      <c r="K2220" s="881">
        <f t="shared" si="177"/>
        <v>5747</v>
      </c>
      <c r="L2220" s="869" t="s">
        <v>179</v>
      </c>
      <c r="M2220" s="86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909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993</v>
      </c>
      <c r="E2221" s="802">
        <v>40862</v>
      </c>
      <c r="F2221" s="192" t="s">
        <v>780</v>
      </c>
      <c r="G2221" s="502" t="s">
        <v>1320</v>
      </c>
      <c r="H2221" s="193" t="s">
        <v>756</v>
      </c>
      <c r="I2221" s="260">
        <v>4</v>
      </c>
      <c r="J2221" s="260">
        <v>5069.7581858454423</v>
      </c>
      <c r="K2221" s="881">
        <f t="shared" si="177"/>
        <v>20279</v>
      </c>
      <c r="L2221" s="869" t="s">
        <v>179</v>
      </c>
      <c r="M2221" s="86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909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993</v>
      </c>
      <c r="E2222" s="802">
        <v>40862</v>
      </c>
      <c r="F2222" s="189" t="s">
        <v>948</v>
      </c>
      <c r="G2222" s="502" t="s">
        <v>1320</v>
      </c>
      <c r="H2222" s="193" t="s">
        <v>756</v>
      </c>
      <c r="I2222" s="260">
        <v>4</v>
      </c>
      <c r="J2222" s="260">
        <v>5747.2581858454423</v>
      </c>
      <c r="K2222" s="881">
        <f t="shared" si="177"/>
        <v>22989</v>
      </c>
      <c r="L2222" s="869" t="s">
        <v>179</v>
      </c>
      <c r="M2222" s="86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909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993</v>
      </c>
      <c r="E2223" s="802">
        <v>40862</v>
      </c>
      <c r="F2223" s="192" t="s">
        <v>781</v>
      </c>
      <c r="G2223" s="502" t="s">
        <v>1320</v>
      </c>
      <c r="H2223" s="193" t="s">
        <v>756</v>
      </c>
      <c r="I2223" s="260">
        <v>2</v>
      </c>
      <c r="J2223" s="260">
        <v>5747.0081858454423</v>
      </c>
      <c r="K2223" s="881">
        <f t="shared" si="177"/>
        <v>11494</v>
      </c>
      <c r="L2223" s="869" t="s">
        <v>179</v>
      </c>
      <c r="M2223" s="86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909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993</v>
      </c>
      <c r="E2224" s="802">
        <v>40862</v>
      </c>
      <c r="F2224" s="192" t="s">
        <v>950</v>
      </c>
      <c r="G2224" s="502" t="s">
        <v>1320</v>
      </c>
      <c r="H2224" s="193" t="s">
        <v>756</v>
      </c>
      <c r="I2224" s="260">
        <v>221</v>
      </c>
      <c r="J2224" s="260">
        <v>8211.8430274744023</v>
      </c>
      <c r="K2224" s="881">
        <f t="shared" si="177"/>
        <v>1814817</v>
      </c>
      <c r="L2224" s="869" t="s">
        <v>179</v>
      </c>
      <c r="M2224" s="86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909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993</v>
      </c>
      <c r="E2225" s="802">
        <v>40862</v>
      </c>
      <c r="F2225" s="192" t="s">
        <v>782</v>
      </c>
      <c r="G2225" s="502" t="s">
        <v>1320</v>
      </c>
      <c r="H2225" s="193" t="s">
        <v>756</v>
      </c>
      <c r="I2225" s="260">
        <v>62</v>
      </c>
      <c r="J2225" s="260">
        <v>14113.992056813184</v>
      </c>
      <c r="K2225" s="881">
        <f t="shared" si="177"/>
        <v>875068</v>
      </c>
      <c r="L2225" s="869" t="s">
        <v>179</v>
      </c>
      <c r="M2225" s="86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909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993</v>
      </c>
      <c r="E2226" s="802">
        <v>40862</v>
      </c>
      <c r="F2226" s="192" t="s">
        <v>946</v>
      </c>
      <c r="G2226" s="502" t="s">
        <v>1320</v>
      </c>
      <c r="H2226" s="193" t="s">
        <v>756</v>
      </c>
      <c r="I2226" s="260">
        <v>139</v>
      </c>
      <c r="J2226" s="260">
        <v>7422.5009916008385</v>
      </c>
      <c r="K2226" s="881">
        <f t="shared" si="177"/>
        <v>1031728</v>
      </c>
      <c r="L2226" s="869" t="s">
        <v>179</v>
      </c>
      <c r="M2226" s="86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909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993</v>
      </c>
      <c r="E2227" s="802">
        <v>40862</v>
      </c>
      <c r="F2227" s="192" t="s">
        <v>769</v>
      </c>
      <c r="G2227" s="502" t="s">
        <v>1320</v>
      </c>
      <c r="H2227" s="193" t="s">
        <v>756</v>
      </c>
      <c r="I2227" s="260">
        <v>312</v>
      </c>
      <c r="J2227" s="260">
        <v>9549.50498071724</v>
      </c>
      <c r="K2227" s="881">
        <f t="shared" si="177"/>
        <v>2979446</v>
      </c>
      <c r="L2227" s="869" t="s">
        <v>179</v>
      </c>
      <c r="M2227" s="86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909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993</v>
      </c>
      <c r="E2228" s="802">
        <v>40862</v>
      </c>
      <c r="F2228" s="192" t="s">
        <v>1322</v>
      </c>
      <c r="G2228" s="502" t="s">
        <v>1320</v>
      </c>
      <c r="H2228" s="193" t="s">
        <v>756</v>
      </c>
      <c r="I2228" s="260">
        <v>12</v>
      </c>
      <c r="J2228" s="260">
        <v>11642.424852512109</v>
      </c>
      <c r="K2228" s="881">
        <f t="shared" si="177"/>
        <v>139709</v>
      </c>
      <c r="L2228" s="869" t="s">
        <v>179</v>
      </c>
      <c r="M2228" s="86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909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993</v>
      </c>
      <c r="E2229" s="802">
        <v>40862</v>
      </c>
      <c r="F2229" s="192" t="s">
        <v>773</v>
      </c>
      <c r="G2229" s="502" t="s">
        <v>1320</v>
      </c>
      <c r="H2229" s="193" t="s">
        <v>756</v>
      </c>
      <c r="I2229" s="260">
        <v>206</v>
      </c>
      <c r="J2229" s="260">
        <v>13596.003331476513</v>
      </c>
      <c r="K2229" s="881">
        <f t="shared" si="177"/>
        <v>2800777</v>
      </c>
      <c r="L2229" s="869" t="s">
        <v>179</v>
      </c>
      <c r="M2229" s="86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909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993</v>
      </c>
      <c r="E2230" s="802">
        <v>40862</v>
      </c>
      <c r="F2230" s="192" t="s">
        <v>1323</v>
      </c>
      <c r="G2230" s="502" t="s">
        <v>1320</v>
      </c>
      <c r="H2230" s="193" t="s">
        <v>756</v>
      </c>
      <c r="I2230" s="260">
        <v>45</v>
      </c>
      <c r="J2230" s="260">
        <v>15252.485963623221</v>
      </c>
      <c r="K2230" s="881">
        <f t="shared" si="177"/>
        <v>686362</v>
      </c>
      <c r="L2230" s="869" t="s">
        <v>179</v>
      </c>
      <c r="M2230" s="86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909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993</v>
      </c>
      <c r="E2231" s="802">
        <v>40862</v>
      </c>
      <c r="F2231" s="192" t="s">
        <v>1324</v>
      </c>
      <c r="G2231" s="502" t="s">
        <v>1320</v>
      </c>
      <c r="H2231" s="193" t="s">
        <v>756</v>
      </c>
      <c r="I2231" s="260">
        <v>63</v>
      </c>
      <c r="J2231" s="260">
        <v>10788.49231282957</v>
      </c>
      <c r="K2231" s="881">
        <f t="shared" si="177"/>
        <v>679675</v>
      </c>
      <c r="L2231" s="869" t="s">
        <v>179</v>
      </c>
      <c r="M2231" s="86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909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993</v>
      </c>
      <c r="E2232" s="802">
        <v>40862</v>
      </c>
      <c r="F2232" s="192" t="s">
        <v>1325</v>
      </c>
      <c r="G2232" s="502" t="s">
        <v>1320</v>
      </c>
      <c r="H2232" s="193" t="s">
        <v>756</v>
      </c>
      <c r="I2232" s="260">
        <v>60</v>
      </c>
      <c r="J2232" s="260">
        <v>11437.491519178777</v>
      </c>
      <c r="K2232" s="881">
        <f t="shared" si="177"/>
        <v>686249</v>
      </c>
      <c r="L2232" s="869" t="s">
        <v>179</v>
      </c>
      <c r="M2232" s="86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909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993</v>
      </c>
      <c r="E2233" s="802">
        <v>40862</v>
      </c>
      <c r="F2233" s="192" t="s">
        <v>1326</v>
      </c>
      <c r="G2233" s="502" t="s">
        <v>1320</v>
      </c>
      <c r="H2233" s="193" t="s">
        <v>756</v>
      </c>
      <c r="I2233" s="260">
        <v>61</v>
      </c>
      <c r="J2233" s="260">
        <v>9549.4917924028196</v>
      </c>
      <c r="K2233" s="881">
        <f t="shared" si="177"/>
        <v>582519</v>
      </c>
      <c r="L2233" s="869" t="s">
        <v>179</v>
      </c>
      <c r="M2233" s="86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909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993</v>
      </c>
      <c r="E2234" s="802">
        <v>40862</v>
      </c>
      <c r="F2234" s="192" t="s">
        <v>1327</v>
      </c>
      <c r="G2234" s="502" t="s">
        <v>1320</v>
      </c>
      <c r="H2234" s="193" t="s">
        <v>756</v>
      </c>
      <c r="I2234" s="260">
        <v>104</v>
      </c>
      <c r="J2234" s="260">
        <v>18291.796647383904</v>
      </c>
      <c r="K2234" s="881">
        <f t="shared" si="177"/>
        <v>1902347</v>
      </c>
      <c r="L2234" s="869" t="s">
        <v>179</v>
      </c>
      <c r="M2234" s="86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909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993</v>
      </c>
      <c r="E2235" s="802">
        <v>40862</v>
      </c>
      <c r="F2235" s="192" t="s">
        <v>1328</v>
      </c>
      <c r="G2235" s="502" t="s">
        <v>1320</v>
      </c>
      <c r="H2235" s="193" t="s">
        <v>756</v>
      </c>
      <c r="I2235" s="260">
        <v>152</v>
      </c>
      <c r="J2235" s="260">
        <v>8119.251606898074</v>
      </c>
      <c r="K2235" s="881">
        <f t="shared" si="177"/>
        <v>1234126</v>
      </c>
      <c r="L2235" s="869" t="s">
        <v>179</v>
      </c>
      <c r="M2235" s="86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909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993</v>
      </c>
      <c r="E2236" s="802">
        <v>40862</v>
      </c>
      <c r="F2236" s="192" t="s">
        <v>1329</v>
      </c>
      <c r="G2236" s="502" t="s">
        <v>1320</v>
      </c>
      <c r="H2236" s="193" t="s">
        <v>756</v>
      </c>
      <c r="I2236" s="260">
        <v>235</v>
      </c>
      <c r="J2236" s="260">
        <v>9584.6145688241668</v>
      </c>
      <c r="K2236" s="881">
        <f t="shared" si="177"/>
        <v>2252384</v>
      </c>
      <c r="L2236" s="869" t="s">
        <v>179</v>
      </c>
      <c r="M2236" s="86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909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75" t="s">
        <v>1131</v>
      </c>
      <c r="E2237" s="802">
        <v>40863</v>
      </c>
      <c r="F2237" s="189" t="s">
        <v>410</v>
      </c>
      <c r="G2237" s="40"/>
      <c r="H2237" s="632" t="s">
        <v>1116</v>
      </c>
      <c r="I2237" s="851">
        <v>8</v>
      </c>
      <c r="J2237" s="260">
        <v>4449</v>
      </c>
      <c r="K2237" s="618">
        <f t="shared" si="177"/>
        <v>35592</v>
      </c>
      <c r="L2237" s="52" t="s">
        <v>167</v>
      </c>
      <c r="M2237" s="52" t="s">
        <v>159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909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75" t="s">
        <v>1131</v>
      </c>
      <c r="E2238" s="802">
        <v>40863</v>
      </c>
      <c r="F2238" s="189" t="s">
        <v>410</v>
      </c>
      <c r="G2238" s="40"/>
      <c r="H2238" s="632" t="s">
        <v>1116</v>
      </c>
      <c r="I2238" s="851">
        <v>3</v>
      </c>
      <c r="J2238" s="260">
        <v>4449</v>
      </c>
      <c r="K2238" s="618">
        <f t="shared" ref="K2238:K2257" si="179">ROUND(I2238*J2238,0)</f>
        <v>13347</v>
      </c>
      <c r="L2238" s="52" t="s">
        <v>167</v>
      </c>
      <c r="M2238" s="52" t="s">
        <v>159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909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75" t="s">
        <v>1131</v>
      </c>
      <c r="E2239" s="802">
        <v>40863</v>
      </c>
      <c r="F2239" s="189" t="s">
        <v>410</v>
      </c>
      <c r="G2239" s="40"/>
      <c r="H2239" s="632" t="s">
        <v>1116</v>
      </c>
      <c r="I2239" s="851">
        <v>6</v>
      </c>
      <c r="J2239" s="260">
        <v>4449</v>
      </c>
      <c r="K2239" s="618">
        <f t="shared" si="179"/>
        <v>26694</v>
      </c>
      <c r="L2239" s="52" t="s">
        <v>167</v>
      </c>
      <c r="M2239" s="52" t="s">
        <v>159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909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75" t="s">
        <v>1131</v>
      </c>
      <c r="E2240" s="802">
        <v>40863</v>
      </c>
      <c r="F2240" s="189" t="s">
        <v>410</v>
      </c>
      <c r="G2240" s="40"/>
      <c r="H2240" s="632" t="s">
        <v>1116</v>
      </c>
      <c r="I2240" s="851">
        <v>7</v>
      </c>
      <c r="J2240" s="260">
        <v>4449</v>
      </c>
      <c r="K2240" s="618">
        <f t="shared" si="179"/>
        <v>31143</v>
      </c>
      <c r="L2240" s="52" t="s">
        <v>167</v>
      </c>
      <c r="M2240" s="52" t="s">
        <v>159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909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75" t="s">
        <v>1131</v>
      </c>
      <c r="E2241" s="802">
        <v>40863</v>
      </c>
      <c r="F2241" s="189" t="s">
        <v>410</v>
      </c>
      <c r="G2241" s="40"/>
      <c r="H2241" s="632" t="s">
        <v>1116</v>
      </c>
      <c r="I2241" s="851">
        <v>15</v>
      </c>
      <c r="J2241" s="260">
        <v>4449</v>
      </c>
      <c r="K2241" s="618">
        <f t="shared" si="179"/>
        <v>66735</v>
      </c>
      <c r="L2241" s="52" t="s">
        <v>167</v>
      </c>
      <c r="M2241" s="52" t="s">
        <v>159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909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75" t="s">
        <v>1131</v>
      </c>
      <c r="E2242" s="802">
        <v>40863</v>
      </c>
      <c r="F2242" s="189" t="s">
        <v>602</v>
      </c>
      <c r="G2242" s="40"/>
      <c r="H2242" s="632" t="s">
        <v>1116</v>
      </c>
      <c r="I2242" s="260">
        <v>14</v>
      </c>
      <c r="J2242" s="260">
        <v>7543</v>
      </c>
      <c r="K2242" s="618">
        <f t="shared" si="179"/>
        <v>105602</v>
      </c>
      <c r="L2242" s="52" t="s">
        <v>167</v>
      </c>
      <c r="M2242" s="52" t="s">
        <v>159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909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75" t="s">
        <v>1131</v>
      </c>
      <c r="E2243" s="802">
        <v>40863</v>
      </c>
      <c r="F2243" s="189" t="s">
        <v>410</v>
      </c>
      <c r="G2243" s="40"/>
      <c r="H2243" s="632" t="s">
        <v>1116</v>
      </c>
      <c r="I2243" s="851">
        <v>14</v>
      </c>
      <c r="J2243" s="260">
        <v>4449</v>
      </c>
      <c r="K2243" s="618">
        <f t="shared" si="179"/>
        <v>62286</v>
      </c>
      <c r="L2243" s="52" t="s">
        <v>167</v>
      </c>
      <c r="M2243" s="52" t="s">
        <v>159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909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75" t="s">
        <v>1131</v>
      </c>
      <c r="E2244" s="802">
        <v>40863</v>
      </c>
      <c r="F2244" s="189" t="s">
        <v>410</v>
      </c>
      <c r="G2244" s="40"/>
      <c r="H2244" s="632" t="s">
        <v>1116</v>
      </c>
      <c r="I2244" s="851">
        <v>2</v>
      </c>
      <c r="J2244" s="260">
        <v>4449</v>
      </c>
      <c r="K2244" s="618">
        <f t="shared" si="179"/>
        <v>8898</v>
      </c>
      <c r="L2244" s="52" t="s">
        <v>167</v>
      </c>
      <c r="M2244" s="52" t="s">
        <v>159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909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75" t="s">
        <v>1131</v>
      </c>
      <c r="E2245" s="802">
        <v>40863</v>
      </c>
      <c r="F2245" s="189" t="s">
        <v>410</v>
      </c>
      <c r="G2245" s="40"/>
      <c r="H2245" s="632" t="s">
        <v>1116</v>
      </c>
      <c r="I2245" s="851">
        <v>2</v>
      </c>
      <c r="J2245" s="260">
        <v>4449</v>
      </c>
      <c r="K2245" s="618">
        <f t="shared" si="179"/>
        <v>8898</v>
      </c>
      <c r="L2245" s="52" t="s">
        <v>167</v>
      </c>
      <c r="M2245" s="52" t="s">
        <v>159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909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75" t="s">
        <v>1132</v>
      </c>
      <c r="E2246" s="800">
        <v>40865</v>
      </c>
      <c r="F2246" s="189" t="s">
        <v>410</v>
      </c>
      <c r="G2246" s="40"/>
      <c r="H2246" s="632" t="s">
        <v>1116</v>
      </c>
      <c r="I2246" s="851">
        <v>3</v>
      </c>
      <c r="J2246" s="260">
        <v>4449</v>
      </c>
      <c r="K2246" s="618">
        <f t="shared" si="179"/>
        <v>13347</v>
      </c>
      <c r="L2246" s="52" t="s">
        <v>167</v>
      </c>
      <c r="M2246" s="52" t="s">
        <v>159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909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75" t="s">
        <v>1132</v>
      </c>
      <c r="E2247" s="800">
        <v>40865</v>
      </c>
      <c r="F2247" s="189" t="s">
        <v>410</v>
      </c>
      <c r="G2247" s="40"/>
      <c r="H2247" s="632" t="s">
        <v>1116</v>
      </c>
      <c r="I2247" s="851">
        <v>8</v>
      </c>
      <c r="J2247" s="260">
        <v>4449</v>
      </c>
      <c r="K2247" s="618">
        <f t="shared" si="179"/>
        <v>35592</v>
      </c>
      <c r="L2247" s="52" t="s">
        <v>167</v>
      </c>
      <c r="M2247" s="52" t="s">
        <v>159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909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75" t="s">
        <v>1132</v>
      </c>
      <c r="E2248" s="800">
        <v>40865</v>
      </c>
      <c r="F2248" s="189" t="s">
        <v>410</v>
      </c>
      <c r="G2248" s="40"/>
      <c r="H2248" s="632" t="s">
        <v>1116</v>
      </c>
      <c r="I2248" s="851">
        <v>5</v>
      </c>
      <c r="J2248" s="260">
        <v>4449</v>
      </c>
      <c r="K2248" s="618">
        <f t="shared" si="179"/>
        <v>22245</v>
      </c>
      <c r="L2248" s="52" t="s">
        <v>167</v>
      </c>
      <c r="M2248" s="52" t="s">
        <v>159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909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75" t="s">
        <v>1132</v>
      </c>
      <c r="E2249" s="800">
        <v>40865</v>
      </c>
      <c r="F2249" s="189" t="s">
        <v>410</v>
      </c>
      <c r="G2249" s="40"/>
      <c r="H2249" s="632" t="s">
        <v>1116</v>
      </c>
      <c r="I2249" s="851">
        <v>11</v>
      </c>
      <c r="J2249" s="260">
        <v>4449</v>
      </c>
      <c r="K2249" s="618">
        <f t="shared" si="179"/>
        <v>48939</v>
      </c>
      <c r="L2249" s="52" t="s">
        <v>167</v>
      </c>
      <c r="M2249" s="52" t="s">
        <v>159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909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75" t="s">
        <v>1132</v>
      </c>
      <c r="E2250" s="800">
        <v>40865</v>
      </c>
      <c r="F2250" s="40" t="s">
        <v>647</v>
      </c>
      <c r="G2250" s="40"/>
      <c r="H2250" s="632" t="s">
        <v>1116</v>
      </c>
      <c r="I2250" s="260">
        <v>0.5</v>
      </c>
      <c r="J2250" s="260">
        <v>23688</v>
      </c>
      <c r="K2250" s="618">
        <f t="shared" si="179"/>
        <v>11844</v>
      </c>
      <c r="L2250" s="52" t="s">
        <v>167</v>
      </c>
      <c r="M2250" s="52" t="s">
        <v>159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909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75" t="s">
        <v>1132</v>
      </c>
      <c r="E2251" s="800">
        <v>40865</v>
      </c>
      <c r="F2251" s="189" t="s">
        <v>565</v>
      </c>
      <c r="G2251" s="40"/>
      <c r="H2251" s="632" t="s">
        <v>1116</v>
      </c>
      <c r="I2251" s="260">
        <v>1</v>
      </c>
      <c r="J2251" s="260">
        <v>19638</v>
      </c>
      <c r="K2251" s="618">
        <f t="shared" si="179"/>
        <v>19638</v>
      </c>
      <c r="L2251" s="52" t="s">
        <v>167</v>
      </c>
      <c r="M2251" s="52" t="s">
        <v>159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909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75" t="s">
        <v>1132</v>
      </c>
      <c r="E2252" s="800">
        <v>40865</v>
      </c>
      <c r="F2252" s="189" t="s">
        <v>572</v>
      </c>
      <c r="G2252" s="40"/>
      <c r="H2252" s="632" t="s">
        <v>1116</v>
      </c>
      <c r="I2252" s="260">
        <v>21</v>
      </c>
      <c r="J2252" s="260">
        <v>13954</v>
      </c>
      <c r="K2252" s="618">
        <f t="shared" si="179"/>
        <v>293034</v>
      </c>
      <c r="L2252" s="52" t="s">
        <v>167</v>
      </c>
      <c r="M2252" s="52" t="s">
        <v>159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909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75" t="s">
        <v>1132</v>
      </c>
      <c r="E2253" s="800">
        <v>40865</v>
      </c>
      <c r="F2253" s="40" t="s">
        <v>672</v>
      </c>
      <c r="G2253" s="40"/>
      <c r="H2253" s="632" t="s">
        <v>1116</v>
      </c>
      <c r="I2253" s="260">
        <v>27</v>
      </c>
      <c r="J2253" s="260">
        <v>16502</v>
      </c>
      <c r="K2253" s="618">
        <f t="shared" si="179"/>
        <v>445554</v>
      </c>
      <c r="L2253" s="52" t="s">
        <v>167</v>
      </c>
      <c r="M2253" s="52" t="s">
        <v>159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909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75" t="s">
        <v>1132</v>
      </c>
      <c r="E2254" s="800">
        <v>40865</v>
      </c>
      <c r="F2254" s="40" t="s">
        <v>665</v>
      </c>
      <c r="G2254" s="40"/>
      <c r="H2254" s="632" t="s">
        <v>1116</v>
      </c>
      <c r="I2254" s="260">
        <v>3</v>
      </c>
      <c r="J2254" s="260">
        <v>20278</v>
      </c>
      <c r="K2254" s="618">
        <f t="shared" si="179"/>
        <v>60834</v>
      </c>
      <c r="L2254" s="52" t="s">
        <v>167</v>
      </c>
      <c r="M2254" s="52" t="s">
        <v>159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909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75" t="s">
        <v>1133</v>
      </c>
      <c r="E2255" s="800">
        <v>40865</v>
      </c>
      <c r="F2255" s="40" t="s">
        <v>647</v>
      </c>
      <c r="G2255" s="40"/>
      <c r="H2255" s="632" t="s">
        <v>1116</v>
      </c>
      <c r="I2255" s="260">
        <v>0.5</v>
      </c>
      <c r="J2255" s="260">
        <v>23688</v>
      </c>
      <c r="K2255" s="618">
        <f t="shared" si="179"/>
        <v>11844</v>
      </c>
      <c r="L2255" s="52" t="s">
        <v>167</v>
      </c>
      <c r="M2255" s="52" t="s">
        <v>159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909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75" t="s">
        <v>1133</v>
      </c>
      <c r="E2256" s="800">
        <v>40865</v>
      </c>
      <c r="F2256" s="189" t="s">
        <v>572</v>
      </c>
      <c r="G2256" s="40"/>
      <c r="H2256" s="632" t="s">
        <v>1116</v>
      </c>
      <c r="I2256" s="260">
        <v>1</v>
      </c>
      <c r="J2256" s="260">
        <v>13954</v>
      </c>
      <c r="K2256" s="618">
        <f t="shared" si="179"/>
        <v>13954</v>
      </c>
      <c r="L2256" s="52" t="s">
        <v>167</v>
      </c>
      <c r="M2256" s="52" t="s">
        <v>159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909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75" t="s">
        <v>1133</v>
      </c>
      <c r="E2257" s="800">
        <v>40865</v>
      </c>
      <c r="F2257" s="40" t="s">
        <v>666</v>
      </c>
      <c r="G2257" s="40"/>
      <c r="H2257" s="632" t="s">
        <v>1116</v>
      </c>
      <c r="I2257" s="260">
        <v>6</v>
      </c>
      <c r="J2257" s="260">
        <v>25631</v>
      </c>
      <c r="K2257" s="618">
        <f t="shared" si="179"/>
        <v>153786</v>
      </c>
      <c r="L2257" s="52" t="s">
        <v>167</v>
      </c>
      <c r="M2257" s="52" t="s">
        <v>159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909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994</v>
      </c>
      <c r="E2258" s="898">
        <v>40866</v>
      </c>
      <c r="F2258" s="192" t="s">
        <v>1330</v>
      </c>
      <c r="G2258" s="502" t="s">
        <v>1331</v>
      </c>
      <c r="H2258" s="193" t="s">
        <v>756</v>
      </c>
      <c r="I2258" s="260">
        <v>38</v>
      </c>
      <c r="J2258" s="260">
        <v>25864</v>
      </c>
      <c r="K2258" s="618">
        <v>982832</v>
      </c>
      <c r="L2258" s="194" t="s">
        <v>274</v>
      </c>
      <c r="M2258" s="194" t="s">
        <v>181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909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994</v>
      </c>
      <c r="E2259" s="898">
        <v>40866</v>
      </c>
      <c r="F2259" s="192" t="s">
        <v>1332</v>
      </c>
      <c r="G2259" s="502" t="s">
        <v>1331</v>
      </c>
      <c r="H2259" s="193" t="s">
        <v>756</v>
      </c>
      <c r="I2259" s="260">
        <v>8</v>
      </c>
      <c r="J2259" s="260">
        <v>17968</v>
      </c>
      <c r="K2259" s="618">
        <v>143744</v>
      </c>
      <c r="L2259" s="194" t="s">
        <v>274</v>
      </c>
      <c r="M2259" s="194" t="s">
        <v>181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909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994</v>
      </c>
      <c r="E2260" s="898">
        <v>40866</v>
      </c>
      <c r="F2260" s="192" t="s">
        <v>1333</v>
      </c>
      <c r="G2260" s="502" t="s">
        <v>1331</v>
      </c>
      <c r="H2260" s="193" t="s">
        <v>756</v>
      </c>
      <c r="I2260" s="260">
        <v>24</v>
      </c>
      <c r="J2260" s="260">
        <v>11987</v>
      </c>
      <c r="K2260" s="618">
        <v>287688</v>
      </c>
      <c r="L2260" s="194" t="s">
        <v>274</v>
      </c>
      <c r="M2260" s="194" t="s">
        <v>181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909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994</v>
      </c>
      <c r="E2261" s="898">
        <v>40866</v>
      </c>
      <c r="F2261" s="192" t="s">
        <v>1334</v>
      </c>
      <c r="G2261" s="502" t="s">
        <v>1331</v>
      </c>
      <c r="H2261" s="193" t="s">
        <v>756</v>
      </c>
      <c r="I2261" s="260">
        <v>24</v>
      </c>
      <c r="J2261" s="260">
        <v>16916</v>
      </c>
      <c r="K2261" s="618">
        <v>405984</v>
      </c>
      <c r="L2261" s="194" t="s">
        <v>274</v>
      </c>
      <c r="M2261" s="194" t="s">
        <v>181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909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994</v>
      </c>
      <c r="E2262" s="898">
        <v>40866</v>
      </c>
      <c r="F2262" s="192" t="s">
        <v>1335</v>
      </c>
      <c r="G2262" s="502" t="s">
        <v>1331</v>
      </c>
      <c r="H2262" s="193" t="s">
        <v>756</v>
      </c>
      <c r="I2262" s="260">
        <v>2</v>
      </c>
      <c r="J2262" s="260">
        <v>8709</v>
      </c>
      <c r="K2262" s="618">
        <v>17418</v>
      </c>
      <c r="L2262" s="194" t="s">
        <v>274</v>
      </c>
      <c r="M2262" s="194" t="s">
        <v>181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909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994</v>
      </c>
      <c r="E2263" s="898">
        <v>40866</v>
      </c>
      <c r="F2263" s="192" t="s">
        <v>1336</v>
      </c>
      <c r="G2263" s="502" t="s">
        <v>1331</v>
      </c>
      <c r="H2263" s="193" t="s">
        <v>756</v>
      </c>
      <c r="I2263" s="260">
        <v>25</v>
      </c>
      <c r="J2263" s="260">
        <v>14798</v>
      </c>
      <c r="K2263" s="618">
        <v>369950</v>
      </c>
      <c r="L2263" s="194" t="s">
        <v>274</v>
      </c>
      <c r="M2263" s="194" t="s">
        <v>181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909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994</v>
      </c>
      <c r="E2264" s="898">
        <v>40866</v>
      </c>
      <c r="F2264" s="192" t="s">
        <v>1337</v>
      </c>
      <c r="G2264" s="502" t="s">
        <v>1331</v>
      </c>
      <c r="H2264" s="193" t="s">
        <v>756</v>
      </c>
      <c r="I2264" s="260">
        <v>274</v>
      </c>
      <c r="J2264" s="260">
        <v>11849</v>
      </c>
      <c r="K2264" s="618">
        <v>3246626</v>
      </c>
      <c r="L2264" s="194" t="s">
        <v>274</v>
      </c>
      <c r="M2264" s="194" t="s">
        <v>181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909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994</v>
      </c>
      <c r="E2265" s="898">
        <v>40866</v>
      </c>
      <c r="F2265" s="192" t="s">
        <v>1338</v>
      </c>
      <c r="G2265" s="502" t="s">
        <v>1331</v>
      </c>
      <c r="H2265" s="193" t="s">
        <v>756</v>
      </c>
      <c r="I2265" s="260">
        <v>123</v>
      </c>
      <c r="J2265" s="260">
        <v>11205</v>
      </c>
      <c r="K2265" s="618">
        <v>1378215</v>
      </c>
      <c r="L2265" s="194" t="s">
        <v>274</v>
      </c>
      <c r="M2265" s="194" t="s">
        <v>181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909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994</v>
      </c>
      <c r="E2266" s="898">
        <v>40866</v>
      </c>
      <c r="F2266" s="192" t="s">
        <v>1339</v>
      </c>
      <c r="G2266" s="502" t="s">
        <v>1331</v>
      </c>
      <c r="H2266" s="193" t="s">
        <v>756</v>
      </c>
      <c r="I2266" s="260">
        <v>118</v>
      </c>
      <c r="J2266" s="260">
        <v>1087</v>
      </c>
      <c r="K2266" s="618">
        <v>128266</v>
      </c>
      <c r="L2266" s="194" t="s">
        <v>274</v>
      </c>
      <c r="M2266" s="194" t="s">
        <v>181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909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994</v>
      </c>
      <c r="E2267" s="898">
        <v>40866</v>
      </c>
      <c r="F2267" s="192" t="s">
        <v>1340</v>
      </c>
      <c r="G2267" s="502" t="s">
        <v>1331</v>
      </c>
      <c r="H2267" s="193" t="s">
        <v>756</v>
      </c>
      <c r="I2267" s="260">
        <v>236</v>
      </c>
      <c r="J2267" s="260">
        <v>1025</v>
      </c>
      <c r="K2267" s="618">
        <v>241900</v>
      </c>
      <c r="L2267" s="194" t="s">
        <v>274</v>
      </c>
      <c r="M2267" s="194" t="s">
        <v>181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909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994</v>
      </c>
      <c r="E2268" s="898">
        <v>40866</v>
      </c>
      <c r="F2268" s="192" t="s">
        <v>1341</v>
      </c>
      <c r="G2268" s="502" t="s">
        <v>1331</v>
      </c>
      <c r="H2268" s="193" t="s">
        <v>756</v>
      </c>
      <c r="I2268" s="260">
        <v>60</v>
      </c>
      <c r="J2268" s="260">
        <v>1220</v>
      </c>
      <c r="K2268" s="618">
        <v>73200</v>
      </c>
      <c r="L2268" s="194" t="s">
        <v>274</v>
      </c>
      <c r="M2268" s="194" t="s">
        <v>181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909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994</v>
      </c>
      <c r="E2269" s="898">
        <v>40866</v>
      </c>
      <c r="F2269" s="192" t="s">
        <v>1342</v>
      </c>
      <c r="G2269" s="502" t="s">
        <v>1331</v>
      </c>
      <c r="H2269" s="193" t="s">
        <v>756</v>
      </c>
      <c r="I2269" s="260">
        <v>120</v>
      </c>
      <c r="J2269" s="260">
        <v>1152</v>
      </c>
      <c r="K2269" s="618">
        <v>138240</v>
      </c>
      <c r="L2269" s="194" t="s">
        <v>274</v>
      </c>
      <c r="M2269" s="194" t="s">
        <v>181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909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994</v>
      </c>
      <c r="E2270" s="898">
        <v>40866</v>
      </c>
      <c r="F2270" s="192" t="s">
        <v>1343</v>
      </c>
      <c r="G2270" s="502" t="s">
        <v>1331</v>
      </c>
      <c r="H2270" s="193" t="s">
        <v>756</v>
      </c>
      <c r="I2270" s="260">
        <v>74</v>
      </c>
      <c r="J2270" s="260">
        <v>1660</v>
      </c>
      <c r="K2270" s="618">
        <v>122840</v>
      </c>
      <c r="L2270" s="194" t="s">
        <v>274</v>
      </c>
      <c r="M2270" s="194" t="s">
        <v>181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909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994</v>
      </c>
      <c r="E2271" s="898">
        <v>40866</v>
      </c>
      <c r="F2271" s="192" t="s">
        <v>1344</v>
      </c>
      <c r="G2271" s="502" t="s">
        <v>1331</v>
      </c>
      <c r="H2271" s="193" t="s">
        <v>756</v>
      </c>
      <c r="I2271" s="260">
        <v>148</v>
      </c>
      <c r="J2271" s="260">
        <v>1463</v>
      </c>
      <c r="K2271" s="618">
        <v>216524</v>
      </c>
      <c r="L2271" s="194" t="s">
        <v>274</v>
      </c>
      <c r="M2271" s="194" t="s">
        <v>181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909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994</v>
      </c>
      <c r="E2272" s="898">
        <v>40866</v>
      </c>
      <c r="F2272" s="192" t="s">
        <v>1345</v>
      </c>
      <c r="G2272" s="502" t="s">
        <v>1331</v>
      </c>
      <c r="H2272" s="193" t="s">
        <v>756</v>
      </c>
      <c r="I2272" s="260">
        <v>136</v>
      </c>
      <c r="J2272" s="260">
        <v>1288</v>
      </c>
      <c r="K2272" s="618">
        <v>175168</v>
      </c>
      <c r="L2272" s="194" t="s">
        <v>274</v>
      </c>
      <c r="M2272" s="194" t="s">
        <v>181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909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994</v>
      </c>
      <c r="E2273" s="898">
        <v>40866</v>
      </c>
      <c r="F2273" s="192" t="s">
        <v>1346</v>
      </c>
      <c r="G2273" s="502" t="s">
        <v>1331</v>
      </c>
      <c r="H2273" s="193" t="s">
        <v>756</v>
      </c>
      <c r="I2273" s="260">
        <v>272</v>
      </c>
      <c r="J2273" s="260">
        <v>1254</v>
      </c>
      <c r="K2273" s="618">
        <v>341088</v>
      </c>
      <c r="L2273" s="194" t="s">
        <v>274</v>
      </c>
      <c r="M2273" s="194" t="s">
        <v>181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909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994</v>
      </c>
      <c r="E2274" s="898">
        <v>40866</v>
      </c>
      <c r="F2274" s="192" t="s">
        <v>1347</v>
      </c>
      <c r="G2274" s="502" t="s">
        <v>1331</v>
      </c>
      <c r="H2274" s="193" t="s">
        <v>756</v>
      </c>
      <c r="I2274" s="260">
        <v>18</v>
      </c>
      <c r="J2274" s="260">
        <v>1581</v>
      </c>
      <c r="K2274" s="618">
        <v>28458</v>
      </c>
      <c r="L2274" s="194" t="s">
        <v>274</v>
      </c>
      <c r="M2274" s="194" t="s">
        <v>181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909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994</v>
      </c>
      <c r="E2275" s="898">
        <v>40866</v>
      </c>
      <c r="F2275" s="192" t="s">
        <v>1348</v>
      </c>
      <c r="G2275" s="502" t="s">
        <v>1331</v>
      </c>
      <c r="H2275" s="193" t="s">
        <v>756</v>
      </c>
      <c r="I2275" s="260">
        <v>36</v>
      </c>
      <c r="J2275" s="260">
        <v>1384</v>
      </c>
      <c r="K2275" s="618">
        <v>49824</v>
      </c>
      <c r="L2275" s="194" t="s">
        <v>274</v>
      </c>
      <c r="M2275" s="194" t="s">
        <v>181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909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994</v>
      </c>
      <c r="E2276" s="898">
        <v>40866</v>
      </c>
      <c r="F2276" s="192" t="s">
        <v>1340</v>
      </c>
      <c r="G2276" s="502" t="s">
        <v>1331</v>
      </c>
      <c r="H2276" s="193" t="s">
        <v>756</v>
      </c>
      <c r="I2276" s="260">
        <v>79</v>
      </c>
      <c r="J2276" s="260">
        <v>1025</v>
      </c>
      <c r="K2276" s="618">
        <v>80975</v>
      </c>
      <c r="L2276" s="194" t="s">
        <v>274</v>
      </c>
      <c r="M2276" s="194" t="s">
        <v>181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909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994</v>
      </c>
      <c r="E2277" s="898">
        <v>40866</v>
      </c>
      <c r="F2277" s="192" t="s">
        <v>1349</v>
      </c>
      <c r="G2277" s="502" t="s">
        <v>1331</v>
      </c>
      <c r="H2277" s="193" t="s">
        <v>756</v>
      </c>
      <c r="I2277" s="260">
        <v>158</v>
      </c>
      <c r="J2277" s="260">
        <v>963</v>
      </c>
      <c r="K2277" s="618">
        <v>152154</v>
      </c>
      <c r="L2277" s="194" t="s">
        <v>274</v>
      </c>
      <c r="M2277" s="194" t="s">
        <v>181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909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994</v>
      </c>
      <c r="E2278" s="898">
        <v>40866</v>
      </c>
      <c r="F2278" s="192" t="s">
        <v>1350</v>
      </c>
      <c r="G2278" s="502" t="s">
        <v>1331</v>
      </c>
      <c r="H2278" s="193" t="s">
        <v>756</v>
      </c>
      <c r="I2278" s="260">
        <v>82</v>
      </c>
      <c r="J2278" s="260">
        <v>1228</v>
      </c>
      <c r="K2278" s="618">
        <v>100696</v>
      </c>
      <c r="L2278" s="194" t="s">
        <v>274</v>
      </c>
      <c r="M2278" s="194" t="s">
        <v>181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909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994</v>
      </c>
      <c r="E2279" s="898">
        <v>40866</v>
      </c>
      <c r="F2279" s="192" t="s">
        <v>1351</v>
      </c>
      <c r="G2279" s="502" t="s">
        <v>1331</v>
      </c>
      <c r="H2279" s="193" t="s">
        <v>756</v>
      </c>
      <c r="I2279" s="260">
        <v>41</v>
      </c>
      <c r="J2279" s="260">
        <v>2499</v>
      </c>
      <c r="K2279" s="618">
        <v>102459</v>
      </c>
      <c r="L2279" s="194" t="s">
        <v>274</v>
      </c>
      <c r="M2279" s="194" t="s">
        <v>181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909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994</v>
      </c>
      <c r="E2280" s="898">
        <v>40866</v>
      </c>
      <c r="F2280" s="192" t="s">
        <v>782</v>
      </c>
      <c r="G2280" s="502" t="s">
        <v>1331</v>
      </c>
      <c r="H2280" s="193" t="s">
        <v>756</v>
      </c>
      <c r="I2280" s="260">
        <v>1</v>
      </c>
      <c r="J2280" s="260">
        <v>15136</v>
      </c>
      <c r="K2280" s="618">
        <v>15136</v>
      </c>
      <c r="L2280" s="194" t="s">
        <v>274</v>
      </c>
      <c r="M2280" s="194" t="s">
        <v>181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909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994</v>
      </c>
      <c r="E2281" s="898">
        <v>40866</v>
      </c>
      <c r="F2281" s="192" t="s">
        <v>775</v>
      </c>
      <c r="G2281" s="502" t="s">
        <v>1331</v>
      </c>
      <c r="H2281" s="193" t="s">
        <v>756</v>
      </c>
      <c r="I2281" s="260">
        <v>2</v>
      </c>
      <c r="J2281" s="260">
        <v>16284</v>
      </c>
      <c r="K2281" s="618">
        <v>32568</v>
      </c>
      <c r="L2281" s="194" t="s">
        <v>274</v>
      </c>
      <c r="M2281" s="194" t="s">
        <v>181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909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994</v>
      </c>
      <c r="E2282" s="898">
        <v>40866</v>
      </c>
      <c r="F2282" s="192" t="s">
        <v>1291</v>
      </c>
      <c r="G2282" s="502" t="s">
        <v>1331</v>
      </c>
      <c r="H2282" s="193" t="s">
        <v>756</v>
      </c>
      <c r="I2282" s="260">
        <v>21</v>
      </c>
      <c r="J2282" s="260">
        <v>16832</v>
      </c>
      <c r="K2282" s="618">
        <v>353472</v>
      </c>
      <c r="L2282" s="194" t="s">
        <v>274</v>
      </c>
      <c r="M2282" s="194" t="s">
        <v>181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909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994</v>
      </c>
      <c r="E2283" s="898">
        <v>40866</v>
      </c>
      <c r="F2283" s="192" t="s">
        <v>769</v>
      </c>
      <c r="G2283" s="502" t="s">
        <v>1331</v>
      </c>
      <c r="H2283" s="193" t="s">
        <v>756</v>
      </c>
      <c r="I2283" s="260">
        <v>53</v>
      </c>
      <c r="J2283" s="260">
        <v>10595</v>
      </c>
      <c r="K2283" s="618">
        <v>561535</v>
      </c>
      <c r="L2283" s="194" t="s">
        <v>274</v>
      </c>
      <c r="M2283" s="194" t="s">
        <v>181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909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994</v>
      </c>
      <c r="E2284" s="898">
        <v>40866</v>
      </c>
      <c r="F2284" s="192" t="s">
        <v>1316</v>
      </c>
      <c r="G2284" s="502" t="s">
        <v>1331</v>
      </c>
      <c r="H2284" s="193" t="s">
        <v>756</v>
      </c>
      <c r="I2284" s="260">
        <v>6</v>
      </c>
      <c r="J2284" s="260">
        <v>13869</v>
      </c>
      <c r="K2284" s="618">
        <v>83214</v>
      </c>
      <c r="L2284" s="194" t="s">
        <v>274</v>
      </c>
      <c r="M2284" s="194" t="s">
        <v>181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909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994</v>
      </c>
      <c r="E2285" s="898">
        <v>40866</v>
      </c>
      <c r="F2285" s="192" t="s">
        <v>773</v>
      </c>
      <c r="G2285" s="502" t="s">
        <v>1331</v>
      </c>
      <c r="H2285" s="193" t="s">
        <v>756</v>
      </c>
      <c r="I2285" s="260">
        <v>1</v>
      </c>
      <c r="J2285" s="260">
        <v>15618</v>
      </c>
      <c r="K2285" s="618">
        <v>15618</v>
      </c>
      <c r="L2285" s="194" t="s">
        <v>274</v>
      </c>
      <c r="M2285" s="194" t="s">
        <v>181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909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994</v>
      </c>
      <c r="E2286" s="898">
        <v>40866</v>
      </c>
      <c r="F2286" s="192" t="s">
        <v>782</v>
      </c>
      <c r="G2286" s="502" t="s">
        <v>1331</v>
      </c>
      <c r="H2286" s="193" t="s">
        <v>756</v>
      </c>
      <c r="I2286" s="260">
        <v>1</v>
      </c>
      <c r="J2286" s="260">
        <v>15136</v>
      </c>
      <c r="K2286" s="618">
        <v>15136</v>
      </c>
      <c r="L2286" s="194" t="s">
        <v>274</v>
      </c>
      <c r="M2286" s="194" t="s">
        <v>181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909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994</v>
      </c>
      <c r="E2287" s="898">
        <v>40866</v>
      </c>
      <c r="F2287" s="192" t="s">
        <v>1317</v>
      </c>
      <c r="G2287" s="502" t="s">
        <v>1331</v>
      </c>
      <c r="H2287" s="193" t="s">
        <v>756</v>
      </c>
      <c r="I2287" s="260">
        <v>12</v>
      </c>
      <c r="J2287" s="260">
        <v>14230</v>
      </c>
      <c r="K2287" s="618">
        <v>170760</v>
      </c>
      <c r="L2287" s="194" t="s">
        <v>274</v>
      </c>
      <c r="M2287" s="194" t="s">
        <v>181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909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994</v>
      </c>
      <c r="E2288" s="898">
        <v>40866</v>
      </c>
      <c r="F2288" s="192" t="s">
        <v>1200</v>
      </c>
      <c r="G2288" s="502" t="s">
        <v>1331</v>
      </c>
      <c r="H2288" s="193" t="s">
        <v>756</v>
      </c>
      <c r="I2288" s="260"/>
      <c r="J2288" s="260"/>
      <c r="K2288" s="618">
        <v>1003169</v>
      </c>
      <c r="L2288" s="194" t="s">
        <v>274</v>
      </c>
      <c r="M2288" s="194" t="s">
        <v>754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909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9">
        <f t="shared" si="180"/>
        <v>11</v>
      </c>
      <c r="C2289" s="875">
        <f t="shared" ref="C2289:C2320" si="181">E2289</f>
        <v>40866</v>
      </c>
      <c r="D2289" s="48" t="s">
        <v>1154</v>
      </c>
      <c r="E2289" s="884">
        <v>40866</v>
      </c>
      <c r="F2289" s="49" t="s">
        <v>1330</v>
      </c>
      <c r="G2289" s="49"/>
      <c r="H2289" s="883" t="s">
        <v>1116</v>
      </c>
      <c r="I2289" s="258">
        <v>38</v>
      </c>
      <c r="J2289" s="258">
        <v>18624.981870055966</v>
      </c>
      <c r="K2289" s="723">
        <f t="shared" ref="K2289:K2320" si="182">ROUND(I2289*J2289,0)</f>
        <v>707749</v>
      </c>
      <c r="L2289" s="52" t="s">
        <v>169</v>
      </c>
      <c r="M2289" s="52" t="s">
        <v>167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909"/>
      <c r="AB2289" s="843"/>
      <c r="AC2289" s="843"/>
      <c r="AD2289" s="843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9">
        <f t="shared" si="180"/>
        <v>11</v>
      </c>
      <c r="C2290" s="875">
        <f t="shared" si="181"/>
        <v>40866</v>
      </c>
      <c r="D2290" s="48" t="s">
        <v>1154</v>
      </c>
      <c r="E2290" s="884">
        <v>40866</v>
      </c>
      <c r="F2290" s="49" t="s">
        <v>1332</v>
      </c>
      <c r="G2290" s="49"/>
      <c r="H2290" s="883" t="s">
        <v>1116</v>
      </c>
      <c r="I2290" s="258">
        <v>8</v>
      </c>
      <c r="J2290" s="258">
        <v>15403.383185845443</v>
      </c>
      <c r="K2290" s="723">
        <f t="shared" si="182"/>
        <v>123227</v>
      </c>
      <c r="L2290" s="52" t="s">
        <v>169</v>
      </c>
      <c r="M2290" s="52" t="s">
        <v>167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909"/>
      <c r="AB2290" s="843"/>
      <c r="AC2290" s="843"/>
      <c r="AD2290" s="843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9">
        <f t="shared" si="180"/>
        <v>11</v>
      </c>
      <c r="C2291" s="875">
        <f t="shared" si="181"/>
        <v>40866</v>
      </c>
      <c r="D2291" s="48" t="s">
        <v>1154</v>
      </c>
      <c r="E2291" s="884">
        <v>40866</v>
      </c>
      <c r="F2291" s="49" t="s">
        <v>1333</v>
      </c>
      <c r="G2291" s="49"/>
      <c r="H2291" s="883" t="s">
        <v>1116</v>
      </c>
      <c r="I2291" s="258">
        <v>24</v>
      </c>
      <c r="J2291" s="258">
        <v>9918.4665191787753</v>
      </c>
      <c r="K2291" s="723">
        <f t="shared" si="182"/>
        <v>238043</v>
      </c>
      <c r="L2291" s="52" t="s">
        <v>169</v>
      </c>
      <c r="M2291" s="52" t="s">
        <v>167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909"/>
      <c r="AB2291" s="843"/>
      <c r="AC2291" s="843"/>
      <c r="AD2291" s="843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9">
        <f t="shared" si="180"/>
        <v>11</v>
      </c>
      <c r="C2292" s="875">
        <f t="shared" si="181"/>
        <v>40866</v>
      </c>
      <c r="D2292" s="48" t="s">
        <v>1154</v>
      </c>
      <c r="E2292" s="884">
        <v>40866</v>
      </c>
      <c r="F2292" s="49" t="s">
        <v>1334</v>
      </c>
      <c r="G2292" s="49"/>
      <c r="H2292" s="883" t="s">
        <v>1116</v>
      </c>
      <c r="I2292" s="258">
        <v>24</v>
      </c>
      <c r="J2292" s="258">
        <v>8350.9665191787753</v>
      </c>
      <c r="K2292" s="723">
        <f t="shared" si="182"/>
        <v>200423</v>
      </c>
      <c r="L2292" s="52" t="s">
        <v>169</v>
      </c>
      <c r="M2292" s="52" t="s">
        <v>167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909"/>
      <c r="AB2292" s="843"/>
      <c r="AC2292" s="843"/>
      <c r="AD2292" s="843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9">
        <f t="shared" si="180"/>
        <v>11</v>
      </c>
      <c r="C2293" s="875">
        <f t="shared" si="181"/>
        <v>40866</v>
      </c>
      <c r="D2293" s="48" t="s">
        <v>1154</v>
      </c>
      <c r="E2293" s="884">
        <v>40866</v>
      </c>
      <c r="F2293" s="49" t="s">
        <v>1335</v>
      </c>
      <c r="G2293" s="49"/>
      <c r="H2293" s="883" t="s">
        <v>1116</v>
      </c>
      <c r="I2293" s="258">
        <v>2</v>
      </c>
      <c r="J2293" s="258">
        <v>8275.0081858454432</v>
      </c>
      <c r="K2293" s="723">
        <f t="shared" si="182"/>
        <v>16550</v>
      </c>
      <c r="L2293" s="52" t="s">
        <v>169</v>
      </c>
      <c r="M2293" s="52" t="s">
        <v>167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909"/>
      <c r="AB2293" s="843"/>
      <c r="AC2293" s="843"/>
      <c r="AD2293" s="843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9">
        <f t="shared" si="180"/>
        <v>11</v>
      </c>
      <c r="C2294" s="875">
        <f t="shared" si="181"/>
        <v>40866</v>
      </c>
      <c r="D2294" s="48" t="s">
        <v>1154</v>
      </c>
      <c r="E2294" s="884">
        <v>40866</v>
      </c>
      <c r="F2294" s="49" t="s">
        <v>1336</v>
      </c>
      <c r="G2294" s="49"/>
      <c r="H2294" s="883" t="s">
        <v>1116</v>
      </c>
      <c r="I2294" s="258">
        <v>25</v>
      </c>
      <c r="J2294" s="258">
        <v>13595.988185845443</v>
      </c>
      <c r="K2294" s="723">
        <f t="shared" si="182"/>
        <v>339900</v>
      </c>
      <c r="L2294" s="52" t="s">
        <v>169</v>
      </c>
      <c r="M2294" s="52" t="s">
        <v>167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909"/>
      <c r="AB2294" s="843"/>
      <c r="AC2294" s="843"/>
      <c r="AD2294" s="843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9">
        <f t="shared" si="180"/>
        <v>11</v>
      </c>
      <c r="C2295" s="875">
        <f t="shared" si="181"/>
        <v>40866</v>
      </c>
      <c r="D2295" s="48" t="s">
        <v>1154</v>
      </c>
      <c r="E2295" s="884">
        <v>40866</v>
      </c>
      <c r="F2295" s="49" t="s">
        <v>1337</v>
      </c>
      <c r="G2295" s="49"/>
      <c r="H2295" s="883" t="s">
        <v>1116</v>
      </c>
      <c r="I2295" s="258">
        <v>274</v>
      </c>
      <c r="J2295" s="258">
        <v>9918.5045362104065</v>
      </c>
      <c r="K2295" s="723">
        <f t="shared" si="182"/>
        <v>2717670</v>
      </c>
      <c r="L2295" s="52" t="s">
        <v>169</v>
      </c>
      <c r="M2295" s="52" t="s">
        <v>167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909"/>
      <c r="AB2295" s="843"/>
      <c r="AC2295" s="843"/>
      <c r="AD2295" s="843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9">
        <f t="shared" si="180"/>
        <v>11</v>
      </c>
      <c r="C2296" s="875">
        <f t="shared" si="181"/>
        <v>40866</v>
      </c>
      <c r="D2296" s="48" t="s">
        <v>1154</v>
      </c>
      <c r="E2296" s="884">
        <v>40866</v>
      </c>
      <c r="F2296" s="49" t="s">
        <v>1338</v>
      </c>
      <c r="G2296" s="49"/>
      <c r="H2296" s="883" t="s">
        <v>1116</v>
      </c>
      <c r="I2296" s="258">
        <v>123</v>
      </c>
      <c r="J2296" s="258">
        <v>9918.5000557641433</v>
      </c>
      <c r="K2296" s="723">
        <f t="shared" si="182"/>
        <v>1219976</v>
      </c>
      <c r="L2296" s="52" t="s">
        <v>169</v>
      </c>
      <c r="M2296" s="52" t="s">
        <v>167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909"/>
      <c r="AB2296" s="843"/>
      <c r="AC2296" s="843"/>
      <c r="AD2296" s="843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9">
        <f t="shared" si="180"/>
        <v>11</v>
      </c>
      <c r="C2297" s="875">
        <f t="shared" si="181"/>
        <v>40866</v>
      </c>
      <c r="D2297" s="48" t="s">
        <v>1155</v>
      </c>
      <c r="E2297" s="884">
        <v>40866</v>
      </c>
      <c r="F2297" s="49" t="s">
        <v>1339</v>
      </c>
      <c r="G2297" s="49"/>
      <c r="H2297" s="883" t="s">
        <v>1116</v>
      </c>
      <c r="I2297" s="258">
        <v>118</v>
      </c>
      <c r="J2297" s="258">
        <v>1449.3132705912053</v>
      </c>
      <c r="K2297" s="723">
        <f t="shared" si="182"/>
        <v>171019</v>
      </c>
      <c r="L2297" s="52" t="s">
        <v>169</v>
      </c>
      <c r="M2297" s="52" t="s">
        <v>167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909"/>
      <c r="AB2297" s="843"/>
      <c r="AC2297" s="843"/>
      <c r="AD2297" s="843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9">
        <f t="shared" si="180"/>
        <v>11</v>
      </c>
      <c r="C2298" s="875">
        <f t="shared" si="181"/>
        <v>40866</v>
      </c>
      <c r="D2298" s="48" t="s">
        <v>1155</v>
      </c>
      <c r="E2298" s="884">
        <v>40866</v>
      </c>
      <c r="F2298" s="49" t="s">
        <v>1340</v>
      </c>
      <c r="G2298" s="49"/>
      <c r="H2298" s="883" t="s">
        <v>1116</v>
      </c>
      <c r="I2298" s="258">
        <v>236</v>
      </c>
      <c r="J2298" s="258">
        <v>1449.3175078793408</v>
      </c>
      <c r="K2298" s="723">
        <f t="shared" si="182"/>
        <v>342039</v>
      </c>
      <c r="L2298" s="52" t="s">
        <v>169</v>
      </c>
      <c r="M2298" s="52" t="s">
        <v>167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909"/>
      <c r="AB2298" s="843"/>
      <c r="AC2298" s="843"/>
      <c r="AD2298" s="843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9">
        <f t="shared" si="180"/>
        <v>11</v>
      </c>
      <c r="C2299" s="875">
        <f t="shared" si="181"/>
        <v>40866</v>
      </c>
      <c r="D2299" s="48" t="s">
        <v>1155</v>
      </c>
      <c r="E2299" s="884">
        <v>40866</v>
      </c>
      <c r="F2299" s="49" t="s">
        <v>1341</v>
      </c>
      <c r="G2299" s="49"/>
      <c r="H2299" s="883" t="s">
        <v>1116</v>
      </c>
      <c r="I2299" s="258">
        <v>60</v>
      </c>
      <c r="J2299" s="258">
        <v>1520.9415191787762</v>
      </c>
      <c r="K2299" s="723">
        <f t="shared" si="182"/>
        <v>91256</v>
      </c>
      <c r="L2299" s="52" t="s">
        <v>169</v>
      </c>
      <c r="M2299" s="52" t="s">
        <v>167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909"/>
      <c r="AB2299" s="843"/>
      <c r="AC2299" s="843"/>
      <c r="AD2299" s="843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9">
        <f t="shared" si="180"/>
        <v>11</v>
      </c>
      <c r="C2300" s="875">
        <f t="shared" si="181"/>
        <v>40866</v>
      </c>
      <c r="D2300" s="48" t="s">
        <v>1155</v>
      </c>
      <c r="E2300" s="884">
        <v>40866</v>
      </c>
      <c r="F2300" s="49" t="s">
        <v>1342</v>
      </c>
      <c r="G2300" s="49"/>
      <c r="H2300" s="883" t="s">
        <v>1116</v>
      </c>
      <c r="I2300" s="258">
        <v>120</v>
      </c>
      <c r="J2300" s="258">
        <v>1520.9498525121094</v>
      </c>
      <c r="K2300" s="723">
        <f t="shared" si="182"/>
        <v>182514</v>
      </c>
      <c r="L2300" s="52" t="s">
        <v>169</v>
      </c>
      <c r="M2300" s="52" t="s">
        <v>167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909"/>
      <c r="AB2300" s="843"/>
      <c r="AC2300" s="843"/>
      <c r="AD2300" s="843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9">
        <f t="shared" si="180"/>
        <v>11</v>
      </c>
      <c r="C2301" s="875">
        <f t="shared" si="181"/>
        <v>40866</v>
      </c>
      <c r="D2301" s="48" t="s">
        <v>1155</v>
      </c>
      <c r="E2301" s="884">
        <v>40866</v>
      </c>
      <c r="F2301" s="49" t="s">
        <v>1343</v>
      </c>
      <c r="G2301" s="49"/>
      <c r="H2301" s="883" t="s">
        <v>1116</v>
      </c>
      <c r="I2301" s="258">
        <v>74</v>
      </c>
      <c r="J2301" s="258">
        <v>1719.3460236832809</v>
      </c>
      <c r="K2301" s="723">
        <f t="shared" si="182"/>
        <v>127232</v>
      </c>
      <c r="L2301" s="52" t="s">
        <v>169</v>
      </c>
      <c r="M2301" s="52" t="s">
        <v>167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909"/>
      <c r="AB2301" s="843"/>
      <c r="AC2301" s="843"/>
      <c r="AD2301" s="843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9">
        <f t="shared" si="180"/>
        <v>11</v>
      </c>
      <c r="C2302" s="875">
        <f t="shared" si="181"/>
        <v>40866</v>
      </c>
      <c r="D2302" s="48" t="s">
        <v>1155</v>
      </c>
      <c r="E2302" s="884">
        <v>40866</v>
      </c>
      <c r="F2302" s="49" t="s">
        <v>1344</v>
      </c>
      <c r="G2302" s="49"/>
      <c r="H2302" s="883" t="s">
        <v>1116</v>
      </c>
      <c r="I2302" s="258">
        <v>148</v>
      </c>
      <c r="J2302" s="258">
        <v>1749.4135912508484</v>
      </c>
      <c r="K2302" s="723">
        <f t="shared" si="182"/>
        <v>258913</v>
      </c>
      <c r="L2302" s="52" t="s">
        <v>169</v>
      </c>
      <c r="M2302" s="52" t="s">
        <v>167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909"/>
      <c r="AB2302" s="843"/>
      <c r="AC2302" s="843"/>
      <c r="AD2302" s="843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9">
        <f t="shared" si="180"/>
        <v>11</v>
      </c>
      <c r="C2303" s="875">
        <f t="shared" si="181"/>
        <v>40866</v>
      </c>
      <c r="D2303" s="48" t="s">
        <v>1155</v>
      </c>
      <c r="E2303" s="884">
        <v>40866</v>
      </c>
      <c r="F2303" s="49" t="s">
        <v>1345</v>
      </c>
      <c r="G2303" s="49"/>
      <c r="H2303" s="883" t="s">
        <v>1116</v>
      </c>
      <c r="I2303" s="258">
        <v>136</v>
      </c>
      <c r="J2303" s="258">
        <v>2074.9861270219135</v>
      </c>
      <c r="K2303" s="723">
        <f t="shared" si="182"/>
        <v>282198</v>
      </c>
      <c r="L2303" s="52" t="s">
        <v>169</v>
      </c>
      <c r="M2303" s="52" t="s">
        <v>167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909"/>
      <c r="AB2303" s="843"/>
      <c r="AC2303" s="843"/>
      <c r="AD2303" s="843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9">
        <f t="shared" si="180"/>
        <v>11</v>
      </c>
      <c r="C2304" s="875">
        <f t="shared" si="181"/>
        <v>40866</v>
      </c>
      <c r="D2304" s="48" t="s">
        <v>1155</v>
      </c>
      <c r="E2304" s="884">
        <v>40866</v>
      </c>
      <c r="F2304" s="49" t="s">
        <v>1346</v>
      </c>
      <c r="G2304" s="49"/>
      <c r="H2304" s="883" t="s">
        <v>1116</v>
      </c>
      <c r="I2304" s="258">
        <v>272</v>
      </c>
      <c r="J2304" s="258">
        <v>1527.4971564336781</v>
      </c>
      <c r="K2304" s="723">
        <f t="shared" si="182"/>
        <v>415479</v>
      </c>
      <c r="L2304" s="52" t="s">
        <v>169</v>
      </c>
      <c r="M2304" s="52" t="s">
        <v>167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909"/>
      <c r="AB2304" s="843"/>
      <c r="AC2304" s="843"/>
      <c r="AD2304" s="843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9">
        <f t="shared" si="180"/>
        <v>11</v>
      </c>
      <c r="C2305" s="875">
        <f t="shared" si="181"/>
        <v>40866</v>
      </c>
      <c r="D2305" s="48" t="s">
        <v>1155</v>
      </c>
      <c r="E2305" s="884">
        <v>40866</v>
      </c>
      <c r="F2305" s="49" t="s">
        <v>1347</v>
      </c>
      <c r="G2305" s="49"/>
      <c r="H2305" s="883" t="s">
        <v>1116</v>
      </c>
      <c r="I2305" s="258">
        <v>18</v>
      </c>
      <c r="J2305" s="258">
        <v>1792.7859636232206</v>
      </c>
      <c r="K2305" s="723">
        <f t="shared" si="182"/>
        <v>32270</v>
      </c>
      <c r="L2305" s="52" t="s">
        <v>169</v>
      </c>
      <c r="M2305" s="52" t="s">
        <v>167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909"/>
      <c r="AB2305" s="843"/>
      <c r="AC2305" s="843"/>
      <c r="AD2305" s="843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9">
        <f t="shared" si="180"/>
        <v>11</v>
      </c>
      <c r="C2306" s="875">
        <f t="shared" si="181"/>
        <v>40866</v>
      </c>
      <c r="D2306" s="48" t="s">
        <v>1156</v>
      </c>
      <c r="E2306" s="884">
        <v>40866</v>
      </c>
      <c r="F2306" s="49" t="s">
        <v>1348</v>
      </c>
      <c r="G2306" s="49"/>
      <c r="H2306" s="883" t="s">
        <v>1116</v>
      </c>
      <c r="I2306" s="258">
        <v>36</v>
      </c>
      <c r="J2306" s="258">
        <v>1545.6470747343315</v>
      </c>
      <c r="K2306" s="723">
        <f t="shared" si="182"/>
        <v>55643</v>
      </c>
      <c r="L2306" s="52" t="s">
        <v>169</v>
      </c>
      <c r="M2306" s="52" t="s">
        <v>167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909"/>
      <c r="AB2306" s="843"/>
      <c r="AC2306" s="843"/>
      <c r="AD2306" s="843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9">
        <f t="shared" si="180"/>
        <v>11</v>
      </c>
      <c r="C2307" s="875">
        <f t="shared" si="181"/>
        <v>40866</v>
      </c>
      <c r="D2307" s="48" t="s">
        <v>1156</v>
      </c>
      <c r="E2307" s="884">
        <v>40866</v>
      </c>
      <c r="F2307" s="49" t="s">
        <v>1340</v>
      </c>
      <c r="G2307" s="49"/>
      <c r="H2307" s="883" t="s">
        <v>1116</v>
      </c>
      <c r="I2307" s="258">
        <v>79</v>
      </c>
      <c r="J2307" s="258">
        <v>1467.4448947062021</v>
      </c>
      <c r="K2307" s="723">
        <f t="shared" si="182"/>
        <v>115928</v>
      </c>
      <c r="L2307" s="52" t="s">
        <v>169</v>
      </c>
      <c r="M2307" s="52" t="s">
        <v>167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909"/>
      <c r="AB2307" s="843"/>
      <c r="AC2307" s="843"/>
      <c r="AD2307" s="843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9">
        <f t="shared" si="180"/>
        <v>11</v>
      </c>
      <c r="C2308" s="875">
        <f t="shared" si="181"/>
        <v>40866</v>
      </c>
      <c r="D2308" s="48" t="s">
        <v>1156</v>
      </c>
      <c r="E2308" s="884">
        <v>40866</v>
      </c>
      <c r="F2308" s="49" t="s">
        <v>1349</v>
      </c>
      <c r="G2308" s="49"/>
      <c r="H2308" s="883" t="s">
        <v>1116</v>
      </c>
      <c r="I2308" s="258">
        <v>158</v>
      </c>
      <c r="J2308" s="258">
        <v>1523.7676795163288</v>
      </c>
      <c r="K2308" s="723">
        <f t="shared" si="182"/>
        <v>240755</v>
      </c>
      <c r="L2308" s="52" t="s">
        <v>169</v>
      </c>
      <c r="M2308" s="52" t="s">
        <v>167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909"/>
      <c r="AB2308" s="843"/>
      <c r="AC2308" s="843"/>
      <c r="AD2308" s="843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9">
        <f t="shared" si="180"/>
        <v>11</v>
      </c>
      <c r="C2309" s="875">
        <f t="shared" si="181"/>
        <v>40866</v>
      </c>
      <c r="D2309" s="48" t="s">
        <v>1156</v>
      </c>
      <c r="E2309" s="884">
        <v>40866</v>
      </c>
      <c r="F2309" s="49" t="s">
        <v>1350</v>
      </c>
      <c r="G2309" s="49"/>
      <c r="H2309" s="883" t="s">
        <v>1116</v>
      </c>
      <c r="I2309" s="258">
        <v>82</v>
      </c>
      <c r="J2309" s="258">
        <v>1569.7764785283696</v>
      </c>
      <c r="K2309" s="723">
        <f t="shared" si="182"/>
        <v>128722</v>
      </c>
      <c r="L2309" s="52" t="s">
        <v>169</v>
      </c>
      <c r="M2309" s="52" t="s">
        <v>167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909"/>
      <c r="AB2309" s="843"/>
      <c r="AC2309" s="843"/>
      <c r="AD2309" s="843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9">
        <f t="shared" si="180"/>
        <v>11</v>
      </c>
      <c r="C2310" s="875">
        <f t="shared" si="181"/>
        <v>40866</v>
      </c>
      <c r="D2310" s="48" t="s">
        <v>1156</v>
      </c>
      <c r="E2310" s="884">
        <v>40866</v>
      </c>
      <c r="F2310" s="49" t="s">
        <v>1351</v>
      </c>
      <c r="G2310" s="49"/>
      <c r="H2310" s="883" t="s">
        <v>1116</v>
      </c>
      <c r="I2310" s="258">
        <v>41</v>
      </c>
      <c r="J2310" s="258">
        <v>2492.1179419430036</v>
      </c>
      <c r="K2310" s="723">
        <f t="shared" si="182"/>
        <v>102177</v>
      </c>
      <c r="L2310" s="52" t="s">
        <v>169</v>
      </c>
      <c r="M2310" s="52" t="s">
        <v>167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909"/>
      <c r="AB2310" s="843"/>
      <c r="AC2310" s="843"/>
      <c r="AD2310" s="843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9">
        <f t="shared" si="180"/>
        <v>11</v>
      </c>
      <c r="C2311" s="875">
        <f t="shared" si="181"/>
        <v>40866</v>
      </c>
      <c r="D2311" s="48" t="s">
        <v>1234</v>
      </c>
      <c r="E2311" s="884">
        <v>40866</v>
      </c>
      <c r="F2311" s="49" t="s">
        <v>782</v>
      </c>
      <c r="G2311" s="49"/>
      <c r="H2311" s="883" t="s">
        <v>1116</v>
      </c>
      <c r="I2311" s="258">
        <v>1</v>
      </c>
      <c r="J2311" s="258">
        <v>13141.508185845443</v>
      </c>
      <c r="K2311" s="723">
        <f t="shared" si="182"/>
        <v>13142</v>
      </c>
      <c r="L2311" s="52" t="s">
        <v>169</v>
      </c>
      <c r="M2311" s="52" t="s">
        <v>167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909"/>
      <c r="AB2311" s="843"/>
      <c r="AC2311" s="843"/>
      <c r="AD2311" s="843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9">
        <f t="shared" si="180"/>
        <v>11</v>
      </c>
      <c r="C2312" s="875">
        <f t="shared" si="181"/>
        <v>40866</v>
      </c>
      <c r="D2312" s="48" t="s">
        <v>1234</v>
      </c>
      <c r="E2312" s="884">
        <v>40866</v>
      </c>
      <c r="F2312" s="49" t="s">
        <v>775</v>
      </c>
      <c r="G2312" s="49"/>
      <c r="H2312" s="883" t="s">
        <v>1116</v>
      </c>
      <c r="I2312" s="258">
        <v>2</v>
      </c>
      <c r="J2312" s="258">
        <v>11117.008185845443</v>
      </c>
      <c r="K2312" s="723">
        <f t="shared" si="182"/>
        <v>22234</v>
      </c>
      <c r="L2312" s="52" t="s">
        <v>169</v>
      </c>
      <c r="M2312" s="52" t="s">
        <v>167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909"/>
      <c r="AB2312" s="843"/>
      <c r="AC2312" s="843"/>
      <c r="AD2312" s="843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9">
        <f t="shared" si="180"/>
        <v>11</v>
      </c>
      <c r="C2313" s="875">
        <f t="shared" si="181"/>
        <v>40866</v>
      </c>
      <c r="D2313" s="48" t="s">
        <v>1234</v>
      </c>
      <c r="E2313" s="884">
        <v>40866</v>
      </c>
      <c r="F2313" s="49" t="s">
        <v>1291</v>
      </c>
      <c r="G2313" s="49"/>
      <c r="H2313" s="883" t="s">
        <v>1116</v>
      </c>
      <c r="I2313" s="258">
        <v>21</v>
      </c>
      <c r="J2313" s="258">
        <v>15252.460566797827</v>
      </c>
      <c r="K2313" s="723">
        <f t="shared" si="182"/>
        <v>320302</v>
      </c>
      <c r="L2313" s="52" t="s">
        <v>169</v>
      </c>
      <c r="M2313" s="52" t="s">
        <v>167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909"/>
      <c r="AB2313" s="843"/>
      <c r="AC2313" s="843"/>
      <c r="AD2313" s="843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9">
        <f t="shared" si="180"/>
        <v>11</v>
      </c>
      <c r="C2314" s="875">
        <f t="shared" si="181"/>
        <v>40866</v>
      </c>
      <c r="D2314" s="48" t="s">
        <v>1234</v>
      </c>
      <c r="E2314" s="884">
        <v>40866</v>
      </c>
      <c r="F2314" s="49" t="s">
        <v>769</v>
      </c>
      <c r="G2314" s="49"/>
      <c r="H2314" s="883" t="s">
        <v>1116</v>
      </c>
      <c r="I2314" s="258">
        <v>53</v>
      </c>
      <c r="J2314" s="258">
        <v>9705.1685632039353</v>
      </c>
      <c r="K2314" s="723">
        <f t="shared" si="182"/>
        <v>514374</v>
      </c>
      <c r="L2314" s="52" t="s">
        <v>169</v>
      </c>
      <c r="M2314" s="52" t="s">
        <v>167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909"/>
      <c r="AB2314" s="843"/>
      <c r="AC2314" s="843"/>
      <c r="AD2314" s="843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9">
        <f t="shared" si="180"/>
        <v>11</v>
      </c>
      <c r="C2315" s="875">
        <f t="shared" si="181"/>
        <v>40866</v>
      </c>
      <c r="D2315" s="48" t="s">
        <v>1234</v>
      </c>
      <c r="E2315" s="884">
        <v>40866</v>
      </c>
      <c r="F2315" s="49" t="s">
        <v>1316</v>
      </c>
      <c r="G2315" s="49"/>
      <c r="H2315" s="883" t="s">
        <v>1116</v>
      </c>
      <c r="I2315" s="258">
        <v>6</v>
      </c>
      <c r="J2315" s="258">
        <v>11437.341519178777</v>
      </c>
      <c r="K2315" s="723">
        <f t="shared" si="182"/>
        <v>68624</v>
      </c>
      <c r="L2315" s="52" t="s">
        <v>169</v>
      </c>
      <c r="M2315" s="52" t="s">
        <v>167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909"/>
      <c r="AB2315" s="843"/>
      <c r="AC2315" s="843"/>
      <c r="AD2315" s="843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9">
        <f t="shared" si="180"/>
        <v>11</v>
      </c>
      <c r="C2316" s="875">
        <f t="shared" si="181"/>
        <v>40866</v>
      </c>
      <c r="D2316" s="48" t="s">
        <v>1234</v>
      </c>
      <c r="E2316" s="884">
        <v>40866</v>
      </c>
      <c r="F2316" s="885" t="s">
        <v>773</v>
      </c>
      <c r="G2316" s="49"/>
      <c r="H2316" s="883" t="s">
        <v>1116</v>
      </c>
      <c r="I2316" s="258">
        <v>1</v>
      </c>
      <c r="J2316" s="258">
        <v>13141.508185845443</v>
      </c>
      <c r="K2316" s="723">
        <f t="shared" si="182"/>
        <v>13142</v>
      </c>
      <c r="L2316" s="52" t="s">
        <v>169</v>
      </c>
      <c r="M2316" s="52" t="s">
        <v>167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909"/>
      <c r="AB2316" s="843"/>
      <c r="AC2316" s="843"/>
      <c r="AD2316" s="843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9">
        <f t="shared" si="180"/>
        <v>11</v>
      </c>
      <c r="C2317" s="875">
        <f t="shared" si="181"/>
        <v>40866</v>
      </c>
      <c r="D2317" s="48" t="s">
        <v>1234</v>
      </c>
      <c r="E2317" s="884">
        <v>40866</v>
      </c>
      <c r="F2317" s="49" t="s">
        <v>782</v>
      </c>
      <c r="G2317" s="49"/>
      <c r="H2317" s="883" t="s">
        <v>1116</v>
      </c>
      <c r="I2317" s="258">
        <v>1</v>
      </c>
      <c r="J2317" s="258">
        <v>15251.508185845443</v>
      </c>
      <c r="K2317" s="723">
        <f t="shared" si="182"/>
        <v>15252</v>
      </c>
      <c r="L2317" s="52" t="s">
        <v>169</v>
      </c>
      <c r="M2317" s="52" t="s">
        <v>167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909"/>
      <c r="AB2317" s="843"/>
      <c r="AC2317" s="843"/>
      <c r="AD2317" s="843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9">
        <f t="shared" si="180"/>
        <v>11</v>
      </c>
      <c r="C2318" s="875">
        <f t="shared" si="181"/>
        <v>40866</v>
      </c>
      <c r="D2318" s="48" t="s">
        <v>1234</v>
      </c>
      <c r="E2318" s="884">
        <v>40866</v>
      </c>
      <c r="F2318" s="49" t="s">
        <v>1317</v>
      </c>
      <c r="G2318" s="49"/>
      <c r="H2318" s="883" t="s">
        <v>1116</v>
      </c>
      <c r="I2318" s="258">
        <v>12</v>
      </c>
      <c r="J2318" s="258">
        <v>14113.924852512109</v>
      </c>
      <c r="K2318" s="723">
        <f t="shared" si="182"/>
        <v>169367</v>
      </c>
      <c r="L2318" s="52" t="s">
        <v>169</v>
      </c>
      <c r="M2318" s="52" t="s">
        <v>167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909"/>
      <c r="AB2318" s="843"/>
      <c r="AC2318" s="843"/>
      <c r="AD2318" s="843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994</v>
      </c>
      <c r="E2319" s="800">
        <v>40866</v>
      </c>
      <c r="F2319" s="192" t="s">
        <v>1330</v>
      </c>
      <c r="G2319" s="502" t="s">
        <v>1331</v>
      </c>
      <c r="H2319" s="193" t="s">
        <v>756</v>
      </c>
      <c r="I2319" s="260">
        <v>38</v>
      </c>
      <c r="J2319" s="260">
        <v>18624.981870055966</v>
      </c>
      <c r="K2319" s="881">
        <f t="shared" si="182"/>
        <v>707749</v>
      </c>
      <c r="L2319" s="869" t="s">
        <v>179</v>
      </c>
      <c r="M2319" s="869" t="s">
        <v>169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909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994</v>
      </c>
      <c r="E2320" s="800">
        <v>40866</v>
      </c>
      <c r="F2320" s="192" t="s">
        <v>1332</v>
      </c>
      <c r="G2320" s="502" t="s">
        <v>1331</v>
      </c>
      <c r="H2320" s="193" t="s">
        <v>756</v>
      </c>
      <c r="I2320" s="260">
        <v>8</v>
      </c>
      <c r="J2320" s="260">
        <v>15403.383185845443</v>
      </c>
      <c r="K2320" s="881">
        <f t="shared" si="182"/>
        <v>123227</v>
      </c>
      <c r="L2320" s="869" t="s">
        <v>179</v>
      </c>
      <c r="M2320" s="869" t="s">
        <v>169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909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994</v>
      </c>
      <c r="E2321" s="800">
        <v>40866</v>
      </c>
      <c r="F2321" s="192" t="s">
        <v>1333</v>
      </c>
      <c r="G2321" s="502" t="s">
        <v>1331</v>
      </c>
      <c r="H2321" s="193" t="s">
        <v>756</v>
      </c>
      <c r="I2321" s="260">
        <v>24</v>
      </c>
      <c r="J2321" s="260">
        <v>9918.4665191787753</v>
      </c>
      <c r="K2321" s="881">
        <f t="shared" ref="K2321:K2352" si="184">ROUND(I2321*J2321,0)</f>
        <v>238043</v>
      </c>
      <c r="L2321" s="869" t="s">
        <v>179</v>
      </c>
      <c r="M2321" s="869" t="s">
        <v>169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909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994</v>
      </c>
      <c r="E2322" s="800">
        <v>40866</v>
      </c>
      <c r="F2322" s="192" t="s">
        <v>1334</v>
      </c>
      <c r="G2322" s="502" t="s">
        <v>1331</v>
      </c>
      <c r="H2322" s="193" t="s">
        <v>756</v>
      </c>
      <c r="I2322" s="260">
        <v>24</v>
      </c>
      <c r="J2322" s="260">
        <v>8350.9665191787753</v>
      </c>
      <c r="K2322" s="881">
        <f t="shared" si="184"/>
        <v>200423</v>
      </c>
      <c r="L2322" s="869" t="s">
        <v>179</v>
      </c>
      <c r="M2322" s="869" t="s">
        <v>169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909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994</v>
      </c>
      <c r="E2323" s="800">
        <v>40866</v>
      </c>
      <c r="F2323" s="192" t="s">
        <v>1335</v>
      </c>
      <c r="G2323" s="502" t="s">
        <v>1331</v>
      </c>
      <c r="H2323" s="193" t="s">
        <v>756</v>
      </c>
      <c r="I2323" s="260">
        <v>2</v>
      </c>
      <c r="J2323" s="260">
        <v>8275.0081858454432</v>
      </c>
      <c r="K2323" s="881">
        <f t="shared" si="184"/>
        <v>16550</v>
      </c>
      <c r="L2323" s="869" t="s">
        <v>179</v>
      </c>
      <c r="M2323" s="869" t="s">
        <v>169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909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994</v>
      </c>
      <c r="E2324" s="800">
        <v>40866</v>
      </c>
      <c r="F2324" s="192" t="s">
        <v>1336</v>
      </c>
      <c r="G2324" s="502" t="s">
        <v>1331</v>
      </c>
      <c r="H2324" s="193" t="s">
        <v>756</v>
      </c>
      <c r="I2324" s="260">
        <v>25</v>
      </c>
      <c r="J2324" s="260">
        <v>13595.988185845443</v>
      </c>
      <c r="K2324" s="881">
        <f t="shared" si="184"/>
        <v>339900</v>
      </c>
      <c r="L2324" s="869" t="s">
        <v>179</v>
      </c>
      <c r="M2324" s="869" t="s">
        <v>169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909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994</v>
      </c>
      <c r="E2325" s="800">
        <v>40866</v>
      </c>
      <c r="F2325" s="192" t="s">
        <v>1337</v>
      </c>
      <c r="G2325" s="502" t="s">
        <v>1331</v>
      </c>
      <c r="H2325" s="193" t="s">
        <v>756</v>
      </c>
      <c r="I2325" s="260">
        <v>274</v>
      </c>
      <c r="J2325" s="260">
        <v>9918.5045362104065</v>
      </c>
      <c r="K2325" s="881">
        <f t="shared" si="184"/>
        <v>2717670</v>
      </c>
      <c r="L2325" s="869" t="s">
        <v>179</v>
      </c>
      <c r="M2325" s="869" t="s">
        <v>169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909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994</v>
      </c>
      <c r="E2326" s="800">
        <v>40866</v>
      </c>
      <c r="F2326" s="192" t="s">
        <v>1338</v>
      </c>
      <c r="G2326" s="502" t="s">
        <v>1331</v>
      </c>
      <c r="H2326" s="193" t="s">
        <v>756</v>
      </c>
      <c r="I2326" s="260">
        <v>123</v>
      </c>
      <c r="J2326" s="260">
        <v>9918.5000557641433</v>
      </c>
      <c r="K2326" s="881">
        <f t="shared" si="184"/>
        <v>1219976</v>
      </c>
      <c r="L2326" s="869" t="s">
        <v>179</v>
      </c>
      <c r="M2326" s="869" t="s">
        <v>169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909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994</v>
      </c>
      <c r="E2327" s="800">
        <v>40866</v>
      </c>
      <c r="F2327" s="192" t="s">
        <v>1339</v>
      </c>
      <c r="G2327" s="502" t="s">
        <v>1331</v>
      </c>
      <c r="H2327" s="193" t="s">
        <v>756</v>
      </c>
      <c r="I2327" s="260">
        <v>118</v>
      </c>
      <c r="J2327" s="260">
        <v>1449.3132705912053</v>
      </c>
      <c r="K2327" s="881">
        <f t="shared" si="184"/>
        <v>171019</v>
      </c>
      <c r="L2327" s="869" t="s">
        <v>179</v>
      </c>
      <c r="M2327" s="869" t="s">
        <v>169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909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994</v>
      </c>
      <c r="E2328" s="800">
        <v>40866</v>
      </c>
      <c r="F2328" s="192" t="s">
        <v>1340</v>
      </c>
      <c r="G2328" s="502" t="s">
        <v>1331</v>
      </c>
      <c r="H2328" s="193" t="s">
        <v>756</v>
      </c>
      <c r="I2328" s="260">
        <v>236</v>
      </c>
      <c r="J2328" s="260">
        <v>1449.3175078793408</v>
      </c>
      <c r="K2328" s="881">
        <f t="shared" si="184"/>
        <v>342039</v>
      </c>
      <c r="L2328" s="869" t="s">
        <v>179</v>
      </c>
      <c r="M2328" s="869" t="s">
        <v>169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909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994</v>
      </c>
      <c r="E2329" s="800">
        <v>40866</v>
      </c>
      <c r="F2329" s="192" t="s">
        <v>1341</v>
      </c>
      <c r="G2329" s="502" t="s">
        <v>1331</v>
      </c>
      <c r="H2329" s="193" t="s">
        <v>756</v>
      </c>
      <c r="I2329" s="260">
        <v>60</v>
      </c>
      <c r="J2329" s="260">
        <v>1520.9415191787762</v>
      </c>
      <c r="K2329" s="881">
        <f t="shared" si="184"/>
        <v>91256</v>
      </c>
      <c r="L2329" s="869" t="s">
        <v>179</v>
      </c>
      <c r="M2329" s="869" t="s">
        <v>169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909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994</v>
      </c>
      <c r="E2330" s="800">
        <v>40866</v>
      </c>
      <c r="F2330" s="192" t="s">
        <v>1342</v>
      </c>
      <c r="G2330" s="502" t="s">
        <v>1331</v>
      </c>
      <c r="H2330" s="193" t="s">
        <v>756</v>
      </c>
      <c r="I2330" s="260">
        <v>120</v>
      </c>
      <c r="J2330" s="260">
        <v>1520.9498525121094</v>
      </c>
      <c r="K2330" s="881">
        <f t="shared" si="184"/>
        <v>182514</v>
      </c>
      <c r="L2330" s="869" t="s">
        <v>179</v>
      </c>
      <c r="M2330" s="869" t="s">
        <v>169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909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994</v>
      </c>
      <c r="E2331" s="800">
        <v>40866</v>
      </c>
      <c r="F2331" s="192" t="s">
        <v>1343</v>
      </c>
      <c r="G2331" s="502" t="s">
        <v>1331</v>
      </c>
      <c r="H2331" s="193" t="s">
        <v>756</v>
      </c>
      <c r="I2331" s="260">
        <v>74</v>
      </c>
      <c r="J2331" s="260">
        <v>1719.3460236832809</v>
      </c>
      <c r="K2331" s="881">
        <f t="shared" si="184"/>
        <v>127232</v>
      </c>
      <c r="L2331" s="869" t="s">
        <v>179</v>
      </c>
      <c r="M2331" s="869" t="s">
        <v>169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909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994</v>
      </c>
      <c r="E2332" s="800">
        <v>40866</v>
      </c>
      <c r="F2332" s="192" t="s">
        <v>1344</v>
      </c>
      <c r="G2332" s="502" t="s">
        <v>1331</v>
      </c>
      <c r="H2332" s="193" t="s">
        <v>756</v>
      </c>
      <c r="I2332" s="260">
        <v>148</v>
      </c>
      <c r="J2332" s="260">
        <v>1749.4135912508484</v>
      </c>
      <c r="K2332" s="881">
        <f t="shared" si="184"/>
        <v>258913</v>
      </c>
      <c r="L2332" s="869" t="s">
        <v>179</v>
      </c>
      <c r="M2332" s="869" t="s">
        <v>169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909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994</v>
      </c>
      <c r="E2333" s="800">
        <v>40866</v>
      </c>
      <c r="F2333" s="192" t="s">
        <v>1345</v>
      </c>
      <c r="G2333" s="502" t="s">
        <v>1331</v>
      </c>
      <c r="H2333" s="193" t="s">
        <v>756</v>
      </c>
      <c r="I2333" s="260">
        <v>136</v>
      </c>
      <c r="J2333" s="260">
        <v>2074.9861270219135</v>
      </c>
      <c r="K2333" s="881">
        <f t="shared" si="184"/>
        <v>282198</v>
      </c>
      <c r="L2333" s="869" t="s">
        <v>179</v>
      </c>
      <c r="M2333" s="869" t="s">
        <v>169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909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994</v>
      </c>
      <c r="E2334" s="800">
        <v>40866</v>
      </c>
      <c r="F2334" s="192" t="s">
        <v>1346</v>
      </c>
      <c r="G2334" s="502" t="s">
        <v>1331</v>
      </c>
      <c r="H2334" s="193" t="s">
        <v>756</v>
      </c>
      <c r="I2334" s="260">
        <v>272</v>
      </c>
      <c r="J2334" s="260">
        <v>1527.4971564336781</v>
      </c>
      <c r="K2334" s="881">
        <f t="shared" si="184"/>
        <v>415479</v>
      </c>
      <c r="L2334" s="869" t="s">
        <v>179</v>
      </c>
      <c r="M2334" s="869" t="s">
        <v>169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909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994</v>
      </c>
      <c r="E2335" s="800">
        <v>40866</v>
      </c>
      <c r="F2335" s="192" t="s">
        <v>1347</v>
      </c>
      <c r="G2335" s="502" t="s">
        <v>1331</v>
      </c>
      <c r="H2335" s="193" t="s">
        <v>756</v>
      </c>
      <c r="I2335" s="260">
        <v>18</v>
      </c>
      <c r="J2335" s="260">
        <v>1792.7859636232206</v>
      </c>
      <c r="K2335" s="881">
        <f t="shared" si="184"/>
        <v>32270</v>
      </c>
      <c r="L2335" s="869" t="s">
        <v>179</v>
      </c>
      <c r="M2335" s="869" t="s">
        <v>169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909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994</v>
      </c>
      <c r="E2336" s="800">
        <v>40866</v>
      </c>
      <c r="F2336" s="192" t="s">
        <v>1348</v>
      </c>
      <c r="G2336" s="502" t="s">
        <v>1331</v>
      </c>
      <c r="H2336" s="193" t="s">
        <v>756</v>
      </c>
      <c r="I2336" s="260">
        <v>36</v>
      </c>
      <c r="J2336" s="260">
        <v>1545.6470747343315</v>
      </c>
      <c r="K2336" s="881">
        <f t="shared" si="184"/>
        <v>55643</v>
      </c>
      <c r="L2336" s="869" t="s">
        <v>179</v>
      </c>
      <c r="M2336" s="869" t="s">
        <v>169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909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994</v>
      </c>
      <c r="E2337" s="800">
        <v>40866</v>
      </c>
      <c r="F2337" s="192" t="s">
        <v>1340</v>
      </c>
      <c r="G2337" s="502" t="s">
        <v>1331</v>
      </c>
      <c r="H2337" s="193" t="s">
        <v>756</v>
      </c>
      <c r="I2337" s="260">
        <v>79</v>
      </c>
      <c r="J2337" s="260">
        <v>1467.4448947062021</v>
      </c>
      <c r="K2337" s="881">
        <f t="shared" si="184"/>
        <v>115928</v>
      </c>
      <c r="L2337" s="869" t="s">
        <v>179</v>
      </c>
      <c r="M2337" s="869" t="s">
        <v>169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909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994</v>
      </c>
      <c r="E2338" s="800">
        <v>40866</v>
      </c>
      <c r="F2338" s="192" t="s">
        <v>1349</v>
      </c>
      <c r="G2338" s="502" t="s">
        <v>1331</v>
      </c>
      <c r="H2338" s="193" t="s">
        <v>756</v>
      </c>
      <c r="I2338" s="260">
        <v>158</v>
      </c>
      <c r="J2338" s="260">
        <v>1523.7676795163288</v>
      </c>
      <c r="K2338" s="881">
        <f t="shared" si="184"/>
        <v>240755</v>
      </c>
      <c r="L2338" s="869" t="s">
        <v>179</v>
      </c>
      <c r="M2338" s="869" t="s">
        <v>169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909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994</v>
      </c>
      <c r="E2339" s="800">
        <v>40866</v>
      </c>
      <c r="F2339" s="192" t="s">
        <v>1350</v>
      </c>
      <c r="G2339" s="502" t="s">
        <v>1331</v>
      </c>
      <c r="H2339" s="193" t="s">
        <v>756</v>
      </c>
      <c r="I2339" s="260">
        <v>82</v>
      </c>
      <c r="J2339" s="260">
        <v>1569.7764785283696</v>
      </c>
      <c r="K2339" s="881">
        <f t="shared" si="184"/>
        <v>128722</v>
      </c>
      <c r="L2339" s="869" t="s">
        <v>179</v>
      </c>
      <c r="M2339" s="869" t="s">
        <v>169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909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994</v>
      </c>
      <c r="E2340" s="800">
        <v>40866</v>
      </c>
      <c r="F2340" s="192" t="s">
        <v>1351</v>
      </c>
      <c r="G2340" s="502" t="s">
        <v>1331</v>
      </c>
      <c r="H2340" s="193" t="s">
        <v>756</v>
      </c>
      <c r="I2340" s="260">
        <v>41</v>
      </c>
      <c r="J2340" s="260">
        <v>2492.1179419430036</v>
      </c>
      <c r="K2340" s="881">
        <f t="shared" si="184"/>
        <v>102177</v>
      </c>
      <c r="L2340" s="869" t="s">
        <v>179</v>
      </c>
      <c r="M2340" s="869" t="s">
        <v>169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909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994</v>
      </c>
      <c r="E2341" s="800">
        <v>40866</v>
      </c>
      <c r="F2341" s="192" t="s">
        <v>782</v>
      </c>
      <c r="G2341" s="502" t="s">
        <v>1331</v>
      </c>
      <c r="H2341" s="193" t="s">
        <v>756</v>
      </c>
      <c r="I2341" s="260">
        <v>1</v>
      </c>
      <c r="J2341" s="260">
        <v>13141.508185845443</v>
      </c>
      <c r="K2341" s="881">
        <f t="shared" si="184"/>
        <v>13142</v>
      </c>
      <c r="L2341" s="869" t="s">
        <v>179</v>
      </c>
      <c r="M2341" s="869" t="s">
        <v>169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909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994</v>
      </c>
      <c r="E2342" s="800">
        <v>40866</v>
      </c>
      <c r="F2342" s="192" t="s">
        <v>775</v>
      </c>
      <c r="G2342" s="502" t="s">
        <v>1331</v>
      </c>
      <c r="H2342" s="193" t="s">
        <v>756</v>
      </c>
      <c r="I2342" s="260">
        <v>2</v>
      </c>
      <c r="J2342" s="260">
        <v>11117.008185845443</v>
      </c>
      <c r="K2342" s="881">
        <f t="shared" si="184"/>
        <v>22234</v>
      </c>
      <c r="L2342" s="869" t="s">
        <v>179</v>
      </c>
      <c r="M2342" s="869" t="s">
        <v>169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909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994</v>
      </c>
      <c r="E2343" s="800">
        <v>40866</v>
      </c>
      <c r="F2343" s="192" t="s">
        <v>1291</v>
      </c>
      <c r="G2343" s="502" t="s">
        <v>1331</v>
      </c>
      <c r="H2343" s="193" t="s">
        <v>756</v>
      </c>
      <c r="I2343" s="260">
        <v>21</v>
      </c>
      <c r="J2343" s="260">
        <v>15252.460566797827</v>
      </c>
      <c r="K2343" s="881">
        <f t="shared" si="184"/>
        <v>320302</v>
      </c>
      <c r="L2343" s="869" t="s">
        <v>179</v>
      </c>
      <c r="M2343" s="869" t="s">
        <v>169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909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994</v>
      </c>
      <c r="E2344" s="800">
        <v>40866</v>
      </c>
      <c r="F2344" s="192" t="s">
        <v>769</v>
      </c>
      <c r="G2344" s="502" t="s">
        <v>1331</v>
      </c>
      <c r="H2344" s="193" t="s">
        <v>756</v>
      </c>
      <c r="I2344" s="260">
        <v>53</v>
      </c>
      <c r="J2344" s="260">
        <v>9705.1685632039353</v>
      </c>
      <c r="K2344" s="881">
        <f t="shared" si="184"/>
        <v>514374</v>
      </c>
      <c r="L2344" s="869" t="s">
        <v>179</v>
      </c>
      <c r="M2344" s="869" t="s">
        <v>169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909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994</v>
      </c>
      <c r="E2345" s="800">
        <v>40866</v>
      </c>
      <c r="F2345" s="192" t="s">
        <v>1316</v>
      </c>
      <c r="G2345" s="502" t="s">
        <v>1331</v>
      </c>
      <c r="H2345" s="193" t="s">
        <v>756</v>
      </c>
      <c r="I2345" s="260">
        <v>6</v>
      </c>
      <c r="J2345" s="260">
        <v>11437.341519178777</v>
      </c>
      <c r="K2345" s="881">
        <f t="shared" si="184"/>
        <v>68624</v>
      </c>
      <c r="L2345" s="869" t="s">
        <v>179</v>
      </c>
      <c r="M2345" s="869" t="s">
        <v>169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909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994</v>
      </c>
      <c r="E2346" s="800">
        <v>40866</v>
      </c>
      <c r="F2346" s="192" t="s">
        <v>773</v>
      </c>
      <c r="G2346" s="502" t="s">
        <v>1331</v>
      </c>
      <c r="H2346" s="193" t="s">
        <v>756</v>
      </c>
      <c r="I2346" s="260">
        <v>1</v>
      </c>
      <c r="J2346" s="260">
        <v>13141.508185845443</v>
      </c>
      <c r="K2346" s="881">
        <f t="shared" si="184"/>
        <v>13142</v>
      </c>
      <c r="L2346" s="869" t="s">
        <v>179</v>
      </c>
      <c r="M2346" s="869" t="s">
        <v>169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909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994</v>
      </c>
      <c r="E2347" s="800">
        <v>40866</v>
      </c>
      <c r="F2347" s="192" t="s">
        <v>782</v>
      </c>
      <c r="G2347" s="502" t="s">
        <v>1331</v>
      </c>
      <c r="H2347" s="193" t="s">
        <v>756</v>
      </c>
      <c r="I2347" s="260">
        <v>1</v>
      </c>
      <c r="J2347" s="260">
        <v>15251.508185845443</v>
      </c>
      <c r="K2347" s="881">
        <f t="shared" si="184"/>
        <v>15252</v>
      </c>
      <c r="L2347" s="869" t="s">
        <v>179</v>
      </c>
      <c r="M2347" s="869" t="s">
        <v>169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909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994</v>
      </c>
      <c r="E2348" s="800">
        <v>40866</v>
      </c>
      <c r="F2348" s="192" t="s">
        <v>1317</v>
      </c>
      <c r="G2348" s="502" t="s">
        <v>1331</v>
      </c>
      <c r="H2348" s="193" t="s">
        <v>756</v>
      </c>
      <c r="I2348" s="260">
        <v>12</v>
      </c>
      <c r="J2348" s="260">
        <v>14113.924852512109</v>
      </c>
      <c r="K2348" s="881">
        <f t="shared" si="184"/>
        <v>169367</v>
      </c>
      <c r="L2348" s="869" t="s">
        <v>179</v>
      </c>
      <c r="M2348" s="869" t="s">
        <v>169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909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75" t="s">
        <v>1134</v>
      </c>
      <c r="E2349" s="800">
        <v>40867</v>
      </c>
      <c r="F2349" s="40" t="s">
        <v>667</v>
      </c>
      <c r="G2349" s="40"/>
      <c r="H2349" s="632" t="s">
        <v>1116</v>
      </c>
      <c r="I2349" s="260">
        <v>61</v>
      </c>
      <c r="J2349" s="260">
        <v>30158</v>
      </c>
      <c r="K2349" s="618">
        <f t="shared" si="184"/>
        <v>1839638</v>
      </c>
      <c r="L2349" s="52" t="s">
        <v>167</v>
      </c>
      <c r="M2349" s="52" t="s">
        <v>159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909"/>
    </row>
    <row r="2350" spans="1:30" s="843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75" t="s">
        <v>1134</v>
      </c>
      <c r="E2350" s="800">
        <v>40867</v>
      </c>
      <c r="F2350" s="40" t="s">
        <v>664</v>
      </c>
      <c r="G2350" s="40"/>
      <c r="H2350" s="632" t="s">
        <v>1116</v>
      </c>
      <c r="I2350" s="260">
        <v>50</v>
      </c>
      <c r="J2350" s="260">
        <v>34653</v>
      </c>
      <c r="K2350" s="618">
        <f t="shared" si="184"/>
        <v>1732650</v>
      </c>
      <c r="L2350" s="52" t="s">
        <v>167</v>
      </c>
      <c r="M2350" s="52" t="s">
        <v>159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909"/>
      <c r="AB2350" s="198"/>
      <c r="AC2350" s="198"/>
      <c r="AD2350" s="198"/>
    </row>
    <row r="2351" spans="1:30" s="843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75" t="s">
        <v>1134</v>
      </c>
      <c r="E2351" s="800">
        <v>40867</v>
      </c>
      <c r="F2351" s="189" t="s">
        <v>576</v>
      </c>
      <c r="G2351" s="40"/>
      <c r="H2351" s="632" t="s">
        <v>1116</v>
      </c>
      <c r="I2351" s="260">
        <v>121</v>
      </c>
      <c r="J2351" s="260">
        <v>17368</v>
      </c>
      <c r="K2351" s="618">
        <f t="shared" si="184"/>
        <v>2101528</v>
      </c>
      <c r="L2351" s="52" t="s">
        <v>167</v>
      </c>
      <c r="M2351" s="52" t="s">
        <v>159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909"/>
      <c r="AB2351" s="198"/>
      <c r="AC2351" s="198"/>
      <c r="AD2351" s="198"/>
    </row>
    <row r="2352" spans="1:30" s="843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75" t="s">
        <v>1134</v>
      </c>
      <c r="E2352" s="800">
        <v>40867</v>
      </c>
      <c r="F2352" s="40" t="s">
        <v>667</v>
      </c>
      <c r="G2352" s="40"/>
      <c r="H2352" s="632" t="s">
        <v>1116</v>
      </c>
      <c r="I2352" s="260">
        <v>111</v>
      </c>
      <c r="J2352" s="260">
        <v>30158</v>
      </c>
      <c r="K2352" s="618">
        <f t="shared" si="184"/>
        <v>3347538</v>
      </c>
      <c r="L2352" s="52" t="s">
        <v>167</v>
      </c>
      <c r="M2352" s="52" t="s">
        <v>159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909"/>
      <c r="AB2352" s="198"/>
      <c r="AC2352" s="198"/>
      <c r="AD2352" s="198"/>
    </row>
    <row r="2353" spans="1:30" s="843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75" t="s">
        <v>1134</v>
      </c>
      <c r="E2353" s="800">
        <v>40867</v>
      </c>
      <c r="F2353" s="40" t="s">
        <v>663</v>
      </c>
      <c r="G2353" s="40"/>
      <c r="H2353" s="632" t="s">
        <v>1116</v>
      </c>
      <c r="I2353" s="260">
        <v>60.5</v>
      </c>
      <c r="J2353" s="260">
        <v>31752</v>
      </c>
      <c r="K2353" s="618">
        <f t="shared" ref="K2353:K2355" si="186">ROUND(I2353*J2353,0)</f>
        <v>1920996</v>
      </c>
      <c r="L2353" s="52" t="s">
        <v>167</v>
      </c>
      <c r="M2353" s="52" t="s">
        <v>159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909"/>
      <c r="AB2353" s="198"/>
      <c r="AC2353" s="198"/>
      <c r="AD2353" s="198"/>
    </row>
    <row r="2354" spans="1:30" s="843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75" t="s">
        <v>1134</v>
      </c>
      <c r="E2354" s="800">
        <v>40867</v>
      </c>
      <c r="F2354" s="40" t="s">
        <v>663</v>
      </c>
      <c r="G2354" s="40"/>
      <c r="H2354" s="632" t="s">
        <v>1116</v>
      </c>
      <c r="I2354" s="260">
        <v>50.5</v>
      </c>
      <c r="J2354" s="260">
        <v>31752</v>
      </c>
      <c r="K2354" s="618">
        <f t="shared" si="186"/>
        <v>1603476</v>
      </c>
      <c r="L2354" s="52" t="s">
        <v>167</v>
      </c>
      <c r="M2354" s="52" t="s">
        <v>159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909"/>
      <c r="AB2354" s="198"/>
      <c r="AC2354" s="198"/>
      <c r="AD2354" s="198"/>
    </row>
    <row r="2355" spans="1:30" s="843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75" t="s">
        <v>1134</v>
      </c>
      <c r="E2355" s="800">
        <v>40867</v>
      </c>
      <c r="F2355" s="189" t="s">
        <v>410</v>
      </c>
      <c r="G2355" s="40"/>
      <c r="H2355" s="632" t="s">
        <v>1116</v>
      </c>
      <c r="I2355" s="851">
        <v>23</v>
      </c>
      <c r="J2355" s="260">
        <v>4449</v>
      </c>
      <c r="K2355" s="618">
        <f t="shared" si="186"/>
        <v>102327</v>
      </c>
      <c r="L2355" s="52" t="s">
        <v>167</v>
      </c>
      <c r="M2355" s="52" t="s">
        <v>159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909"/>
      <c r="AB2355" s="198"/>
      <c r="AC2355" s="198"/>
      <c r="AD2355" s="198"/>
    </row>
    <row r="2356" spans="1:30" s="843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685</v>
      </c>
      <c r="E2356" s="911">
        <v>40868</v>
      </c>
      <c r="F2356" s="189" t="s">
        <v>385</v>
      </c>
      <c r="G2356" s="620" t="s">
        <v>353</v>
      </c>
      <c r="H2356" s="193" t="s">
        <v>386</v>
      </c>
      <c r="I2356" s="260"/>
      <c r="J2356" s="260"/>
      <c r="K2356" s="618">
        <v>6000000</v>
      </c>
      <c r="L2356" s="619" t="s">
        <v>24</v>
      </c>
      <c r="M2356" s="619" t="s">
        <v>47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909"/>
      <c r="AB2356" s="198"/>
      <c r="AC2356" s="198"/>
      <c r="AD2356" s="198"/>
    </row>
    <row r="2357" spans="1:30" s="843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357</v>
      </c>
      <c r="E2357" s="911">
        <v>40868</v>
      </c>
      <c r="F2357" s="189" t="s">
        <v>390</v>
      </c>
      <c r="G2357" s="620" t="s">
        <v>353</v>
      </c>
      <c r="H2357" s="7" t="s">
        <v>582</v>
      </c>
      <c r="I2357" s="260"/>
      <c r="J2357" s="260"/>
      <c r="K2357" s="618">
        <v>20000000</v>
      </c>
      <c r="L2357" s="619" t="s">
        <v>8</v>
      </c>
      <c r="M2357" s="619" t="s">
        <v>24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909"/>
      <c r="AB2357" s="198"/>
      <c r="AC2357" s="198"/>
      <c r="AD2357" s="198"/>
    </row>
    <row r="2358" spans="1:30" s="843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911">
        <v>40868</v>
      </c>
      <c r="F2358" s="189" t="s">
        <v>390</v>
      </c>
      <c r="G2358" s="620"/>
      <c r="H2358" s="7" t="s">
        <v>582</v>
      </c>
      <c r="I2358" s="260"/>
      <c r="J2358" s="260"/>
      <c r="K2358" s="618">
        <v>4000367</v>
      </c>
      <c r="L2358" s="619" t="s">
        <v>8</v>
      </c>
      <c r="M2358" s="619" t="s">
        <v>47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909"/>
      <c r="AB2358" s="198"/>
      <c r="AC2358" s="198"/>
      <c r="AD2358" s="198"/>
    </row>
    <row r="2359" spans="1:30" s="843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357</v>
      </c>
      <c r="E2359" s="911">
        <v>40868</v>
      </c>
      <c r="F2359" s="189" t="s">
        <v>393</v>
      </c>
      <c r="G2359" s="620" t="s">
        <v>353</v>
      </c>
      <c r="H2359" s="7"/>
      <c r="I2359" s="260"/>
      <c r="J2359" s="260"/>
      <c r="K2359" s="618">
        <v>9091</v>
      </c>
      <c r="L2359" s="619" t="s">
        <v>83</v>
      </c>
      <c r="M2359" s="619" t="s">
        <v>24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909"/>
      <c r="AB2359" s="198"/>
      <c r="AC2359" s="198"/>
      <c r="AD2359" s="198"/>
    </row>
    <row r="2360" spans="1:30" s="843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357</v>
      </c>
      <c r="E2360" s="911">
        <v>40868</v>
      </c>
      <c r="F2360" s="189" t="s">
        <v>1457</v>
      </c>
      <c r="G2360" s="620" t="s">
        <v>353</v>
      </c>
      <c r="H2360" s="7"/>
      <c r="I2360" s="260"/>
      <c r="J2360" s="260"/>
      <c r="K2360" s="618">
        <v>909</v>
      </c>
      <c r="L2360" s="619" t="s">
        <v>9</v>
      </c>
      <c r="M2360" s="619" t="s">
        <v>24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909"/>
      <c r="AB2360" s="198">
        <v>11</v>
      </c>
      <c r="AC2360" s="198"/>
      <c r="AD2360" s="198"/>
    </row>
    <row r="2361" spans="1:30" s="843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357</v>
      </c>
      <c r="E2361" s="911">
        <v>40868</v>
      </c>
      <c r="F2361" s="189" t="s">
        <v>359</v>
      </c>
      <c r="G2361" s="620" t="s">
        <v>353</v>
      </c>
      <c r="H2361" s="7"/>
      <c r="I2361" s="260"/>
      <c r="J2361" s="260"/>
      <c r="K2361" s="618">
        <v>9091</v>
      </c>
      <c r="L2361" s="619" t="s">
        <v>83</v>
      </c>
      <c r="M2361" s="619" t="s">
        <v>24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909"/>
      <c r="AB2361" s="198"/>
      <c r="AC2361" s="198"/>
      <c r="AD2361" s="198"/>
    </row>
    <row r="2362" spans="1:30" s="843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357</v>
      </c>
      <c r="E2362" s="911">
        <v>40868</v>
      </c>
      <c r="F2362" s="189" t="s">
        <v>1458</v>
      </c>
      <c r="G2362" s="620" t="s">
        <v>353</v>
      </c>
      <c r="H2362" s="7"/>
      <c r="I2362" s="260"/>
      <c r="J2362" s="260"/>
      <c r="K2362" s="618">
        <v>909</v>
      </c>
      <c r="L2362" s="619" t="s">
        <v>9</v>
      </c>
      <c r="M2362" s="619" t="s">
        <v>24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909"/>
      <c r="AB2362" s="198">
        <v>11</v>
      </c>
      <c r="AC2362" s="198"/>
      <c r="AD2362" s="198"/>
    </row>
    <row r="2363" spans="1:30" s="843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687</v>
      </c>
      <c r="E2363" s="898">
        <v>40868</v>
      </c>
      <c r="F2363" s="192" t="s">
        <v>527</v>
      </c>
      <c r="G2363" s="502" t="s">
        <v>1300</v>
      </c>
      <c r="H2363" s="7" t="s">
        <v>394</v>
      </c>
      <c r="I2363" s="260">
        <v>20</v>
      </c>
      <c r="J2363" s="260">
        <v>68000</v>
      </c>
      <c r="K2363" s="618">
        <v>1360000</v>
      </c>
      <c r="L2363" s="194" t="s">
        <v>167</v>
      </c>
      <c r="M2363" s="194" t="s">
        <v>47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909"/>
      <c r="AB2363" s="198"/>
      <c r="AC2363" s="198"/>
      <c r="AD2363" s="198"/>
    </row>
    <row r="2364" spans="1:30" s="843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687</v>
      </c>
      <c r="E2364" s="898">
        <v>40868</v>
      </c>
      <c r="F2364" s="192" t="s">
        <v>1189</v>
      </c>
      <c r="G2364" s="502" t="s">
        <v>1300</v>
      </c>
      <c r="H2364" s="7" t="s">
        <v>394</v>
      </c>
      <c r="I2364" s="260"/>
      <c r="J2364" s="260"/>
      <c r="K2364" s="38">
        <v>136000</v>
      </c>
      <c r="L2364" s="194" t="s">
        <v>9</v>
      </c>
      <c r="M2364" s="194" t="s">
        <v>47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909"/>
      <c r="AB2364" s="198">
        <v>11</v>
      </c>
      <c r="AC2364" s="198"/>
      <c r="AD2364" s="198"/>
    </row>
    <row r="2365" spans="1:30" s="843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720</v>
      </c>
      <c r="E2365" s="898">
        <v>40870</v>
      </c>
      <c r="F2365" s="192" t="s">
        <v>671</v>
      </c>
      <c r="G2365" s="502" t="s">
        <v>1301</v>
      </c>
      <c r="H2365" s="193" t="s">
        <v>582</v>
      </c>
      <c r="I2365" s="260">
        <v>740</v>
      </c>
      <c r="J2365" s="260">
        <v>19365</v>
      </c>
      <c r="K2365" s="618">
        <v>14330100</v>
      </c>
      <c r="L2365" s="194" t="s">
        <v>159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909"/>
      <c r="AB2365" s="198"/>
      <c r="AC2365" s="198"/>
      <c r="AD2365" s="198"/>
    </row>
    <row r="2366" spans="1:30" s="843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720</v>
      </c>
      <c r="E2366" s="898">
        <v>40870</v>
      </c>
      <c r="F2366" s="192" t="s">
        <v>583</v>
      </c>
      <c r="G2366" s="502" t="s">
        <v>1301</v>
      </c>
      <c r="H2366" s="193" t="s">
        <v>582</v>
      </c>
      <c r="I2366" s="260"/>
      <c r="J2366" s="260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909"/>
      <c r="AB2366" s="198">
        <v>11</v>
      </c>
      <c r="AC2366" s="198"/>
      <c r="AD2366" s="198"/>
    </row>
    <row r="2367" spans="1:30" s="843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720</v>
      </c>
      <c r="E2367" s="898">
        <v>40870</v>
      </c>
      <c r="F2367" s="189" t="s">
        <v>390</v>
      </c>
      <c r="G2367" s="502" t="s">
        <v>1301</v>
      </c>
      <c r="H2367" s="7" t="s">
        <v>582</v>
      </c>
      <c r="I2367" s="260"/>
      <c r="J2367" s="260"/>
      <c r="K2367" s="618">
        <v>15763110</v>
      </c>
      <c r="L2367" s="619" t="s">
        <v>8</v>
      </c>
      <c r="M2367" s="619" t="s">
        <v>47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909"/>
      <c r="AB2367" s="198"/>
      <c r="AC2367" s="198"/>
      <c r="AD2367" s="198"/>
    </row>
    <row r="2368" spans="1:30" s="843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995</v>
      </c>
      <c r="E2368" s="898">
        <v>40870</v>
      </c>
      <c r="F2368" s="192" t="s">
        <v>1353</v>
      </c>
      <c r="G2368" s="502" t="s">
        <v>1354</v>
      </c>
      <c r="H2368" s="193" t="s">
        <v>758</v>
      </c>
      <c r="I2368" s="260">
        <v>121</v>
      </c>
      <c r="J2368" s="260">
        <v>18100</v>
      </c>
      <c r="K2368" s="618">
        <v>2190100</v>
      </c>
      <c r="L2368" s="194" t="s">
        <v>274</v>
      </c>
      <c r="M2368" s="194" t="s">
        <v>181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909"/>
      <c r="AB2368" s="198"/>
      <c r="AC2368" s="198"/>
      <c r="AD2368" s="198"/>
    </row>
    <row r="2369" spans="1:30" s="843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995</v>
      </c>
      <c r="E2369" s="898">
        <v>40870</v>
      </c>
      <c r="F2369" s="192" t="s">
        <v>1355</v>
      </c>
      <c r="G2369" s="502" t="s">
        <v>1354</v>
      </c>
      <c r="H2369" s="193" t="s">
        <v>758</v>
      </c>
      <c r="I2369" s="260">
        <v>101</v>
      </c>
      <c r="J2369" s="260">
        <v>23260</v>
      </c>
      <c r="K2369" s="618">
        <v>2349260</v>
      </c>
      <c r="L2369" s="194" t="s">
        <v>274</v>
      </c>
      <c r="M2369" s="194" t="s">
        <v>181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909"/>
      <c r="AB2369" s="198"/>
      <c r="AC2369" s="198"/>
      <c r="AD2369" s="198"/>
    </row>
    <row r="2370" spans="1:30" s="843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995</v>
      </c>
      <c r="E2370" s="898">
        <v>40870</v>
      </c>
      <c r="F2370" s="192" t="s">
        <v>1356</v>
      </c>
      <c r="G2370" s="502" t="s">
        <v>1354</v>
      </c>
      <c r="H2370" s="193" t="s">
        <v>758</v>
      </c>
      <c r="I2370" s="260">
        <v>121</v>
      </c>
      <c r="J2370" s="260">
        <v>20090</v>
      </c>
      <c r="K2370" s="618">
        <v>2430890</v>
      </c>
      <c r="L2370" s="194" t="s">
        <v>274</v>
      </c>
      <c r="M2370" s="194" t="s">
        <v>181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909"/>
      <c r="AB2370" s="198"/>
      <c r="AC2370" s="198"/>
      <c r="AD2370" s="198"/>
    </row>
    <row r="2371" spans="1:30" s="843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995</v>
      </c>
      <c r="E2371" s="898">
        <v>40870</v>
      </c>
      <c r="F2371" s="192" t="s">
        <v>1357</v>
      </c>
      <c r="G2371" s="502" t="s">
        <v>1354</v>
      </c>
      <c r="H2371" s="193" t="s">
        <v>758</v>
      </c>
      <c r="I2371" s="260">
        <v>222</v>
      </c>
      <c r="J2371" s="260">
        <v>18170</v>
      </c>
      <c r="K2371" s="618">
        <v>4033740</v>
      </c>
      <c r="L2371" s="194" t="s">
        <v>274</v>
      </c>
      <c r="M2371" s="194" t="s">
        <v>181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909"/>
      <c r="AB2371" s="198"/>
      <c r="AC2371" s="198"/>
      <c r="AD2371" s="198"/>
    </row>
    <row r="2372" spans="1:30" s="843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995</v>
      </c>
      <c r="E2372" s="898">
        <v>40870</v>
      </c>
      <c r="F2372" s="192" t="s">
        <v>1358</v>
      </c>
      <c r="G2372" s="502" t="s">
        <v>1354</v>
      </c>
      <c r="H2372" s="193" t="s">
        <v>758</v>
      </c>
      <c r="I2372" s="260">
        <v>121</v>
      </c>
      <c r="J2372" s="260">
        <v>19420</v>
      </c>
      <c r="K2372" s="618">
        <v>2349820</v>
      </c>
      <c r="L2372" s="194" t="s">
        <v>274</v>
      </c>
      <c r="M2372" s="194" t="s">
        <v>181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909"/>
      <c r="AB2372" s="198"/>
      <c r="AC2372" s="198"/>
      <c r="AD2372" s="198"/>
    </row>
    <row r="2373" spans="1:30" s="843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995</v>
      </c>
      <c r="E2373" s="898">
        <v>40870</v>
      </c>
      <c r="F2373" s="192" t="s">
        <v>1359</v>
      </c>
      <c r="G2373" s="502" t="s">
        <v>1354</v>
      </c>
      <c r="H2373" s="193" t="s">
        <v>758</v>
      </c>
      <c r="I2373" s="260">
        <v>101</v>
      </c>
      <c r="J2373" s="260">
        <v>19450</v>
      </c>
      <c r="K2373" s="618">
        <v>1964450</v>
      </c>
      <c r="L2373" s="194" t="s">
        <v>274</v>
      </c>
      <c r="M2373" s="194" t="s">
        <v>181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909"/>
      <c r="AB2373" s="198"/>
      <c r="AC2373" s="198"/>
      <c r="AD2373" s="198"/>
    </row>
    <row r="2374" spans="1:30" s="843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995</v>
      </c>
      <c r="E2374" s="898">
        <v>40870</v>
      </c>
      <c r="F2374" s="192" t="s">
        <v>1360</v>
      </c>
      <c r="G2374" s="502" t="s">
        <v>1354</v>
      </c>
      <c r="H2374" s="193" t="s">
        <v>758</v>
      </c>
      <c r="I2374" s="260">
        <v>442</v>
      </c>
      <c r="J2374" s="260">
        <v>1150</v>
      </c>
      <c r="K2374" s="618">
        <v>508300</v>
      </c>
      <c r="L2374" s="194" t="s">
        <v>274</v>
      </c>
      <c r="M2374" s="194" t="s">
        <v>181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909"/>
      <c r="AB2374" s="198"/>
      <c r="AC2374" s="198"/>
      <c r="AD2374" s="198"/>
    </row>
    <row r="2375" spans="1:30" s="843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995</v>
      </c>
      <c r="E2375" s="898">
        <v>40870</v>
      </c>
      <c r="F2375" s="192" t="s">
        <v>1361</v>
      </c>
      <c r="G2375" s="502" t="s">
        <v>1354</v>
      </c>
      <c r="H2375" s="193" t="s">
        <v>758</v>
      </c>
      <c r="I2375" s="260"/>
      <c r="J2375" s="260"/>
      <c r="K2375" s="618">
        <v>1582656</v>
      </c>
      <c r="L2375" s="194" t="s">
        <v>274</v>
      </c>
      <c r="M2375" s="194" t="s">
        <v>754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909"/>
      <c r="AB2375" s="198"/>
      <c r="AC2375" s="198"/>
      <c r="AD2375" s="198"/>
    </row>
    <row r="2376" spans="1:30" s="843" customFormat="1" ht="15.75" customHeight="1">
      <c r="A2376" s="204" t="str">
        <f>IF(B2376&lt;&gt;"",IF(AND(B2376&gt;=_TM1,B2376&lt;=_TM2,OR(TH!L2376="1111",TH!M2376="1111")),TH!D2376,""),"")</f>
        <v/>
      </c>
      <c r="B2376" s="719">
        <f t="shared" si="185"/>
        <v>11</v>
      </c>
      <c r="C2376" s="875">
        <f t="shared" ref="C2376:C2389" si="189">E2376</f>
        <v>40870</v>
      </c>
      <c r="D2376" s="48" t="s">
        <v>1235</v>
      </c>
      <c r="E2376" s="884">
        <v>40870</v>
      </c>
      <c r="F2376" s="49" t="s">
        <v>1353</v>
      </c>
      <c r="G2376" s="49"/>
      <c r="H2376" s="883" t="s">
        <v>1116</v>
      </c>
      <c r="I2376" s="258">
        <v>121</v>
      </c>
      <c r="J2376" s="258">
        <v>16502.119756093376</v>
      </c>
      <c r="K2376" s="723">
        <f t="shared" ref="K2376:K2389" si="190">ROUND(I2376*J2376,0)</f>
        <v>1996756</v>
      </c>
      <c r="L2376" s="52" t="s">
        <v>169</v>
      </c>
      <c r="M2376" s="52" t="s">
        <v>167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909"/>
    </row>
    <row r="2377" spans="1:30" s="843" customFormat="1" ht="15.75" customHeight="1">
      <c r="A2377" s="204" t="str">
        <f>IF(B2377&lt;&gt;"",IF(AND(B2377&gt;=_TM1,B2377&lt;=_TM2,OR(TH!L2377="1111",TH!M2377="1111")),TH!D2377,""),"")</f>
        <v/>
      </c>
      <c r="B2377" s="719">
        <f t="shared" si="185"/>
        <v>11</v>
      </c>
      <c r="C2377" s="875">
        <f t="shared" si="189"/>
        <v>40870</v>
      </c>
      <c r="D2377" s="48" t="s">
        <v>1235</v>
      </c>
      <c r="E2377" s="884">
        <v>40870</v>
      </c>
      <c r="F2377" s="49" t="s">
        <v>1355</v>
      </c>
      <c r="G2377" s="49"/>
      <c r="H2377" s="883" t="s">
        <v>1116</v>
      </c>
      <c r="I2377" s="258">
        <v>101</v>
      </c>
      <c r="J2377" s="258">
        <v>18453.448779904851</v>
      </c>
      <c r="K2377" s="723">
        <f t="shared" si="190"/>
        <v>1863798</v>
      </c>
      <c r="L2377" s="52" t="s">
        <v>169</v>
      </c>
      <c r="M2377" s="52" t="s">
        <v>167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909"/>
    </row>
    <row r="2378" spans="1:30" s="843" customFormat="1" ht="15.75" customHeight="1">
      <c r="A2378" s="204" t="str">
        <f>IF(B2378&lt;&gt;"",IF(AND(B2378&gt;=_TM1,B2378&lt;=_TM2,OR(TH!L2378="1111",TH!M2378="1111")),TH!D2378,""),"")</f>
        <v/>
      </c>
      <c r="B2378" s="719">
        <f t="shared" si="185"/>
        <v>11</v>
      </c>
      <c r="C2378" s="875">
        <f t="shared" si="189"/>
        <v>40870</v>
      </c>
      <c r="D2378" s="48" t="s">
        <v>1235</v>
      </c>
      <c r="E2378" s="884">
        <v>40870</v>
      </c>
      <c r="F2378" s="49" t="s">
        <v>1356</v>
      </c>
      <c r="G2378" s="49"/>
      <c r="H2378" s="883" t="s">
        <v>1116</v>
      </c>
      <c r="I2378" s="258">
        <v>121</v>
      </c>
      <c r="J2378" s="258">
        <v>18666.49992138263</v>
      </c>
      <c r="K2378" s="723">
        <f t="shared" si="190"/>
        <v>2258646</v>
      </c>
      <c r="L2378" s="52" t="s">
        <v>169</v>
      </c>
      <c r="M2378" s="52" t="s">
        <v>167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909"/>
    </row>
    <row r="2379" spans="1:30" s="843" customFormat="1" ht="15.75" customHeight="1">
      <c r="A2379" s="204" t="str">
        <f>IF(B2379&lt;&gt;"",IF(AND(B2379&gt;=_TM1,B2379&lt;=_TM2,OR(TH!L2379="1111",TH!M2379="1111")),TH!D2379,""),"")</f>
        <v/>
      </c>
      <c r="B2379" s="719">
        <f t="shared" si="185"/>
        <v>11</v>
      </c>
      <c r="C2379" s="875">
        <f t="shared" si="189"/>
        <v>40870</v>
      </c>
      <c r="D2379" s="48" t="s">
        <v>1235</v>
      </c>
      <c r="E2379" s="884">
        <v>40870</v>
      </c>
      <c r="F2379" s="49" t="s">
        <v>1357</v>
      </c>
      <c r="G2379" s="49"/>
      <c r="H2379" s="883" t="s">
        <v>1116</v>
      </c>
      <c r="I2379" s="258">
        <v>222</v>
      </c>
      <c r="J2379" s="258">
        <v>16377.503681340937</v>
      </c>
      <c r="K2379" s="723">
        <f t="shared" si="190"/>
        <v>3635806</v>
      </c>
      <c r="L2379" s="52" t="s">
        <v>169</v>
      </c>
      <c r="M2379" s="52" t="s">
        <v>167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909"/>
    </row>
    <row r="2380" spans="1:30" s="843" customFormat="1" ht="15.75" customHeight="1">
      <c r="A2380" s="204" t="str">
        <f>IF(B2380&lt;&gt;"",IF(AND(B2380&gt;=_TM1,B2380&lt;=_TM2,OR(TH!L2380="1111",TH!M2380="1111")),TH!D2380,""),"")</f>
        <v/>
      </c>
      <c r="B2380" s="719">
        <f t="shared" si="185"/>
        <v>11</v>
      </c>
      <c r="C2380" s="875">
        <f t="shared" si="189"/>
        <v>40870</v>
      </c>
      <c r="D2380" s="48" t="s">
        <v>1235</v>
      </c>
      <c r="E2380" s="884">
        <v>40870</v>
      </c>
      <c r="F2380" s="49" t="s">
        <v>1358</v>
      </c>
      <c r="G2380" s="49"/>
      <c r="H2380" s="883" t="s">
        <v>1116</v>
      </c>
      <c r="I2380" s="258">
        <v>121</v>
      </c>
      <c r="J2380" s="258">
        <v>17174.499921382634</v>
      </c>
      <c r="K2380" s="723">
        <f t="shared" si="190"/>
        <v>2078114</v>
      </c>
      <c r="L2380" s="52" t="s">
        <v>169</v>
      </c>
      <c r="M2380" s="52" t="s">
        <v>167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909"/>
    </row>
    <row r="2381" spans="1:30" s="843" customFormat="1" ht="15.75" customHeight="1">
      <c r="A2381" s="204" t="str">
        <f>IF(B2381&lt;&gt;"",IF(AND(B2381&gt;=_TM1,B2381&lt;=_TM2,OR(TH!L2381="1111",TH!M2381="1111")),TH!D2381,""),"")</f>
        <v/>
      </c>
      <c r="B2381" s="719">
        <f t="shared" si="185"/>
        <v>11</v>
      </c>
      <c r="C2381" s="875">
        <f t="shared" si="189"/>
        <v>40870</v>
      </c>
      <c r="D2381" s="48" t="s">
        <v>1235</v>
      </c>
      <c r="E2381" s="884">
        <v>40870</v>
      </c>
      <c r="F2381" s="49" t="s">
        <v>1359</v>
      </c>
      <c r="G2381" s="49"/>
      <c r="H2381" s="883" t="s">
        <v>1116</v>
      </c>
      <c r="I2381" s="258">
        <v>101</v>
      </c>
      <c r="J2381" s="258">
        <v>17174.498284855345</v>
      </c>
      <c r="K2381" s="723">
        <f t="shared" si="190"/>
        <v>1734624</v>
      </c>
      <c r="L2381" s="52" t="s">
        <v>169</v>
      </c>
      <c r="M2381" s="52" t="s">
        <v>167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909"/>
    </row>
    <row r="2382" spans="1:30" s="843" customFormat="1" ht="15.75" customHeight="1">
      <c r="A2382" s="204" t="str">
        <f>IF(B2382&lt;&gt;"",IF(AND(B2382&gt;=_TM1,B2382&lt;=_TM2,OR(TH!L2382="1111",TH!M2382="1111")),TH!D2382,""),"")</f>
        <v/>
      </c>
      <c r="B2382" s="719">
        <f t="shared" si="185"/>
        <v>11</v>
      </c>
      <c r="C2382" s="875">
        <f t="shared" si="189"/>
        <v>40870</v>
      </c>
      <c r="D2382" s="48" t="s">
        <v>1235</v>
      </c>
      <c r="E2382" s="884">
        <v>40870</v>
      </c>
      <c r="F2382" s="49" t="s">
        <v>1360</v>
      </c>
      <c r="G2382" s="49"/>
      <c r="H2382" s="883" t="s">
        <v>1116</v>
      </c>
      <c r="I2382" s="258">
        <v>442</v>
      </c>
      <c r="J2382" s="258">
        <v>1530.0149731757595</v>
      </c>
      <c r="K2382" s="723">
        <f t="shared" si="190"/>
        <v>676267</v>
      </c>
      <c r="L2382" s="52" t="s">
        <v>169</v>
      </c>
      <c r="M2382" s="52" t="s">
        <v>167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909"/>
    </row>
    <row r="2383" spans="1:30" s="843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995</v>
      </c>
      <c r="E2383" s="800">
        <v>40870</v>
      </c>
      <c r="F2383" s="192" t="s">
        <v>1353</v>
      </c>
      <c r="G2383" s="502" t="s">
        <v>1354</v>
      </c>
      <c r="H2383" s="193" t="s">
        <v>758</v>
      </c>
      <c r="I2383" s="260">
        <v>121</v>
      </c>
      <c r="J2383" s="260">
        <v>16502.119756093376</v>
      </c>
      <c r="K2383" s="881">
        <f t="shared" si="190"/>
        <v>1996756</v>
      </c>
      <c r="L2383" s="869" t="s">
        <v>179</v>
      </c>
      <c r="M2383" s="869" t="s">
        <v>169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909"/>
      <c r="AB2383" s="198"/>
      <c r="AC2383" s="198"/>
      <c r="AD2383" s="198"/>
    </row>
    <row r="2384" spans="1:30" s="843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995</v>
      </c>
      <c r="E2384" s="800">
        <v>40870</v>
      </c>
      <c r="F2384" s="192" t="s">
        <v>1355</v>
      </c>
      <c r="G2384" s="502" t="s">
        <v>1354</v>
      </c>
      <c r="H2384" s="193" t="s">
        <v>758</v>
      </c>
      <c r="I2384" s="260">
        <v>101</v>
      </c>
      <c r="J2384" s="260">
        <v>18453.448779904851</v>
      </c>
      <c r="K2384" s="881">
        <f t="shared" si="190"/>
        <v>1863798</v>
      </c>
      <c r="L2384" s="869" t="s">
        <v>179</v>
      </c>
      <c r="M2384" s="869" t="s">
        <v>169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909"/>
      <c r="AB2384" s="198"/>
      <c r="AC2384" s="198"/>
      <c r="AD2384" s="198"/>
    </row>
    <row r="2385" spans="1:30" s="843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995</v>
      </c>
      <c r="E2385" s="800">
        <v>40870</v>
      </c>
      <c r="F2385" s="192" t="s">
        <v>1356</v>
      </c>
      <c r="G2385" s="502" t="s">
        <v>1354</v>
      </c>
      <c r="H2385" s="193" t="s">
        <v>758</v>
      </c>
      <c r="I2385" s="260">
        <v>121</v>
      </c>
      <c r="J2385" s="260">
        <v>18666.49992138263</v>
      </c>
      <c r="K2385" s="881">
        <f t="shared" si="190"/>
        <v>2258646</v>
      </c>
      <c r="L2385" s="869" t="s">
        <v>179</v>
      </c>
      <c r="M2385" s="869" t="s">
        <v>169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909"/>
      <c r="AB2385" s="198"/>
      <c r="AC2385" s="198"/>
      <c r="AD2385" s="198"/>
    </row>
    <row r="2386" spans="1:30" s="843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995</v>
      </c>
      <c r="E2386" s="800">
        <v>40870</v>
      </c>
      <c r="F2386" s="192" t="s">
        <v>1357</v>
      </c>
      <c r="G2386" s="502" t="s">
        <v>1354</v>
      </c>
      <c r="H2386" s="193" t="s">
        <v>758</v>
      </c>
      <c r="I2386" s="260">
        <v>222</v>
      </c>
      <c r="J2386" s="260">
        <v>16377.503681340937</v>
      </c>
      <c r="K2386" s="881">
        <f t="shared" si="190"/>
        <v>3635806</v>
      </c>
      <c r="L2386" s="869" t="s">
        <v>179</v>
      </c>
      <c r="M2386" s="869" t="s">
        <v>169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909"/>
      <c r="AB2386" s="198"/>
      <c r="AC2386" s="198"/>
      <c r="AD2386" s="198"/>
    </row>
    <row r="2387" spans="1:30" s="843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995</v>
      </c>
      <c r="E2387" s="800">
        <v>40870</v>
      </c>
      <c r="F2387" s="192" t="s">
        <v>1358</v>
      </c>
      <c r="G2387" s="502" t="s">
        <v>1354</v>
      </c>
      <c r="H2387" s="193" t="s">
        <v>758</v>
      </c>
      <c r="I2387" s="260">
        <v>121</v>
      </c>
      <c r="J2387" s="260">
        <v>17174.499921382634</v>
      </c>
      <c r="K2387" s="881">
        <f t="shared" si="190"/>
        <v>2078114</v>
      </c>
      <c r="L2387" s="869" t="s">
        <v>179</v>
      </c>
      <c r="M2387" s="869" t="s">
        <v>169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909"/>
      <c r="AB2387" s="198"/>
      <c r="AC2387" s="198"/>
      <c r="AD2387" s="198"/>
    </row>
    <row r="2388" spans="1:30" s="843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995</v>
      </c>
      <c r="E2388" s="800">
        <v>40870</v>
      </c>
      <c r="F2388" s="192" t="s">
        <v>1359</v>
      </c>
      <c r="G2388" s="502" t="s">
        <v>1354</v>
      </c>
      <c r="H2388" s="193" t="s">
        <v>758</v>
      </c>
      <c r="I2388" s="260">
        <v>101</v>
      </c>
      <c r="J2388" s="260">
        <v>17174.498284855345</v>
      </c>
      <c r="K2388" s="881">
        <f t="shared" si="190"/>
        <v>1734624</v>
      </c>
      <c r="L2388" s="869" t="s">
        <v>179</v>
      </c>
      <c r="M2388" s="869" t="s">
        <v>169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909"/>
      <c r="AB2388" s="198"/>
      <c r="AC2388" s="198"/>
      <c r="AD2388" s="198"/>
    </row>
    <row r="2389" spans="1:30" s="843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995</v>
      </c>
      <c r="E2389" s="800">
        <v>40870</v>
      </c>
      <c r="F2389" s="192" t="s">
        <v>1360</v>
      </c>
      <c r="G2389" s="502" t="s">
        <v>1354</v>
      </c>
      <c r="H2389" s="193" t="s">
        <v>758</v>
      </c>
      <c r="I2389" s="260">
        <v>442</v>
      </c>
      <c r="J2389" s="260">
        <v>1530.0149731757595</v>
      </c>
      <c r="K2389" s="881">
        <f t="shared" si="190"/>
        <v>676267</v>
      </c>
      <c r="L2389" s="869" t="s">
        <v>179</v>
      </c>
      <c r="M2389" s="869" t="s">
        <v>169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909"/>
      <c r="AB2389" s="198"/>
      <c r="AC2389" s="198"/>
      <c r="AD2389" s="198"/>
    </row>
    <row r="2390" spans="1:30" s="843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721</v>
      </c>
      <c r="E2390" s="898">
        <v>40871</v>
      </c>
      <c r="F2390" s="192" t="s">
        <v>671</v>
      </c>
      <c r="G2390" s="502" t="s">
        <v>1302</v>
      </c>
      <c r="H2390" s="193" t="s">
        <v>582</v>
      </c>
      <c r="I2390" s="260">
        <v>720</v>
      </c>
      <c r="J2390" s="260">
        <v>19365</v>
      </c>
      <c r="K2390" s="618">
        <v>13942800</v>
      </c>
      <c r="L2390" s="194" t="s">
        <v>159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909"/>
      <c r="AB2390" s="198"/>
      <c r="AC2390" s="198"/>
      <c r="AD2390" s="198"/>
    </row>
    <row r="2391" spans="1:30" s="843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721</v>
      </c>
      <c r="E2391" s="898">
        <v>40871</v>
      </c>
      <c r="F2391" s="192" t="s">
        <v>583</v>
      </c>
      <c r="G2391" s="502" t="s">
        <v>1302</v>
      </c>
      <c r="H2391" s="193" t="s">
        <v>582</v>
      </c>
      <c r="I2391" s="260"/>
      <c r="J2391" s="260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909"/>
      <c r="AB2391" s="198">
        <v>11</v>
      </c>
      <c r="AC2391" s="198"/>
      <c r="AD2391" s="198"/>
    </row>
    <row r="2392" spans="1:30" s="843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721</v>
      </c>
      <c r="E2392" s="898">
        <v>40871</v>
      </c>
      <c r="F2392" s="189" t="s">
        <v>390</v>
      </c>
      <c r="G2392" s="502" t="s">
        <v>1302</v>
      </c>
      <c r="H2392" s="7" t="s">
        <v>582</v>
      </c>
      <c r="I2392" s="260"/>
      <c r="J2392" s="260"/>
      <c r="K2392" s="618">
        <v>15337080</v>
      </c>
      <c r="L2392" s="619" t="s">
        <v>8</v>
      </c>
      <c r="M2392" s="619" t="s">
        <v>47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909"/>
      <c r="AB2392" s="198"/>
      <c r="AC2392" s="198"/>
      <c r="AD2392" s="198"/>
    </row>
    <row r="2393" spans="1:30" s="843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688</v>
      </c>
      <c r="E2393" s="898">
        <v>40871</v>
      </c>
      <c r="F2393" s="192" t="s">
        <v>1303</v>
      </c>
      <c r="G2393" s="502" t="s">
        <v>1304</v>
      </c>
      <c r="H2393" s="7" t="s">
        <v>394</v>
      </c>
      <c r="I2393" s="262">
        <v>20</v>
      </c>
      <c r="J2393" s="262">
        <v>65000</v>
      </c>
      <c r="K2393" s="618">
        <v>1300000</v>
      </c>
      <c r="L2393" s="194" t="s">
        <v>167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909"/>
      <c r="AB2393" s="198"/>
      <c r="AC2393" s="198"/>
      <c r="AD2393" s="198"/>
    </row>
    <row r="2394" spans="1:30" s="843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688</v>
      </c>
      <c r="E2394" s="898">
        <v>40871</v>
      </c>
      <c r="F2394" s="192" t="s">
        <v>1189</v>
      </c>
      <c r="G2394" s="502" t="s">
        <v>1304</v>
      </c>
      <c r="H2394" s="7" t="s">
        <v>394</v>
      </c>
      <c r="I2394" s="262"/>
      <c r="J2394" s="262"/>
      <c r="K2394" s="38">
        <v>130000</v>
      </c>
      <c r="L2394" s="194" t="s">
        <v>9</v>
      </c>
      <c r="M2394" s="194" t="s">
        <v>47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909"/>
      <c r="AB2394" s="198">
        <v>11</v>
      </c>
      <c r="AC2394" s="198"/>
      <c r="AD2394" s="198"/>
    </row>
    <row r="2395" spans="1:30" s="843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356</v>
      </c>
      <c r="E2395" s="911">
        <v>40872</v>
      </c>
      <c r="F2395" s="189" t="s">
        <v>387</v>
      </c>
      <c r="G2395" s="620" t="s">
        <v>353</v>
      </c>
      <c r="H2395" s="7"/>
      <c r="I2395" s="260"/>
      <c r="J2395" s="260"/>
      <c r="K2395" s="618">
        <v>93736</v>
      </c>
      <c r="L2395" s="619" t="s">
        <v>24</v>
      </c>
      <c r="M2395" s="619" t="s">
        <v>40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909"/>
      <c r="AB2395" s="198"/>
      <c r="AC2395" s="198"/>
      <c r="AD2395" s="198"/>
    </row>
    <row r="2396" spans="1:30" s="843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722</v>
      </c>
      <c r="E2396" s="898">
        <v>40872</v>
      </c>
      <c r="F2396" s="192" t="s">
        <v>672</v>
      </c>
      <c r="G2396" s="502" t="s">
        <v>1305</v>
      </c>
      <c r="H2396" s="193" t="s">
        <v>582</v>
      </c>
      <c r="I2396" s="260">
        <v>720</v>
      </c>
      <c r="J2396" s="260">
        <v>16502</v>
      </c>
      <c r="K2396" s="618">
        <v>11881440</v>
      </c>
      <c r="L2396" s="194" t="s">
        <v>159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909"/>
      <c r="AB2396" s="198"/>
      <c r="AC2396" s="198"/>
      <c r="AD2396" s="198"/>
    </row>
    <row r="2397" spans="1:30" s="843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722</v>
      </c>
      <c r="E2397" s="898">
        <v>40872</v>
      </c>
      <c r="F2397" s="192" t="s">
        <v>673</v>
      </c>
      <c r="G2397" s="502" t="s">
        <v>1305</v>
      </c>
      <c r="H2397" s="193" t="s">
        <v>582</v>
      </c>
      <c r="I2397" s="260">
        <v>100</v>
      </c>
      <c r="J2397" s="260">
        <v>15443</v>
      </c>
      <c r="K2397" s="618">
        <v>1544300</v>
      </c>
      <c r="L2397" s="194" t="s">
        <v>159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909"/>
      <c r="AB2397" s="198"/>
      <c r="AC2397" s="198"/>
      <c r="AD2397" s="198"/>
    </row>
    <row r="2398" spans="1:30" s="843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722</v>
      </c>
      <c r="E2398" s="898">
        <v>40872</v>
      </c>
      <c r="F2398" s="192" t="s">
        <v>674</v>
      </c>
      <c r="G2398" s="502" t="s">
        <v>1305</v>
      </c>
      <c r="H2398" s="193" t="s">
        <v>582</v>
      </c>
      <c r="I2398" s="260">
        <v>255</v>
      </c>
      <c r="J2398" s="260">
        <v>14105</v>
      </c>
      <c r="K2398" s="618">
        <v>3596775</v>
      </c>
      <c r="L2398" s="194" t="s">
        <v>159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909"/>
      <c r="AB2398" s="198"/>
      <c r="AC2398" s="198"/>
      <c r="AD2398" s="198"/>
    </row>
    <row r="2399" spans="1:30" s="843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722</v>
      </c>
      <c r="E2399" s="898">
        <v>40872</v>
      </c>
      <c r="F2399" s="192" t="s">
        <v>583</v>
      </c>
      <c r="G2399" s="502" t="s">
        <v>1305</v>
      </c>
      <c r="H2399" s="193" t="s">
        <v>582</v>
      </c>
      <c r="I2399" s="260"/>
      <c r="J2399" s="260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909"/>
      <c r="AB2399" s="198">
        <v>11</v>
      </c>
      <c r="AC2399" s="198"/>
      <c r="AD2399" s="198"/>
    </row>
    <row r="2400" spans="1:30" s="843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722</v>
      </c>
      <c r="E2400" s="898">
        <v>40872</v>
      </c>
      <c r="F2400" s="189" t="s">
        <v>390</v>
      </c>
      <c r="G2400" s="502" t="s">
        <v>1305</v>
      </c>
      <c r="H2400" s="193" t="s">
        <v>582</v>
      </c>
      <c r="I2400" s="260"/>
      <c r="J2400" s="260"/>
      <c r="K2400" s="38">
        <v>18724767</v>
      </c>
      <c r="L2400" s="619" t="s">
        <v>8</v>
      </c>
      <c r="M2400" s="619" t="s">
        <v>47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909"/>
      <c r="AB2400" s="198"/>
      <c r="AC2400" s="198"/>
      <c r="AD2400" s="198"/>
    </row>
    <row r="2401" spans="1:30" s="843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75" t="s">
        <v>1135</v>
      </c>
      <c r="E2401" s="800">
        <v>40872</v>
      </c>
      <c r="F2401" s="189" t="s">
        <v>410</v>
      </c>
      <c r="G2401" s="40"/>
      <c r="H2401" s="632" t="s">
        <v>1116</v>
      </c>
      <c r="I2401" s="851">
        <v>13</v>
      </c>
      <c r="J2401" s="260">
        <v>4449</v>
      </c>
      <c r="K2401" s="618">
        <f>ROUND(I2401*J2401,0)</f>
        <v>57837</v>
      </c>
      <c r="L2401" s="52" t="s">
        <v>167</v>
      </c>
      <c r="M2401" s="52" t="s">
        <v>159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909"/>
      <c r="AB2401" s="198"/>
      <c r="AC2401" s="198"/>
      <c r="AD2401" s="198"/>
    </row>
    <row r="2402" spans="1:30" s="843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75" t="s">
        <v>1135</v>
      </c>
      <c r="E2402" s="800">
        <v>40872</v>
      </c>
      <c r="F2402" s="189" t="s">
        <v>410</v>
      </c>
      <c r="G2402" s="40"/>
      <c r="H2402" s="632" t="s">
        <v>1116</v>
      </c>
      <c r="I2402" s="851">
        <v>15</v>
      </c>
      <c r="J2402" s="260">
        <v>4449</v>
      </c>
      <c r="K2402" s="618">
        <f>ROUND(I2402*J2402,0)</f>
        <v>66735</v>
      </c>
      <c r="L2402" s="52" t="s">
        <v>167</v>
      </c>
      <c r="M2402" s="52" t="s">
        <v>159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909"/>
      <c r="AB2402" s="198"/>
      <c r="AC2402" s="198"/>
      <c r="AD2402" s="198"/>
    </row>
    <row r="2403" spans="1:30" s="843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75" t="s">
        <v>1135</v>
      </c>
      <c r="E2403" s="800">
        <v>40872</v>
      </c>
      <c r="F2403" s="189" t="s">
        <v>661</v>
      </c>
      <c r="G2403" s="40"/>
      <c r="H2403" s="632" t="s">
        <v>1116</v>
      </c>
      <c r="I2403" s="260">
        <v>2</v>
      </c>
      <c r="J2403" s="260">
        <v>24594.5</v>
      </c>
      <c r="K2403" s="618">
        <f>ROUND(I2403*J2403,0)</f>
        <v>49189</v>
      </c>
      <c r="L2403" s="52" t="s">
        <v>167</v>
      </c>
      <c r="M2403" s="52" t="s">
        <v>159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909"/>
      <c r="AB2403" s="198"/>
      <c r="AC2403" s="198"/>
      <c r="AD2403" s="198"/>
    </row>
    <row r="2404" spans="1:30" s="843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75" t="s">
        <v>1135</v>
      </c>
      <c r="E2404" s="800">
        <v>40872</v>
      </c>
      <c r="F2404" s="40" t="s">
        <v>667</v>
      </c>
      <c r="G2404" s="40"/>
      <c r="H2404" s="632" t="s">
        <v>1116</v>
      </c>
      <c r="I2404" s="260">
        <v>490</v>
      </c>
      <c r="J2404" s="260">
        <v>30158</v>
      </c>
      <c r="K2404" s="618">
        <f>ROUND(I2404*J2404,0)</f>
        <v>14777420</v>
      </c>
      <c r="L2404" s="52" t="s">
        <v>167</v>
      </c>
      <c r="M2404" s="52" t="s">
        <v>159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909"/>
      <c r="AB2404" s="198"/>
      <c r="AC2404" s="198"/>
      <c r="AD2404" s="198"/>
    </row>
    <row r="2405" spans="1:30" s="843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75" t="s">
        <v>1135</v>
      </c>
      <c r="E2405" s="800">
        <v>40872</v>
      </c>
      <c r="F2405" s="40" t="s">
        <v>677</v>
      </c>
      <c r="G2405" s="40"/>
      <c r="H2405" s="632" t="s">
        <v>1116</v>
      </c>
      <c r="I2405" s="260">
        <v>1050</v>
      </c>
      <c r="J2405" s="260">
        <v>12992</v>
      </c>
      <c r="K2405" s="618">
        <f>ROUND(I2405*J2405,0)</f>
        <v>13641600</v>
      </c>
      <c r="L2405" s="52" t="s">
        <v>167</v>
      </c>
      <c r="M2405" s="52" t="s">
        <v>159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909"/>
      <c r="AB2405" s="198"/>
      <c r="AC2405" s="198"/>
      <c r="AD2405" s="198"/>
    </row>
    <row r="2406" spans="1:30" s="843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723</v>
      </c>
      <c r="E2406" s="898">
        <v>40875</v>
      </c>
      <c r="F2406" s="192" t="s">
        <v>675</v>
      </c>
      <c r="G2406" s="502" t="s">
        <v>1306</v>
      </c>
      <c r="H2406" s="193" t="s">
        <v>582</v>
      </c>
      <c r="I2406" s="260">
        <v>950</v>
      </c>
      <c r="J2406" s="260">
        <v>18995</v>
      </c>
      <c r="K2406" s="618">
        <v>18045250</v>
      </c>
      <c r="L2406" s="194" t="s">
        <v>159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909"/>
      <c r="AB2406" s="198"/>
      <c r="AC2406" s="198"/>
      <c r="AD2406" s="198"/>
    </row>
    <row r="2407" spans="1:30" s="843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723</v>
      </c>
      <c r="E2407" s="898">
        <v>40875</v>
      </c>
      <c r="F2407" s="192" t="s">
        <v>583</v>
      </c>
      <c r="G2407" s="502" t="s">
        <v>1306</v>
      </c>
      <c r="H2407" s="193" t="s">
        <v>582</v>
      </c>
      <c r="I2407" s="260"/>
      <c r="J2407" s="260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909"/>
      <c r="AB2407" s="198">
        <v>11</v>
      </c>
      <c r="AC2407" s="198"/>
      <c r="AD2407" s="198"/>
    </row>
    <row r="2408" spans="1:30" s="843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723</v>
      </c>
      <c r="E2408" s="898">
        <v>40875</v>
      </c>
      <c r="F2408" s="189" t="s">
        <v>390</v>
      </c>
      <c r="G2408" s="502" t="s">
        <v>1306</v>
      </c>
      <c r="H2408" s="193" t="s">
        <v>582</v>
      </c>
      <c r="I2408" s="260"/>
      <c r="J2408" s="260"/>
      <c r="K2408" s="38">
        <v>19849775</v>
      </c>
      <c r="L2408" s="619" t="s">
        <v>8</v>
      </c>
      <c r="M2408" s="619" t="s">
        <v>47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909"/>
      <c r="AB2408" s="198"/>
      <c r="AC2408" s="198"/>
      <c r="AD2408" s="198"/>
    </row>
    <row r="2409" spans="1:30" s="843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690</v>
      </c>
      <c r="E2409" s="898">
        <v>40876</v>
      </c>
      <c r="F2409" s="192" t="s">
        <v>366</v>
      </c>
      <c r="G2409" s="502" t="s">
        <v>1307</v>
      </c>
      <c r="H2409" s="45" t="s">
        <v>490</v>
      </c>
      <c r="I2409" s="260"/>
      <c r="J2409" s="260"/>
      <c r="K2409" s="38">
        <v>186000</v>
      </c>
      <c r="L2409" s="194" t="s">
        <v>83</v>
      </c>
      <c r="M2409" s="619" t="s">
        <v>47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909"/>
      <c r="AB2409" s="198"/>
      <c r="AC2409" s="198"/>
      <c r="AD2409" s="198"/>
    </row>
    <row r="2410" spans="1:30" s="843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724</v>
      </c>
      <c r="E2410" s="898">
        <v>40876</v>
      </c>
      <c r="F2410" s="192" t="s">
        <v>675</v>
      </c>
      <c r="G2410" s="502" t="s">
        <v>1308</v>
      </c>
      <c r="H2410" s="193" t="s">
        <v>582</v>
      </c>
      <c r="I2410" s="260">
        <v>250</v>
      </c>
      <c r="J2410" s="260">
        <v>18995</v>
      </c>
      <c r="K2410" s="618">
        <v>4748750</v>
      </c>
      <c r="L2410" s="194" t="s">
        <v>159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909"/>
      <c r="AB2410" s="198"/>
      <c r="AC2410" s="198"/>
      <c r="AD2410" s="198"/>
    </row>
    <row r="2411" spans="1:30" s="843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724</v>
      </c>
      <c r="E2411" s="898">
        <v>40876</v>
      </c>
      <c r="F2411" s="192" t="s">
        <v>676</v>
      </c>
      <c r="G2411" s="502" t="s">
        <v>1308</v>
      </c>
      <c r="H2411" s="193" t="s">
        <v>582</v>
      </c>
      <c r="I2411" s="260">
        <v>1000</v>
      </c>
      <c r="J2411" s="260">
        <v>13350</v>
      </c>
      <c r="K2411" s="618">
        <v>13350000</v>
      </c>
      <c r="L2411" s="194" t="s">
        <v>159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909"/>
      <c r="AB2411" s="198"/>
      <c r="AC2411" s="198"/>
      <c r="AD2411" s="198"/>
    </row>
    <row r="2412" spans="1:30" s="843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724</v>
      </c>
      <c r="E2412" s="898">
        <v>40876</v>
      </c>
      <c r="F2412" s="192" t="s">
        <v>583</v>
      </c>
      <c r="G2412" s="502" t="s">
        <v>1308</v>
      </c>
      <c r="H2412" s="193" t="s">
        <v>582</v>
      </c>
      <c r="I2412" s="260"/>
      <c r="J2412" s="260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909"/>
      <c r="AB2412" s="198">
        <v>11</v>
      </c>
      <c r="AC2412" s="198"/>
      <c r="AD2412" s="198"/>
    </row>
    <row r="2413" spans="1:30" s="843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724</v>
      </c>
      <c r="E2413" s="898">
        <v>40876</v>
      </c>
      <c r="F2413" s="189" t="s">
        <v>390</v>
      </c>
      <c r="G2413" s="502" t="s">
        <v>1308</v>
      </c>
      <c r="H2413" s="193" t="s">
        <v>582</v>
      </c>
      <c r="I2413" s="260"/>
      <c r="J2413" s="260"/>
      <c r="K2413" s="38">
        <v>19908625</v>
      </c>
      <c r="L2413" s="619" t="s">
        <v>8</v>
      </c>
      <c r="M2413" s="619" t="s">
        <v>47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909"/>
      <c r="AB2413" s="198"/>
      <c r="AC2413" s="198"/>
      <c r="AD2413" s="198"/>
    </row>
    <row r="2414" spans="1:30" s="843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7">
        <v>40877</v>
      </c>
      <c r="D2414" s="727" t="s">
        <v>360</v>
      </c>
      <c r="E2414" s="912">
        <v>40877</v>
      </c>
      <c r="F2414" s="728" t="s">
        <v>971</v>
      </c>
      <c r="G2414" s="729"/>
      <c r="H2414" s="632"/>
      <c r="I2414" s="498"/>
      <c r="J2414" s="498"/>
      <c r="K2414" s="730">
        <v>7070000</v>
      </c>
      <c r="L2414" s="731" t="s">
        <v>83</v>
      </c>
      <c r="M2414" s="731" t="s">
        <v>278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909"/>
      <c r="AB2414" s="198"/>
      <c r="AC2414" s="198"/>
      <c r="AD2414" s="198"/>
    </row>
    <row r="2415" spans="1:30" s="843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7">
        <v>40877</v>
      </c>
      <c r="D2415" s="727" t="s">
        <v>360</v>
      </c>
      <c r="E2415" s="912">
        <v>40877</v>
      </c>
      <c r="F2415" s="728" t="s">
        <v>809</v>
      </c>
      <c r="G2415" s="729"/>
      <c r="H2415" s="632"/>
      <c r="I2415" s="498"/>
      <c r="J2415" s="498"/>
      <c r="K2415" s="618">
        <v>6270000</v>
      </c>
      <c r="L2415" s="731" t="s">
        <v>167</v>
      </c>
      <c r="M2415" s="731" t="s">
        <v>278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909"/>
      <c r="AB2415" s="198"/>
      <c r="AC2415" s="198"/>
      <c r="AD2415" s="198"/>
    </row>
    <row r="2416" spans="1:30" s="843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7">
        <v>40877</v>
      </c>
      <c r="D2416" s="727" t="s">
        <v>691</v>
      </c>
      <c r="E2416" s="912">
        <v>40877</v>
      </c>
      <c r="F2416" s="728" t="s">
        <v>1243</v>
      </c>
      <c r="G2416" s="729"/>
      <c r="H2416" s="632" t="s">
        <v>386</v>
      </c>
      <c r="I2416" s="498"/>
      <c r="J2416" s="498"/>
      <c r="K2416" s="730">
        <v>13340000</v>
      </c>
      <c r="L2416" s="731" t="s">
        <v>278</v>
      </c>
      <c r="M2416" s="731" t="s">
        <v>47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909"/>
      <c r="AB2416" s="198"/>
      <c r="AC2416" s="198"/>
      <c r="AD2416" s="198"/>
    </row>
    <row r="2417" spans="1:30" s="843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725</v>
      </c>
      <c r="E2417" s="898">
        <v>40877</v>
      </c>
      <c r="F2417" s="192" t="s">
        <v>661</v>
      </c>
      <c r="G2417" s="502" t="s">
        <v>1309</v>
      </c>
      <c r="H2417" s="193" t="s">
        <v>670</v>
      </c>
      <c r="I2417" s="260">
        <v>120</v>
      </c>
      <c r="J2417" s="260">
        <v>24595</v>
      </c>
      <c r="K2417" s="618">
        <v>2951400</v>
      </c>
      <c r="L2417" s="194" t="s">
        <v>159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909"/>
      <c r="AB2417" s="198"/>
      <c r="AC2417" s="198"/>
      <c r="AD2417" s="198"/>
    </row>
    <row r="2418" spans="1:30" s="843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725</v>
      </c>
      <c r="E2418" s="898">
        <v>40877</v>
      </c>
      <c r="F2418" s="192" t="s">
        <v>662</v>
      </c>
      <c r="G2418" s="502" t="s">
        <v>1309</v>
      </c>
      <c r="H2418" s="193" t="s">
        <v>670</v>
      </c>
      <c r="I2418" s="260">
        <v>113</v>
      </c>
      <c r="J2418" s="260">
        <v>27283</v>
      </c>
      <c r="K2418" s="618">
        <v>3082979</v>
      </c>
      <c r="L2418" s="194" t="s">
        <v>159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909"/>
      <c r="AB2418" s="198"/>
      <c r="AC2418" s="198"/>
      <c r="AD2418" s="198"/>
    </row>
    <row r="2419" spans="1:30" s="843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725</v>
      </c>
      <c r="E2419" s="898">
        <v>40877</v>
      </c>
      <c r="F2419" s="192" t="s">
        <v>663</v>
      </c>
      <c r="G2419" s="502" t="s">
        <v>1309</v>
      </c>
      <c r="H2419" s="193" t="s">
        <v>670</v>
      </c>
      <c r="I2419" s="260">
        <v>125</v>
      </c>
      <c r="J2419" s="260">
        <v>31752</v>
      </c>
      <c r="K2419" s="618">
        <v>3969000</v>
      </c>
      <c r="L2419" s="194" t="s">
        <v>159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909"/>
      <c r="AB2419" s="198"/>
      <c r="AC2419" s="198"/>
      <c r="AD2419" s="198"/>
    </row>
    <row r="2420" spans="1:30" s="843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725</v>
      </c>
      <c r="E2420" s="898">
        <v>40877</v>
      </c>
      <c r="F2420" s="192" t="s">
        <v>664</v>
      </c>
      <c r="G2420" s="502" t="s">
        <v>1309</v>
      </c>
      <c r="H2420" s="193" t="s">
        <v>670</v>
      </c>
      <c r="I2420" s="260">
        <v>120</v>
      </c>
      <c r="J2420" s="260">
        <v>34653</v>
      </c>
      <c r="K2420" s="618">
        <v>4158360</v>
      </c>
      <c r="L2420" s="194" t="s">
        <v>159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909"/>
      <c r="AB2420" s="198"/>
      <c r="AC2420" s="198"/>
      <c r="AD2420" s="198"/>
    </row>
    <row r="2421" spans="1:30" s="843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725</v>
      </c>
      <c r="E2421" s="898">
        <v>40877</v>
      </c>
      <c r="F2421" s="192" t="s">
        <v>665</v>
      </c>
      <c r="G2421" s="502" t="s">
        <v>1309</v>
      </c>
      <c r="H2421" s="193" t="s">
        <v>670</v>
      </c>
      <c r="I2421" s="260">
        <v>476</v>
      </c>
      <c r="J2421" s="260">
        <v>20278</v>
      </c>
      <c r="K2421" s="618">
        <v>9652328</v>
      </c>
      <c r="L2421" s="194" t="s">
        <v>159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909"/>
      <c r="AB2421" s="198"/>
      <c r="AC2421" s="198"/>
      <c r="AD2421" s="198"/>
    </row>
    <row r="2422" spans="1:30" s="843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725</v>
      </c>
      <c r="E2422" s="898">
        <v>40877</v>
      </c>
      <c r="F2422" s="192" t="s">
        <v>666</v>
      </c>
      <c r="G2422" s="502" t="s">
        <v>1309</v>
      </c>
      <c r="H2422" s="193" t="s">
        <v>670</v>
      </c>
      <c r="I2422" s="260">
        <v>120</v>
      </c>
      <c r="J2422" s="260">
        <v>25631</v>
      </c>
      <c r="K2422" s="618">
        <v>3075720</v>
      </c>
      <c r="L2422" s="194" t="s">
        <v>159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909"/>
      <c r="AB2422" s="198"/>
      <c r="AC2422" s="198"/>
      <c r="AD2422" s="198"/>
    </row>
    <row r="2423" spans="1:30" s="843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725</v>
      </c>
      <c r="E2423" s="898">
        <v>40877</v>
      </c>
      <c r="F2423" s="192" t="s">
        <v>667</v>
      </c>
      <c r="G2423" s="502" t="s">
        <v>1309</v>
      </c>
      <c r="H2423" s="193" t="s">
        <v>670</v>
      </c>
      <c r="I2423" s="260">
        <v>662</v>
      </c>
      <c r="J2423" s="260">
        <v>30158</v>
      </c>
      <c r="K2423" s="618">
        <v>19964596</v>
      </c>
      <c r="L2423" s="194" t="s">
        <v>159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909"/>
      <c r="AB2423" s="198"/>
      <c r="AC2423" s="198"/>
      <c r="AD2423" s="198"/>
    </row>
    <row r="2424" spans="1:30" s="843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725</v>
      </c>
      <c r="E2424" s="898">
        <v>40877</v>
      </c>
      <c r="F2424" s="192" t="s">
        <v>668</v>
      </c>
      <c r="G2424" s="502" t="s">
        <v>1309</v>
      </c>
      <c r="H2424" s="193" t="s">
        <v>670</v>
      </c>
      <c r="I2424" s="260">
        <v>500</v>
      </c>
      <c r="J2424" s="260">
        <v>32878</v>
      </c>
      <c r="K2424" s="618">
        <v>16439000</v>
      </c>
      <c r="L2424" s="194" t="s">
        <v>159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909"/>
      <c r="AB2424" s="198"/>
      <c r="AC2424" s="198"/>
      <c r="AD2424" s="198"/>
    </row>
    <row r="2425" spans="1:30" s="843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725</v>
      </c>
      <c r="E2425" s="898">
        <v>40877</v>
      </c>
      <c r="F2425" s="192" t="s">
        <v>1310</v>
      </c>
      <c r="G2425" s="502" t="s">
        <v>1309</v>
      </c>
      <c r="H2425" s="193" t="s">
        <v>670</v>
      </c>
      <c r="I2425" s="260"/>
      <c r="J2425" s="260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909"/>
      <c r="AB2425" s="198">
        <v>11</v>
      </c>
      <c r="AC2425" s="198"/>
      <c r="AD2425" s="198"/>
    </row>
    <row r="2426" spans="1:30" s="843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726</v>
      </c>
      <c r="E2426" s="898">
        <v>40877</v>
      </c>
      <c r="F2426" s="192" t="s">
        <v>676</v>
      </c>
      <c r="G2426" s="502" t="s">
        <v>1311</v>
      </c>
      <c r="H2426" s="193" t="s">
        <v>582</v>
      </c>
      <c r="I2426" s="260">
        <v>320</v>
      </c>
      <c r="J2426" s="260">
        <v>13350</v>
      </c>
      <c r="K2426" s="618">
        <v>4272000</v>
      </c>
      <c r="L2426" s="194" t="s">
        <v>159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909"/>
      <c r="AB2426" s="198"/>
      <c r="AC2426" s="198"/>
      <c r="AD2426" s="198"/>
    </row>
    <row r="2427" spans="1:30" s="843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726</v>
      </c>
      <c r="E2427" s="898">
        <v>40877</v>
      </c>
      <c r="F2427" s="192" t="s">
        <v>677</v>
      </c>
      <c r="G2427" s="502" t="s">
        <v>1311</v>
      </c>
      <c r="H2427" s="193" t="s">
        <v>582</v>
      </c>
      <c r="I2427" s="260">
        <v>1050</v>
      </c>
      <c r="J2427" s="260">
        <v>12992</v>
      </c>
      <c r="K2427" s="618">
        <v>13641600</v>
      </c>
      <c r="L2427" s="194" t="s">
        <v>159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909"/>
      <c r="AB2427" s="198"/>
      <c r="AC2427" s="198"/>
      <c r="AD2427" s="198"/>
    </row>
    <row r="2428" spans="1:30" s="843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726</v>
      </c>
      <c r="E2428" s="898">
        <v>40877</v>
      </c>
      <c r="F2428" s="192" t="s">
        <v>583</v>
      </c>
      <c r="G2428" s="502" t="s">
        <v>1311</v>
      </c>
      <c r="H2428" s="193" t="s">
        <v>582</v>
      </c>
      <c r="I2428" s="260"/>
      <c r="J2428" s="260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909"/>
      <c r="AB2428" s="198">
        <v>11</v>
      </c>
      <c r="AC2428" s="198"/>
      <c r="AD2428" s="198"/>
    </row>
    <row r="2429" spans="1:30" s="843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726</v>
      </c>
      <c r="E2429" s="898">
        <v>40877</v>
      </c>
      <c r="F2429" s="189" t="s">
        <v>390</v>
      </c>
      <c r="G2429" s="502" t="s">
        <v>1311</v>
      </c>
      <c r="H2429" s="193" t="s">
        <v>582</v>
      </c>
      <c r="I2429" s="260"/>
      <c r="J2429" s="260"/>
      <c r="K2429" s="38">
        <v>19704960</v>
      </c>
      <c r="L2429" s="619" t="s">
        <v>8</v>
      </c>
      <c r="M2429" s="619" t="s">
        <v>47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909"/>
      <c r="AB2429" s="198"/>
      <c r="AC2429" s="198"/>
      <c r="AD2429" s="198"/>
    </row>
    <row r="2430" spans="1:30" s="843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996</v>
      </c>
      <c r="E2430" s="898">
        <v>40877</v>
      </c>
      <c r="F2430" s="192" t="s">
        <v>1362</v>
      </c>
      <c r="G2430" s="502" t="s">
        <v>656</v>
      </c>
      <c r="H2430" s="193" t="s">
        <v>758</v>
      </c>
      <c r="I2430" s="260">
        <v>242</v>
      </c>
      <c r="J2430" s="260">
        <v>1360</v>
      </c>
      <c r="K2430" s="618">
        <v>329120</v>
      </c>
      <c r="L2430" s="194" t="s">
        <v>274</v>
      </c>
      <c r="M2430" s="194" t="s">
        <v>181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909"/>
      <c r="AB2430" s="198"/>
      <c r="AC2430" s="198"/>
      <c r="AD2430" s="198"/>
    </row>
    <row r="2431" spans="1:30" s="843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996</v>
      </c>
      <c r="E2431" s="898">
        <v>40877</v>
      </c>
      <c r="F2431" s="192" t="s">
        <v>1363</v>
      </c>
      <c r="G2431" s="502" t="s">
        <v>656</v>
      </c>
      <c r="H2431" s="193" t="s">
        <v>758</v>
      </c>
      <c r="I2431" s="260">
        <v>442</v>
      </c>
      <c r="J2431" s="260">
        <v>1090</v>
      </c>
      <c r="K2431" s="618">
        <v>481780</v>
      </c>
      <c r="L2431" s="194" t="s">
        <v>274</v>
      </c>
      <c r="M2431" s="194" t="s">
        <v>181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909"/>
      <c r="AB2431" s="198"/>
      <c r="AC2431" s="198"/>
      <c r="AD2431" s="198"/>
    </row>
    <row r="2432" spans="1:30" s="843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996</v>
      </c>
      <c r="E2432" s="898">
        <v>40877</v>
      </c>
      <c r="F2432" s="192" t="s">
        <v>1364</v>
      </c>
      <c r="G2432" s="502" t="s">
        <v>656</v>
      </c>
      <c r="H2432" s="193" t="s">
        <v>758</v>
      </c>
      <c r="I2432" s="260">
        <v>5000</v>
      </c>
      <c r="J2432" s="260">
        <v>123</v>
      </c>
      <c r="K2432" s="618">
        <v>615000</v>
      </c>
      <c r="L2432" s="194" t="s">
        <v>274</v>
      </c>
      <c r="M2432" s="194" t="s">
        <v>181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909"/>
      <c r="AB2432" s="198"/>
      <c r="AC2432" s="198"/>
      <c r="AD2432" s="198"/>
    </row>
    <row r="2433" spans="1:30" s="843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996</v>
      </c>
      <c r="E2433" s="898">
        <v>40877</v>
      </c>
      <c r="F2433" s="192" t="s">
        <v>1361</v>
      </c>
      <c r="G2433" s="502" t="s">
        <v>656</v>
      </c>
      <c r="H2433" s="193" t="s">
        <v>758</v>
      </c>
      <c r="I2433" s="262"/>
      <c r="J2433" s="262"/>
      <c r="K2433" s="618">
        <f>142590+1</f>
        <v>142591</v>
      </c>
      <c r="L2433" s="194" t="s">
        <v>274</v>
      </c>
      <c r="M2433" s="194" t="s">
        <v>754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909"/>
      <c r="AB2433" s="198"/>
      <c r="AC2433" s="198"/>
      <c r="AD2433" s="198"/>
    </row>
    <row r="2434" spans="1:30" s="843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997</v>
      </c>
      <c r="E2434" s="898">
        <v>40877</v>
      </c>
      <c r="F2434" s="192" t="s">
        <v>1365</v>
      </c>
      <c r="G2434" s="502" t="s">
        <v>1366</v>
      </c>
      <c r="H2434" s="7" t="s">
        <v>790</v>
      </c>
      <c r="I2434" s="260">
        <v>980</v>
      </c>
      <c r="J2434" s="260">
        <v>17900</v>
      </c>
      <c r="K2434" s="618">
        <v>17542000</v>
      </c>
      <c r="L2434" s="194" t="s">
        <v>274</v>
      </c>
      <c r="M2434" s="194" t="s">
        <v>181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909"/>
      <c r="AB2434" s="198"/>
      <c r="AC2434" s="198"/>
      <c r="AD2434" s="198"/>
    </row>
    <row r="2435" spans="1:30" s="843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997</v>
      </c>
      <c r="E2435" s="898">
        <v>40877</v>
      </c>
      <c r="F2435" s="192" t="s">
        <v>1367</v>
      </c>
      <c r="G2435" s="502" t="s">
        <v>1366</v>
      </c>
      <c r="H2435" s="7" t="s">
        <v>790</v>
      </c>
      <c r="I2435" s="260">
        <v>1990</v>
      </c>
      <c r="J2435" s="260">
        <v>10900</v>
      </c>
      <c r="K2435" s="618">
        <v>21691000</v>
      </c>
      <c r="L2435" s="194" t="s">
        <v>274</v>
      </c>
      <c r="M2435" s="194" t="s">
        <v>181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909"/>
      <c r="AB2435" s="198"/>
      <c r="AC2435" s="198"/>
      <c r="AD2435" s="198"/>
    </row>
    <row r="2436" spans="1:30" s="843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997</v>
      </c>
      <c r="E2436" s="898">
        <v>40877</v>
      </c>
      <c r="F2436" s="192" t="s">
        <v>1368</v>
      </c>
      <c r="G2436" s="502" t="s">
        <v>1366</v>
      </c>
      <c r="H2436" s="7" t="s">
        <v>790</v>
      </c>
      <c r="I2436" s="260"/>
      <c r="J2436" s="260"/>
      <c r="K2436" s="618">
        <v>3923300</v>
      </c>
      <c r="L2436" s="194" t="s">
        <v>274</v>
      </c>
      <c r="M2436" s="194" t="s">
        <v>754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909"/>
      <c r="AB2436" s="198"/>
      <c r="AC2436" s="198"/>
      <c r="AD2436" s="198"/>
    </row>
    <row r="2437" spans="1:30" s="843" customFormat="1" ht="15.75" customHeight="1">
      <c r="A2437" s="204" t="str">
        <f>IF(B2437&lt;&gt;"",IF(AND(B2437&gt;=_TM1,B2437&lt;=_TM2,OR(TH!L2437="1111",TH!M2437="1111")),TH!D2437,""),"")</f>
        <v/>
      </c>
      <c r="B2437" s="719">
        <f t="shared" si="192"/>
        <v>11</v>
      </c>
      <c r="C2437" s="875">
        <f t="shared" ref="C2437:C2446" si="197">E2437</f>
        <v>40877</v>
      </c>
      <c r="D2437" s="48" t="s">
        <v>1236</v>
      </c>
      <c r="E2437" s="884">
        <v>40877</v>
      </c>
      <c r="F2437" s="49" t="s">
        <v>1362</v>
      </c>
      <c r="G2437" s="49"/>
      <c r="H2437" s="883" t="s">
        <v>1116</v>
      </c>
      <c r="I2437" s="258">
        <v>242</v>
      </c>
      <c r="J2437" s="258">
        <v>1537.4999213826327</v>
      </c>
      <c r="K2437" s="723">
        <f t="shared" ref="K2437:K2446" si="198">ROUND(I2437*J2437,0)</f>
        <v>372075</v>
      </c>
      <c r="L2437" s="52" t="s">
        <v>169</v>
      </c>
      <c r="M2437" s="52" t="s">
        <v>167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909"/>
    </row>
    <row r="2438" spans="1:30" s="843" customFormat="1" ht="15.75" customHeight="1">
      <c r="A2438" s="204" t="str">
        <f>IF(B2438&lt;&gt;"",IF(AND(B2438&gt;=_TM1,B2438&lt;=_TM2,OR(TH!L2438="1111",TH!M2438="1111")),TH!D2438,""),"")</f>
        <v/>
      </c>
      <c r="B2438" s="719">
        <f t="shared" si="192"/>
        <v>11</v>
      </c>
      <c r="C2438" s="875">
        <f t="shared" si="197"/>
        <v>40877</v>
      </c>
      <c r="D2438" s="48" t="s">
        <v>1236</v>
      </c>
      <c r="E2438" s="884">
        <v>40877</v>
      </c>
      <c r="F2438" s="49" t="s">
        <v>1363</v>
      </c>
      <c r="G2438" s="49"/>
      <c r="H2438" s="883" t="s">
        <v>1116</v>
      </c>
      <c r="I2438" s="258">
        <v>442</v>
      </c>
      <c r="J2438" s="258">
        <v>1449.4900862979314</v>
      </c>
      <c r="K2438" s="723">
        <f t="shared" si="198"/>
        <v>640675</v>
      </c>
      <c r="L2438" s="52" t="s">
        <v>169</v>
      </c>
      <c r="M2438" s="52" t="s">
        <v>167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909"/>
    </row>
    <row r="2439" spans="1:30" s="843" customFormat="1" ht="15.75" customHeight="1">
      <c r="A2439" s="204" t="str">
        <f>IF(B2439&lt;&gt;"",IF(AND(B2439&gt;=_TM1,B2439&lt;=_TM2,OR(TH!L2439="1111",TH!M2439="1111")),TH!D2439,""),"")</f>
        <v/>
      </c>
      <c r="B2439" s="719">
        <f t="shared" si="192"/>
        <v>11</v>
      </c>
      <c r="C2439" s="875">
        <f t="shared" si="197"/>
        <v>40877</v>
      </c>
      <c r="D2439" s="48" t="s">
        <v>1236</v>
      </c>
      <c r="E2439" s="884">
        <v>40877</v>
      </c>
      <c r="F2439" s="49" t="s">
        <v>1364</v>
      </c>
      <c r="G2439" s="49"/>
      <c r="H2439" s="883" t="s">
        <v>1116</v>
      </c>
      <c r="I2439" s="258">
        <v>5000</v>
      </c>
      <c r="J2439" s="258">
        <v>1308.3457858454426</v>
      </c>
      <c r="K2439" s="723">
        <f t="shared" si="198"/>
        <v>6541729</v>
      </c>
      <c r="L2439" s="52" t="s">
        <v>169</v>
      </c>
      <c r="M2439" s="52" t="s">
        <v>167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909"/>
    </row>
    <row r="2440" spans="1:30" s="843" customFormat="1" ht="15.75" customHeight="1">
      <c r="A2440" s="204" t="str">
        <f>IF(B2440&lt;&gt;"",IF(AND(B2440&gt;=_TM1,B2440&lt;=_TM2,OR(TH!L2440="1111",TH!M2440="1111")),TH!D2440,""),"")</f>
        <v/>
      </c>
      <c r="B2440" s="719">
        <f t="shared" si="192"/>
        <v>11</v>
      </c>
      <c r="C2440" s="875">
        <f t="shared" si="197"/>
        <v>40877</v>
      </c>
      <c r="D2440" s="48" t="s">
        <v>1236</v>
      </c>
      <c r="E2440" s="884">
        <v>40877</v>
      </c>
      <c r="F2440" s="49" t="s">
        <v>1365</v>
      </c>
      <c r="G2440" s="49"/>
      <c r="H2440" s="883" t="s">
        <v>1116</v>
      </c>
      <c r="I2440" s="258">
        <v>980</v>
      </c>
      <c r="J2440" s="258">
        <v>16377.50716543728</v>
      </c>
      <c r="K2440" s="723">
        <f t="shared" si="198"/>
        <v>16049957</v>
      </c>
      <c r="L2440" s="52" t="s">
        <v>169</v>
      </c>
      <c r="M2440" s="52" t="s">
        <v>167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909"/>
    </row>
    <row r="2441" spans="1:30" s="843" customFormat="1" ht="15.75" customHeight="1">
      <c r="A2441" s="204" t="str">
        <f>IF(B2441&lt;&gt;"",IF(AND(B2441&gt;=_TM1,B2441&lt;=_TM2,OR(TH!L2441="1111",TH!M2441="1111")),TH!D2441,""),"")</f>
        <v/>
      </c>
      <c r="B2441" s="719">
        <f t="shared" si="192"/>
        <v>11</v>
      </c>
      <c r="C2441" s="875">
        <f t="shared" si="197"/>
        <v>40877</v>
      </c>
      <c r="D2441" s="48" t="s">
        <v>1236</v>
      </c>
      <c r="E2441" s="884">
        <v>40877</v>
      </c>
      <c r="F2441" s="49" t="s">
        <v>1367</v>
      </c>
      <c r="G2441" s="49"/>
      <c r="H2441" s="883" t="s">
        <v>1116</v>
      </c>
      <c r="I2441" s="258">
        <v>1990</v>
      </c>
      <c r="J2441" s="258">
        <v>8153.583060217301</v>
      </c>
      <c r="K2441" s="723">
        <f t="shared" si="198"/>
        <v>16225630</v>
      </c>
      <c r="L2441" s="52" t="s">
        <v>169</v>
      </c>
      <c r="M2441" s="52" t="s">
        <v>167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909"/>
    </row>
    <row r="2442" spans="1:30" s="843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996</v>
      </c>
      <c r="E2442" s="800">
        <v>40877</v>
      </c>
      <c r="F2442" s="192" t="s">
        <v>1362</v>
      </c>
      <c r="G2442" s="502" t="s">
        <v>656</v>
      </c>
      <c r="H2442" s="193" t="s">
        <v>758</v>
      </c>
      <c r="I2442" s="260">
        <v>242</v>
      </c>
      <c r="J2442" s="260">
        <v>1537.4999213826327</v>
      </c>
      <c r="K2442" s="881">
        <f t="shared" si="198"/>
        <v>372075</v>
      </c>
      <c r="L2442" s="869" t="s">
        <v>179</v>
      </c>
      <c r="M2442" s="869" t="s">
        <v>169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909"/>
      <c r="AB2442" s="198"/>
      <c r="AC2442" s="198"/>
      <c r="AD2442" s="198"/>
    </row>
    <row r="2443" spans="1:30" s="843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996</v>
      </c>
      <c r="E2443" s="800">
        <v>40877</v>
      </c>
      <c r="F2443" s="192" t="s">
        <v>1363</v>
      </c>
      <c r="G2443" s="502" t="s">
        <v>656</v>
      </c>
      <c r="H2443" s="193" t="s">
        <v>758</v>
      </c>
      <c r="I2443" s="260">
        <v>442</v>
      </c>
      <c r="J2443" s="260">
        <v>1449.4900862979314</v>
      </c>
      <c r="K2443" s="881">
        <f t="shared" si="198"/>
        <v>640675</v>
      </c>
      <c r="L2443" s="869" t="s">
        <v>179</v>
      </c>
      <c r="M2443" s="869" t="s">
        <v>169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909"/>
      <c r="AB2443" s="198"/>
      <c r="AC2443" s="198"/>
      <c r="AD2443" s="198"/>
    </row>
    <row r="2444" spans="1:30" s="843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996</v>
      </c>
      <c r="E2444" s="800">
        <v>40877</v>
      </c>
      <c r="F2444" s="192" t="s">
        <v>1364</v>
      </c>
      <c r="G2444" s="502" t="s">
        <v>656</v>
      </c>
      <c r="H2444" s="193" t="s">
        <v>758</v>
      </c>
      <c r="I2444" s="260">
        <v>5000</v>
      </c>
      <c r="J2444" s="260">
        <v>1308.3457858454426</v>
      </c>
      <c r="K2444" s="881">
        <f t="shared" si="198"/>
        <v>6541729</v>
      </c>
      <c r="L2444" s="869" t="s">
        <v>179</v>
      </c>
      <c r="M2444" s="869" t="s">
        <v>169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909"/>
      <c r="AB2444" s="198"/>
      <c r="AC2444" s="198"/>
      <c r="AD2444" s="198"/>
    </row>
    <row r="2445" spans="1:30" s="843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997</v>
      </c>
      <c r="E2445" s="800">
        <v>40877</v>
      </c>
      <c r="F2445" s="192" t="s">
        <v>1365</v>
      </c>
      <c r="G2445" s="502" t="s">
        <v>1366</v>
      </c>
      <c r="H2445" s="7" t="s">
        <v>790</v>
      </c>
      <c r="I2445" s="260">
        <v>980</v>
      </c>
      <c r="J2445" s="260">
        <v>16377.50716543728</v>
      </c>
      <c r="K2445" s="881">
        <f t="shared" si="198"/>
        <v>16049957</v>
      </c>
      <c r="L2445" s="869" t="s">
        <v>179</v>
      </c>
      <c r="M2445" s="869" t="s">
        <v>169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909"/>
      <c r="AB2445" s="198"/>
      <c r="AC2445" s="198"/>
      <c r="AD2445" s="198"/>
    </row>
    <row r="2446" spans="1:30" s="843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997</v>
      </c>
      <c r="E2446" s="800">
        <v>40877</v>
      </c>
      <c r="F2446" s="192" t="s">
        <v>1367</v>
      </c>
      <c r="G2446" s="502" t="s">
        <v>1366</v>
      </c>
      <c r="H2446" s="7" t="s">
        <v>790</v>
      </c>
      <c r="I2446" s="260">
        <v>1990</v>
      </c>
      <c r="J2446" s="260">
        <v>8153.583060217301</v>
      </c>
      <c r="K2446" s="881">
        <f t="shared" si="198"/>
        <v>16225630</v>
      </c>
      <c r="L2446" s="869" t="s">
        <v>179</v>
      </c>
      <c r="M2446" s="869" t="s">
        <v>169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909"/>
      <c r="AB2446" s="198"/>
      <c r="AC2446" s="198"/>
      <c r="AD2446" s="198"/>
    </row>
    <row r="2447" spans="1:30" s="843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356</v>
      </c>
      <c r="E2447" s="911">
        <v>40879</v>
      </c>
      <c r="F2447" s="189" t="s">
        <v>358</v>
      </c>
      <c r="G2447" s="620" t="s">
        <v>353</v>
      </c>
      <c r="H2447" s="846" t="s">
        <v>789</v>
      </c>
      <c r="I2447" s="260"/>
      <c r="J2447" s="260"/>
      <c r="K2447" s="618">
        <v>27789995</v>
      </c>
      <c r="L2447" s="619" t="s">
        <v>24</v>
      </c>
      <c r="M2447" s="619" t="s">
        <v>274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909"/>
      <c r="AB2447" s="198"/>
      <c r="AC2447" s="198"/>
      <c r="AD2447" s="198"/>
    </row>
    <row r="2448" spans="1:30" s="843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75" t="s">
        <v>1238</v>
      </c>
      <c r="E2448" s="898">
        <v>40882</v>
      </c>
      <c r="F2448" s="189" t="s">
        <v>545</v>
      </c>
      <c r="G2448" s="40"/>
      <c r="H2448" s="632" t="s">
        <v>1116</v>
      </c>
      <c r="I2448" s="260">
        <v>205</v>
      </c>
      <c r="J2448" s="260">
        <v>11373</v>
      </c>
      <c r="K2448" s="618">
        <f t="shared" ref="K2448:K2455" si="200">ROUND(I2448*J2448,0)</f>
        <v>2331465</v>
      </c>
      <c r="L2448" s="52" t="s">
        <v>167</v>
      </c>
      <c r="M2448" s="52" t="s">
        <v>159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909"/>
      <c r="AB2448" s="198"/>
      <c r="AC2448" s="198"/>
      <c r="AD2448" s="198"/>
    </row>
    <row r="2449" spans="1:30" s="843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75" t="s">
        <v>1238</v>
      </c>
      <c r="E2449" s="898">
        <v>40882</v>
      </c>
      <c r="F2449" s="40" t="s">
        <v>668</v>
      </c>
      <c r="G2449" s="40"/>
      <c r="H2449" s="632" t="s">
        <v>1116</v>
      </c>
      <c r="I2449" s="260">
        <v>235</v>
      </c>
      <c r="J2449" s="260">
        <v>32878</v>
      </c>
      <c r="K2449" s="618">
        <f t="shared" si="200"/>
        <v>7726330</v>
      </c>
      <c r="L2449" s="52" t="s">
        <v>167</v>
      </c>
      <c r="M2449" s="52" t="s">
        <v>159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909"/>
      <c r="AB2449" s="198"/>
      <c r="AC2449" s="198"/>
      <c r="AD2449" s="198"/>
    </row>
    <row r="2450" spans="1:30" s="843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75" t="s">
        <v>1238</v>
      </c>
      <c r="E2450" s="898">
        <v>40882</v>
      </c>
      <c r="F2450" s="189" t="s">
        <v>513</v>
      </c>
      <c r="G2450" s="40"/>
      <c r="H2450" s="632" t="s">
        <v>1116</v>
      </c>
      <c r="I2450" s="260">
        <v>1</v>
      </c>
      <c r="J2450" s="260">
        <v>17427</v>
      </c>
      <c r="K2450" s="618">
        <f t="shared" si="200"/>
        <v>17427</v>
      </c>
      <c r="L2450" s="52" t="s">
        <v>167</v>
      </c>
      <c r="M2450" s="52" t="s">
        <v>159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909"/>
      <c r="AB2450" s="198"/>
      <c r="AC2450" s="198"/>
      <c r="AD2450" s="198"/>
    </row>
    <row r="2451" spans="1:30" s="843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75" t="s">
        <v>1238</v>
      </c>
      <c r="E2451" s="898">
        <v>40882</v>
      </c>
      <c r="F2451" s="40" t="s">
        <v>668</v>
      </c>
      <c r="G2451" s="40"/>
      <c r="H2451" s="632" t="s">
        <v>1116</v>
      </c>
      <c r="I2451" s="260">
        <v>1</v>
      </c>
      <c r="J2451" s="260">
        <v>32878</v>
      </c>
      <c r="K2451" s="618">
        <f t="shared" si="200"/>
        <v>32878</v>
      </c>
      <c r="L2451" s="52" t="s">
        <v>167</v>
      </c>
      <c r="M2451" s="52" t="s">
        <v>159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909"/>
      <c r="AB2451" s="198"/>
      <c r="AC2451" s="198"/>
      <c r="AD2451" s="198"/>
    </row>
    <row r="2452" spans="1:30" s="843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75" t="s">
        <v>1238</v>
      </c>
      <c r="E2452" s="898">
        <v>40882</v>
      </c>
      <c r="F2452" s="40" t="s">
        <v>663</v>
      </c>
      <c r="G2452" s="40"/>
      <c r="H2452" s="632" t="s">
        <v>1116</v>
      </c>
      <c r="I2452" s="260">
        <v>11</v>
      </c>
      <c r="J2452" s="260">
        <v>31752</v>
      </c>
      <c r="K2452" s="618">
        <f t="shared" si="200"/>
        <v>349272</v>
      </c>
      <c r="L2452" s="52" t="s">
        <v>167</v>
      </c>
      <c r="M2452" s="52" t="s">
        <v>159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909"/>
      <c r="AB2452" s="198"/>
      <c r="AC2452" s="198"/>
      <c r="AD2452" s="198"/>
    </row>
    <row r="2453" spans="1:30" s="843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75" t="s">
        <v>1238</v>
      </c>
      <c r="E2453" s="898">
        <v>40882</v>
      </c>
      <c r="F2453" s="40" t="s">
        <v>678</v>
      </c>
      <c r="G2453" s="40"/>
      <c r="H2453" s="632" t="s">
        <v>1116</v>
      </c>
      <c r="I2453" s="260">
        <v>147</v>
      </c>
      <c r="J2453" s="260">
        <v>13455</v>
      </c>
      <c r="K2453" s="618">
        <f t="shared" si="200"/>
        <v>1977885</v>
      </c>
      <c r="L2453" s="52" t="s">
        <v>167</v>
      </c>
      <c r="M2453" s="52" t="s">
        <v>159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909"/>
      <c r="AB2453" s="198"/>
      <c r="AC2453" s="198"/>
      <c r="AD2453" s="198"/>
    </row>
    <row r="2454" spans="1:30" s="843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75" t="s">
        <v>1238</v>
      </c>
      <c r="E2454" s="898">
        <v>40882</v>
      </c>
      <c r="F2454" s="40" t="s">
        <v>678</v>
      </c>
      <c r="G2454" s="40"/>
      <c r="H2454" s="632" t="s">
        <v>1116</v>
      </c>
      <c r="I2454" s="260">
        <v>52</v>
      </c>
      <c r="J2454" s="260">
        <v>13455</v>
      </c>
      <c r="K2454" s="618">
        <f t="shared" si="200"/>
        <v>699660</v>
      </c>
      <c r="L2454" s="52" t="s">
        <v>167</v>
      </c>
      <c r="M2454" s="52" t="s">
        <v>159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909"/>
      <c r="AB2454" s="198"/>
      <c r="AC2454" s="198"/>
      <c r="AD2454" s="198"/>
    </row>
    <row r="2455" spans="1:30" s="843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75" t="s">
        <v>1238</v>
      </c>
      <c r="E2455" s="898">
        <v>40882</v>
      </c>
      <c r="F2455" s="40" t="s">
        <v>672</v>
      </c>
      <c r="G2455" s="40"/>
      <c r="H2455" s="632" t="s">
        <v>1116</v>
      </c>
      <c r="I2455" s="260">
        <v>61</v>
      </c>
      <c r="J2455" s="260">
        <v>16502</v>
      </c>
      <c r="K2455" s="618">
        <f t="shared" si="200"/>
        <v>1006622</v>
      </c>
      <c r="L2455" s="52" t="s">
        <v>167</v>
      </c>
      <c r="M2455" s="52" t="s">
        <v>159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909"/>
      <c r="AB2455" s="198"/>
      <c r="AC2455" s="198"/>
      <c r="AD2455" s="198"/>
    </row>
    <row r="2456" spans="1:30" s="843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689</v>
      </c>
      <c r="E2456" s="911">
        <v>40883</v>
      </c>
      <c r="F2456" s="189" t="s">
        <v>1180</v>
      </c>
      <c r="G2456" s="620" t="s">
        <v>353</v>
      </c>
      <c r="H2456" s="193" t="s">
        <v>386</v>
      </c>
      <c r="I2456" s="260"/>
      <c r="J2456" s="260"/>
      <c r="K2456" s="618">
        <v>27000000</v>
      </c>
      <c r="L2456" s="619" t="s">
        <v>47</v>
      </c>
      <c r="M2456" s="619" t="s">
        <v>24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909"/>
      <c r="AB2456" s="198"/>
      <c r="AC2456" s="198"/>
      <c r="AD2456" s="198"/>
    </row>
    <row r="2457" spans="1:30" s="843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356</v>
      </c>
      <c r="E2457" s="911">
        <v>40884</v>
      </c>
      <c r="F2457" s="189" t="s">
        <v>358</v>
      </c>
      <c r="G2457" s="620" t="s">
        <v>353</v>
      </c>
      <c r="H2457" s="193" t="s">
        <v>756</v>
      </c>
      <c r="I2457" s="260"/>
      <c r="J2457" s="260"/>
      <c r="K2457" s="618">
        <v>95680676</v>
      </c>
      <c r="L2457" s="619" t="s">
        <v>24</v>
      </c>
      <c r="M2457" s="619" t="s">
        <v>274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909"/>
      <c r="AB2457" s="198"/>
      <c r="AC2457" s="198"/>
      <c r="AD2457" s="198"/>
    </row>
    <row r="2458" spans="1:30" s="843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998</v>
      </c>
      <c r="E2458" s="898">
        <v>40886</v>
      </c>
      <c r="F2458" s="192" t="s">
        <v>1374</v>
      </c>
      <c r="G2458" s="502" t="s">
        <v>1375</v>
      </c>
      <c r="H2458" s="7" t="s">
        <v>788</v>
      </c>
      <c r="I2458" s="260">
        <v>505</v>
      </c>
      <c r="J2458" s="260">
        <v>9500</v>
      </c>
      <c r="K2458" s="618">
        <v>4797500</v>
      </c>
      <c r="L2458" s="194" t="s">
        <v>274</v>
      </c>
      <c r="M2458" s="194" t="s">
        <v>181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909"/>
      <c r="AB2458" s="198"/>
      <c r="AC2458" s="198"/>
      <c r="AD2458" s="198"/>
    </row>
    <row r="2459" spans="1:30" s="843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998</v>
      </c>
      <c r="E2459" s="898">
        <v>40886</v>
      </c>
      <c r="F2459" s="192" t="s">
        <v>1368</v>
      </c>
      <c r="G2459" s="502" t="s">
        <v>1375</v>
      </c>
      <c r="H2459" s="7" t="s">
        <v>788</v>
      </c>
      <c r="I2459" s="260"/>
      <c r="J2459" s="260"/>
      <c r="K2459" s="618">
        <f>479750+2</f>
        <v>479752</v>
      </c>
      <c r="L2459" s="194" t="s">
        <v>274</v>
      </c>
      <c r="M2459" s="194" t="s">
        <v>754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909"/>
      <c r="AB2459" s="198"/>
      <c r="AC2459" s="198"/>
      <c r="AD2459" s="198"/>
    </row>
    <row r="2460" spans="1:30" s="843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1237</v>
      </c>
      <c r="E2460" s="898">
        <v>40886</v>
      </c>
      <c r="F2460" s="460" t="s">
        <v>1374</v>
      </c>
      <c r="G2460" s="40"/>
      <c r="H2460" s="632" t="s">
        <v>1116</v>
      </c>
      <c r="I2460" s="260">
        <v>505</v>
      </c>
      <c r="J2460" s="260">
        <v>5915.2685818850478</v>
      </c>
      <c r="K2460" s="618">
        <f>ROUND(I2460*J2460,0)</f>
        <v>2987211</v>
      </c>
      <c r="L2460" s="39" t="s">
        <v>169</v>
      </c>
      <c r="M2460" s="39" t="s">
        <v>167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909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998</v>
      </c>
      <c r="E2461" s="898">
        <v>40886</v>
      </c>
      <c r="F2461" s="192" t="s">
        <v>1374</v>
      </c>
      <c r="G2461" s="502" t="s">
        <v>1375</v>
      </c>
      <c r="H2461" s="7" t="s">
        <v>788</v>
      </c>
      <c r="I2461" s="260">
        <v>505</v>
      </c>
      <c r="J2461" s="260">
        <v>5915.2685818850478</v>
      </c>
      <c r="K2461" s="881">
        <f>ROUND(I2461*J2461,0)</f>
        <v>2987211</v>
      </c>
      <c r="L2461" s="869" t="s">
        <v>179</v>
      </c>
      <c r="M2461" s="869" t="s">
        <v>169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909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838</v>
      </c>
      <c r="E2462" s="911">
        <v>40889</v>
      </c>
      <c r="F2462" s="189" t="s">
        <v>1180</v>
      </c>
      <c r="G2462" s="620" t="s">
        <v>353</v>
      </c>
      <c r="H2462" s="193" t="s">
        <v>386</v>
      </c>
      <c r="I2462" s="260"/>
      <c r="J2462" s="260"/>
      <c r="K2462" s="618">
        <v>95000000</v>
      </c>
      <c r="L2462" s="619" t="s">
        <v>47</v>
      </c>
      <c r="M2462" s="619" t="s">
        <v>24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909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692</v>
      </c>
      <c r="E2463" s="898">
        <v>40889</v>
      </c>
      <c r="F2463" s="192" t="s">
        <v>1303</v>
      </c>
      <c r="G2463" s="502" t="s">
        <v>1369</v>
      </c>
      <c r="H2463" s="7" t="s">
        <v>394</v>
      </c>
      <c r="I2463" s="262">
        <v>20</v>
      </c>
      <c r="J2463" s="262">
        <v>65000</v>
      </c>
      <c r="K2463" s="618">
        <v>1300000</v>
      </c>
      <c r="L2463" s="194" t="s">
        <v>167</v>
      </c>
      <c r="M2463" s="194" t="s">
        <v>47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909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692</v>
      </c>
      <c r="E2464" s="898">
        <v>40889</v>
      </c>
      <c r="F2464" s="192" t="s">
        <v>1189</v>
      </c>
      <c r="G2464" s="502" t="s">
        <v>1369</v>
      </c>
      <c r="H2464" s="7" t="s">
        <v>394</v>
      </c>
      <c r="I2464" s="262"/>
      <c r="J2464" s="262"/>
      <c r="K2464" s="38">
        <v>130000</v>
      </c>
      <c r="L2464" s="194" t="s">
        <v>9</v>
      </c>
      <c r="M2464" s="194" t="s">
        <v>47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909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75" t="s">
        <v>1239</v>
      </c>
      <c r="E2465" s="898">
        <v>40890</v>
      </c>
      <c r="F2465" s="40" t="s">
        <v>679</v>
      </c>
      <c r="G2465" s="40"/>
      <c r="H2465" s="632" t="s">
        <v>1116</v>
      </c>
      <c r="I2465" s="260">
        <v>505</v>
      </c>
      <c r="J2465" s="260">
        <v>16631</v>
      </c>
      <c r="K2465" s="618">
        <f t="shared" ref="K2465:K2491" si="203">ROUND(I2465*J2465,0)</f>
        <v>8398655</v>
      </c>
      <c r="L2465" s="52" t="s">
        <v>167</v>
      </c>
      <c r="M2465" s="52" t="s">
        <v>159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909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75" t="s">
        <v>1239</v>
      </c>
      <c r="E2466" s="898">
        <v>40890</v>
      </c>
      <c r="F2466" s="189" t="s">
        <v>653</v>
      </c>
      <c r="G2466" s="40"/>
      <c r="H2466" s="632" t="s">
        <v>1116</v>
      </c>
      <c r="I2466" s="260">
        <v>61</v>
      </c>
      <c r="J2466" s="260">
        <v>9954</v>
      </c>
      <c r="K2466" s="618">
        <f t="shared" si="203"/>
        <v>607194</v>
      </c>
      <c r="L2466" s="52" t="s">
        <v>167</v>
      </c>
      <c r="M2466" s="52" t="s">
        <v>159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909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75" t="s">
        <v>1239</v>
      </c>
      <c r="E2467" s="898">
        <v>40890</v>
      </c>
      <c r="F2467" s="189" t="s">
        <v>513</v>
      </c>
      <c r="G2467" s="40"/>
      <c r="H2467" s="632" t="s">
        <v>1116</v>
      </c>
      <c r="I2467" s="260">
        <v>2</v>
      </c>
      <c r="J2467" s="260">
        <v>17427</v>
      </c>
      <c r="K2467" s="618">
        <f t="shared" si="203"/>
        <v>34854</v>
      </c>
      <c r="L2467" s="52" t="s">
        <v>167</v>
      </c>
      <c r="M2467" s="52" t="s">
        <v>159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909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75" t="s">
        <v>1239</v>
      </c>
      <c r="E2468" s="898">
        <v>40890</v>
      </c>
      <c r="F2468" s="189" t="s">
        <v>513</v>
      </c>
      <c r="G2468" s="40"/>
      <c r="H2468" s="632" t="s">
        <v>1116</v>
      </c>
      <c r="I2468" s="260">
        <v>16</v>
      </c>
      <c r="J2468" s="260">
        <v>17427</v>
      </c>
      <c r="K2468" s="618">
        <f t="shared" si="203"/>
        <v>278832</v>
      </c>
      <c r="L2468" s="52" t="s">
        <v>167</v>
      </c>
      <c r="M2468" s="52" t="s">
        <v>159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909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75" t="s">
        <v>1239</v>
      </c>
      <c r="E2469" s="898">
        <v>40890</v>
      </c>
      <c r="F2469" s="40" t="s">
        <v>673</v>
      </c>
      <c r="G2469" s="40"/>
      <c r="H2469" s="632" t="s">
        <v>1116</v>
      </c>
      <c r="I2469" s="260">
        <v>10</v>
      </c>
      <c r="J2469" s="260">
        <v>15443</v>
      </c>
      <c r="K2469" s="618">
        <f t="shared" si="203"/>
        <v>154430</v>
      </c>
      <c r="L2469" s="52" t="s">
        <v>167</v>
      </c>
      <c r="M2469" s="52" t="s">
        <v>159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909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75" t="s">
        <v>1239</v>
      </c>
      <c r="E2470" s="898">
        <v>40890</v>
      </c>
      <c r="F2470" s="40" t="s">
        <v>665</v>
      </c>
      <c r="G2470" s="40"/>
      <c r="H2470" s="632" t="s">
        <v>1116</v>
      </c>
      <c r="I2470" s="260">
        <v>135</v>
      </c>
      <c r="J2470" s="260">
        <v>20278</v>
      </c>
      <c r="K2470" s="618">
        <f t="shared" si="203"/>
        <v>2737530</v>
      </c>
      <c r="L2470" s="52" t="s">
        <v>167</v>
      </c>
      <c r="M2470" s="52" t="s">
        <v>159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909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75" t="s">
        <v>1239</v>
      </c>
      <c r="E2471" s="898">
        <v>40890</v>
      </c>
      <c r="F2471" s="40" t="s">
        <v>678</v>
      </c>
      <c r="G2471" s="40"/>
      <c r="H2471" s="632" t="s">
        <v>1116</v>
      </c>
      <c r="I2471" s="260">
        <v>223</v>
      </c>
      <c r="J2471" s="260">
        <v>13455</v>
      </c>
      <c r="K2471" s="618">
        <f t="shared" si="203"/>
        <v>3000465</v>
      </c>
      <c r="L2471" s="52" t="s">
        <v>167</v>
      </c>
      <c r="M2471" s="52" t="s">
        <v>159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909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75" t="s">
        <v>1239</v>
      </c>
      <c r="E2472" s="898">
        <v>40890</v>
      </c>
      <c r="F2472" s="40" t="s">
        <v>621</v>
      </c>
      <c r="G2472" s="40"/>
      <c r="H2472" s="632" t="s">
        <v>1116</v>
      </c>
      <c r="I2472" s="260">
        <v>10</v>
      </c>
      <c r="J2472" s="260">
        <v>17374</v>
      </c>
      <c r="K2472" s="618">
        <f t="shared" si="203"/>
        <v>173740</v>
      </c>
      <c r="L2472" s="52" t="s">
        <v>167</v>
      </c>
      <c r="M2472" s="52" t="s">
        <v>159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909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75" t="s">
        <v>1239</v>
      </c>
      <c r="E2473" s="898">
        <v>40890</v>
      </c>
      <c r="F2473" s="40" t="s">
        <v>673</v>
      </c>
      <c r="G2473" s="40"/>
      <c r="H2473" s="632" t="s">
        <v>1116</v>
      </c>
      <c r="I2473" s="260">
        <v>20</v>
      </c>
      <c r="J2473" s="260">
        <v>15443</v>
      </c>
      <c r="K2473" s="618">
        <f t="shared" si="203"/>
        <v>308860</v>
      </c>
      <c r="L2473" s="52" t="s">
        <v>167</v>
      </c>
      <c r="M2473" s="52" t="s">
        <v>159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909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75" t="s">
        <v>1240</v>
      </c>
      <c r="E2474" s="898">
        <v>40892</v>
      </c>
      <c r="F2474" s="40" t="s">
        <v>678</v>
      </c>
      <c r="G2474" s="40"/>
      <c r="H2474" s="632" t="s">
        <v>1116</v>
      </c>
      <c r="I2474" s="260">
        <v>2</v>
      </c>
      <c r="J2474" s="260">
        <v>13455</v>
      </c>
      <c r="K2474" s="618">
        <f t="shared" si="203"/>
        <v>26910</v>
      </c>
      <c r="L2474" s="52" t="s">
        <v>167</v>
      </c>
      <c r="M2474" s="52" t="s">
        <v>159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909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75" t="s">
        <v>1240</v>
      </c>
      <c r="E2475" s="898">
        <v>40892</v>
      </c>
      <c r="F2475" s="40" t="s">
        <v>621</v>
      </c>
      <c r="G2475" s="40"/>
      <c r="H2475" s="632" t="s">
        <v>1116</v>
      </c>
      <c r="I2475" s="260">
        <v>379</v>
      </c>
      <c r="J2475" s="260">
        <v>17374</v>
      </c>
      <c r="K2475" s="618">
        <f t="shared" si="203"/>
        <v>6584746</v>
      </c>
      <c r="L2475" s="52" t="s">
        <v>167</v>
      </c>
      <c r="M2475" s="52" t="s">
        <v>159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909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75" t="s">
        <v>1240</v>
      </c>
      <c r="E2476" s="898">
        <v>40892</v>
      </c>
      <c r="F2476" s="40" t="s">
        <v>679</v>
      </c>
      <c r="G2476" s="40"/>
      <c r="H2476" s="632" t="s">
        <v>1116</v>
      </c>
      <c r="I2476" s="260">
        <v>82</v>
      </c>
      <c r="J2476" s="260">
        <v>16631</v>
      </c>
      <c r="K2476" s="618">
        <f t="shared" si="203"/>
        <v>1363742</v>
      </c>
      <c r="L2476" s="52" t="s">
        <v>167</v>
      </c>
      <c r="M2476" s="52" t="s">
        <v>159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909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75" t="s">
        <v>1240</v>
      </c>
      <c r="E2477" s="898">
        <v>40892</v>
      </c>
      <c r="F2477" s="40" t="s">
        <v>678</v>
      </c>
      <c r="G2477" s="40"/>
      <c r="H2477" s="632" t="s">
        <v>1116</v>
      </c>
      <c r="I2477" s="260">
        <v>72</v>
      </c>
      <c r="J2477" s="260">
        <v>13455</v>
      </c>
      <c r="K2477" s="618">
        <f t="shared" si="203"/>
        <v>968760</v>
      </c>
      <c r="L2477" s="52" t="s">
        <v>167</v>
      </c>
      <c r="M2477" s="52" t="s">
        <v>159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909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75" t="s">
        <v>1240</v>
      </c>
      <c r="E2478" s="898">
        <v>40892</v>
      </c>
      <c r="F2478" s="40" t="s">
        <v>678</v>
      </c>
      <c r="G2478" s="40"/>
      <c r="H2478" s="632" t="s">
        <v>1116</v>
      </c>
      <c r="I2478" s="260">
        <v>52</v>
      </c>
      <c r="J2478" s="260">
        <v>13455</v>
      </c>
      <c r="K2478" s="618">
        <f t="shared" si="203"/>
        <v>699660</v>
      </c>
      <c r="L2478" s="52" t="s">
        <v>167</v>
      </c>
      <c r="M2478" s="52" t="s">
        <v>159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909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75" t="s">
        <v>1240</v>
      </c>
      <c r="E2479" s="898">
        <v>40892</v>
      </c>
      <c r="F2479" s="40" t="s">
        <v>678</v>
      </c>
      <c r="G2479" s="40"/>
      <c r="H2479" s="632" t="s">
        <v>1116</v>
      </c>
      <c r="I2479" s="260">
        <v>51</v>
      </c>
      <c r="J2479" s="260">
        <v>13455</v>
      </c>
      <c r="K2479" s="618">
        <f t="shared" si="203"/>
        <v>686205</v>
      </c>
      <c r="L2479" s="52" t="s">
        <v>167</v>
      </c>
      <c r="M2479" s="52" t="s">
        <v>159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909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75" t="s">
        <v>1240</v>
      </c>
      <c r="E2480" s="898">
        <v>40892</v>
      </c>
      <c r="F2480" s="40" t="s">
        <v>668</v>
      </c>
      <c r="G2480" s="40"/>
      <c r="H2480" s="632" t="s">
        <v>1116</v>
      </c>
      <c r="I2480" s="260">
        <v>25.5</v>
      </c>
      <c r="J2480" s="260">
        <v>32878</v>
      </c>
      <c r="K2480" s="618">
        <f t="shared" si="203"/>
        <v>838389</v>
      </c>
      <c r="L2480" s="52" t="s">
        <v>167</v>
      </c>
      <c r="M2480" s="52" t="s">
        <v>159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909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75" t="s">
        <v>1240</v>
      </c>
      <c r="E2481" s="898">
        <v>40892</v>
      </c>
      <c r="F2481" s="40" t="s">
        <v>668</v>
      </c>
      <c r="G2481" s="40"/>
      <c r="H2481" s="632" t="s">
        <v>1116</v>
      </c>
      <c r="I2481" s="260">
        <v>28.5</v>
      </c>
      <c r="J2481" s="260">
        <v>32878</v>
      </c>
      <c r="K2481" s="618">
        <f t="shared" si="203"/>
        <v>937023</v>
      </c>
      <c r="L2481" s="52" t="s">
        <v>167</v>
      </c>
      <c r="M2481" s="52" t="s">
        <v>159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909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75" t="s">
        <v>1240</v>
      </c>
      <c r="E2482" s="898">
        <v>40892</v>
      </c>
      <c r="F2482" s="40" t="s">
        <v>621</v>
      </c>
      <c r="G2482" s="40"/>
      <c r="H2482" s="632" t="s">
        <v>1116</v>
      </c>
      <c r="I2482" s="260">
        <v>2</v>
      </c>
      <c r="J2482" s="260">
        <v>17374</v>
      </c>
      <c r="K2482" s="618">
        <f t="shared" si="203"/>
        <v>34748</v>
      </c>
      <c r="L2482" s="52" t="s">
        <v>167</v>
      </c>
      <c r="M2482" s="52" t="s">
        <v>159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909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75" t="s">
        <v>1241</v>
      </c>
      <c r="E2483" s="898">
        <v>40894</v>
      </c>
      <c r="F2483" s="40" t="s">
        <v>673</v>
      </c>
      <c r="G2483" s="40"/>
      <c r="H2483" s="632" t="s">
        <v>1116</v>
      </c>
      <c r="I2483" s="260">
        <v>7</v>
      </c>
      <c r="J2483" s="260">
        <v>15443</v>
      </c>
      <c r="K2483" s="618">
        <f t="shared" si="203"/>
        <v>108101</v>
      </c>
      <c r="L2483" s="52" t="s">
        <v>167</v>
      </c>
      <c r="M2483" s="52" t="s">
        <v>159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909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75" t="s">
        <v>1241</v>
      </c>
      <c r="E2484" s="898">
        <v>40894</v>
      </c>
      <c r="F2484" s="40" t="s">
        <v>621</v>
      </c>
      <c r="G2484" s="40"/>
      <c r="H2484" s="632" t="s">
        <v>1116</v>
      </c>
      <c r="I2484" s="260">
        <v>4</v>
      </c>
      <c r="J2484" s="260">
        <v>17374</v>
      </c>
      <c r="K2484" s="618">
        <f t="shared" si="203"/>
        <v>69496</v>
      </c>
      <c r="L2484" s="52" t="s">
        <v>167</v>
      </c>
      <c r="M2484" s="52" t="s">
        <v>159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909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75" t="s">
        <v>1241</v>
      </c>
      <c r="E2485" s="898">
        <v>40894</v>
      </c>
      <c r="F2485" s="40" t="s">
        <v>621</v>
      </c>
      <c r="G2485" s="40"/>
      <c r="H2485" s="632" t="s">
        <v>1116</v>
      </c>
      <c r="I2485" s="260">
        <v>4</v>
      </c>
      <c r="J2485" s="260">
        <v>17374</v>
      </c>
      <c r="K2485" s="618">
        <f t="shared" si="203"/>
        <v>69496</v>
      </c>
      <c r="L2485" s="52" t="s">
        <v>167</v>
      </c>
      <c r="M2485" s="52" t="s">
        <v>159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909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75" t="s">
        <v>1241</v>
      </c>
      <c r="E2486" s="898">
        <v>40894</v>
      </c>
      <c r="F2486" s="189" t="s">
        <v>530</v>
      </c>
      <c r="G2486" s="40"/>
      <c r="H2486" s="632" t="s">
        <v>1116</v>
      </c>
      <c r="I2486" s="260">
        <v>27</v>
      </c>
      <c r="J2486" s="260">
        <v>8620</v>
      </c>
      <c r="K2486" s="618">
        <f t="shared" si="203"/>
        <v>232740</v>
      </c>
      <c r="L2486" s="52" t="s">
        <v>167</v>
      </c>
      <c r="M2486" s="52" t="s">
        <v>159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909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75" t="s">
        <v>1241</v>
      </c>
      <c r="E2487" s="898">
        <v>40894</v>
      </c>
      <c r="F2487" s="40" t="s">
        <v>621</v>
      </c>
      <c r="G2487" s="40"/>
      <c r="H2487" s="632" t="s">
        <v>1116</v>
      </c>
      <c r="I2487" s="260">
        <v>1</v>
      </c>
      <c r="J2487" s="260">
        <v>17374</v>
      </c>
      <c r="K2487" s="618">
        <f t="shared" si="203"/>
        <v>17374</v>
      </c>
      <c r="L2487" s="52" t="s">
        <v>167</v>
      </c>
      <c r="M2487" s="52" t="s">
        <v>159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909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75" t="s">
        <v>1241</v>
      </c>
      <c r="E2488" s="898">
        <v>40894</v>
      </c>
      <c r="F2488" s="40" t="s">
        <v>621</v>
      </c>
      <c r="G2488" s="40"/>
      <c r="H2488" s="632" t="s">
        <v>1116</v>
      </c>
      <c r="I2488" s="260">
        <v>2</v>
      </c>
      <c r="J2488" s="260">
        <v>17374</v>
      </c>
      <c r="K2488" s="618">
        <f t="shared" si="203"/>
        <v>34748</v>
      </c>
      <c r="L2488" s="52" t="s">
        <v>167</v>
      </c>
      <c r="M2488" s="52" t="s">
        <v>159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909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75" t="s">
        <v>1241</v>
      </c>
      <c r="E2489" s="898">
        <v>40894</v>
      </c>
      <c r="F2489" s="40" t="s">
        <v>672</v>
      </c>
      <c r="G2489" s="40"/>
      <c r="H2489" s="632" t="s">
        <v>1116</v>
      </c>
      <c r="I2489" s="260">
        <v>5</v>
      </c>
      <c r="J2489" s="260">
        <v>16502</v>
      </c>
      <c r="K2489" s="618">
        <f t="shared" si="203"/>
        <v>82510</v>
      </c>
      <c r="L2489" s="52" t="s">
        <v>167</v>
      </c>
      <c r="M2489" s="52" t="s">
        <v>159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909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75" t="s">
        <v>1241</v>
      </c>
      <c r="E2490" s="898">
        <v>40894</v>
      </c>
      <c r="F2490" s="40" t="s">
        <v>668</v>
      </c>
      <c r="G2490" s="40"/>
      <c r="H2490" s="632" t="s">
        <v>1116</v>
      </c>
      <c r="I2490" s="260">
        <v>2</v>
      </c>
      <c r="J2490" s="260">
        <v>32878</v>
      </c>
      <c r="K2490" s="618">
        <f t="shared" si="203"/>
        <v>65756</v>
      </c>
      <c r="L2490" s="52" t="s">
        <v>167</v>
      </c>
      <c r="M2490" s="52" t="s">
        <v>159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909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75" t="s">
        <v>1241</v>
      </c>
      <c r="E2491" s="898">
        <v>40894</v>
      </c>
      <c r="F2491" s="189" t="s">
        <v>530</v>
      </c>
      <c r="G2491" s="40"/>
      <c r="H2491" s="632" t="s">
        <v>1116</v>
      </c>
      <c r="I2491" s="260">
        <v>1</v>
      </c>
      <c r="J2491" s="260">
        <v>8620</v>
      </c>
      <c r="K2491" s="618">
        <f t="shared" si="203"/>
        <v>8620</v>
      </c>
      <c r="L2491" s="52" t="s">
        <v>167</v>
      </c>
      <c r="M2491" s="52" t="s">
        <v>159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909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356</v>
      </c>
      <c r="E2492" s="911">
        <v>40896</v>
      </c>
      <c r="F2492" s="189" t="s">
        <v>358</v>
      </c>
      <c r="G2492" s="620" t="s">
        <v>353</v>
      </c>
      <c r="H2492" s="7" t="s">
        <v>758</v>
      </c>
      <c r="I2492" s="260"/>
      <c r="J2492" s="260"/>
      <c r="K2492" s="618">
        <v>18823000</v>
      </c>
      <c r="L2492" s="619" t="s">
        <v>24</v>
      </c>
      <c r="M2492" s="619" t="s">
        <v>274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909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693</v>
      </c>
      <c r="E2493" s="898">
        <v>40896</v>
      </c>
      <c r="F2493" s="192" t="s">
        <v>471</v>
      </c>
      <c r="G2493" s="502" t="s">
        <v>1370</v>
      </c>
      <c r="H2493" s="45" t="s">
        <v>474</v>
      </c>
      <c r="I2493" s="260"/>
      <c r="J2493" s="260"/>
      <c r="K2493" s="38">
        <v>318920</v>
      </c>
      <c r="L2493" s="194" t="s">
        <v>167</v>
      </c>
      <c r="M2493" s="194" t="s">
        <v>47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909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693</v>
      </c>
      <c r="E2494" s="898">
        <v>40896</v>
      </c>
      <c r="F2494" s="192" t="s">
        <v>472</v>
      </c>
      <c r="G2494" s="502" t="s">
        <v>1370</v>
      </c>
      <c r="H2494" s="45" t="s">
        <v>474</v>
      </c>
      <c r="I2494" s="260"/>
      <c r="J2494" s="260"/>
      <c r="K2494" s="38">
        <v>31892</v>
      </c>
      <c r="L2494" s="194" t="s">
        <v>9</v>
      </c>
      <c r="M2494" s="194" t="s">
        <v>47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909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999</v>
      </c>
      <c r="E2495" s="898">
        <v>40896</v>
      </c>
      <c r="F2495" s="192" t="s">
        <v>1372</v>
      </c>
      <c r="G2495" s="502" t="s">
        <v>1373</v>
      </c>
      <c r="H2495" s="7" t="s">
        <v>790</v>
      </c>
      <c r="I2495" s="260">
        <v>470</v>
      </c>
      <c r="J2495" s="260">
        <v>22000</v>
      </c>
      <c r="K2495" s="618">
        <v>10340000</v>
      </c>
      <c r="L2495" s="194" t="s">
        <v>274</v>
      </c>
      <c r="M2495" s="194" t="s">
        <v>181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909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999</v>
      </c>
      <c r="E2496" s="898">
        <v>40896</v>
      </c>
      <c r="F2496" s="192" t="s">
        <v>1368</v>
      </c>
      <c r="G2496" s="502" t="s">
        <v>1373</v>
      </c>
      <c r="H2496" s="7" t="s">
        <v>790</v>
      </c>
      <c r="I2496" s="260"/>
      <c r="J2496" s="260"/>
      <c r="K2496" s="618">
        <v>1034000</v>
      </c>
      <c r="L2496" s="194" t="s">
        <v>274</v>
      </c>
      <c r="M2496" s="194" t="s">
        <v>754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909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75" t="s">
        <v>1442</v>
      </c>
      <c r="E2497" s="898">
        <v>40896</v>
      </c>
      <c r="F2497" s="40" t="s">
        <v>662</v>
      </c>
      <c r="G2497" s="40"/>
      <c r="H2497" s="632" t="s">
        <v>1116</v>
      </c>
      <c r="I2497" s="260">
        <v>2</v>
      </c>
      <c r="J2497" s="260">
        <v>27283</v>
      </c>
      <c r="K2497" s="618">
        <f t="shared" ref="K2497:K2502" si="205">ROUND(I2497*J2497,0)</f>
        <v>54566</v>
      </c>
      <c r="L2497" s="52" t="s">
        <v>167</v>
      </c>
      <c r="M2497" s="52" t="s">
        <v>159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909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75" t="s">
        <v>1442</v>
      </c>
      <c r="E2498" s="898">
        <v>40896</v>
      </c>
      <c r="F2498" s="40" t="s">
        <v>679</v>
      </c>
      <c r="G2498" s="40"/>
      <c r="H2498" s="632" t="s">
        <v>1116</v>
      </c>
      <c r="I2498" s="260">
        <v>227</v>
      </c>
      <c r="J2498" s="260">
        <v>16631</v>
      </c>
      <c r="K2498" s="618">
        <f t="shared" si="205"/>
        <v>3775237</v>
      </c>
      <c r="L2498" s="52" t="s">
        <v>167</v>
      </c>
      <c r="M2498" s="52" t="s">
        <v>159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909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75" t="s">
        <v>1442</v>
      </c>
      <c r="E2499" s="898">
        <v>40896</v>
      </c>
      <c r="F2499" s="40" t="s">
        <v>679</v>
      </c>
      <c r="G2499" s="40"/>
      <c r="H2499" s="632" t="s">
        <v>1116</v>
      </c>
      <c r="I2499" s="260">
        <v>195</v>
      </c>
      <c r="J2499" s="260">
        <v>16631</v>
      </c>
      <c r="K2499" s="618">
        <f t="shared" si="205"/>
        <v>3243045</v>
      </c>
      <c r="L2499" s="52" t="s">
        <v>167</v>
      </c>
      <c r="M2499" s="52" t="s">
        <v>159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909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75" t="s">
        <v>1442</v>
      </c>
      <c r="E2500" s="898">
        <v>40896</v>
      </c>
      <c r="F2500" s="40" t="s">
        <v>668</v>
      </c>
      <c r="G2500" s="40"/>
      <c r="H2500" s="632" t="s">
        <v>1116</v>
      </c>
      <c r="I2500" s="260">
        <v>116</v>
      </c>
      <c r="J2500" s="260">
        <v>32878</v>
      </c>
      <c r="K2500" s="618">
        <f t="shared" si="205"/>
        <v>3813848</v>
      </c>
      <c r="L2500" s="52" t="s">
        <v>167</v>
      </c>
      <c r="M2500" s="52" t="s">
        <v>159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909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1428</v>
      </c>
      <c r="E2501" s="898">
        <v>40896</v>
      </c>
      <c r="F2501" s="460" t="s">
        <v>1372</v>
      </c>
      <c r="G2501" s="40"/>
      <c r="H2501" s="632" t="s">
        <v>1116</v>
      </c>
      <c r="I2501" s="260">
        <v>470</v>
      </c>
      <c r="J2501" s="260">
        <v>17737.506058185867</v>
      </c>
      <c r="K2501" s="618">
        <f t="shared" si="205"/>
        <v>8336628</v>
      </c>
      <c r="L2501" s="39" t="s">
        <v>169</v>
      </c>
      <c r="M2501" s="39" t="s">
        <v>167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909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999</v>
      </c>
      <c r="E2502" s="898">
        <v>40896</v>
      </c>
      <c r="F2502" s="192" t="s">
        <v>1372</v>
      </c>
      <c r="G2502" s="502" t="s">
        <v>1373</v>
      </c>
      <c r="H2502" s="7" t="s">
        <v>790</v>
      </c>
      <c r="I2502" s="260">
        <v>470</v>
      </c>
      <c r="J2502" s="260">
        <v>17737.506058185867</v>
      </c>
      <c r="K2502" s="881">
        <f t="shared" si="205"/>
        <v>8336628</v>
      </c>
      <c r="L2502" s="869" t="s">
        <v>179</v>
      </c>
      <c r="M2502" s="869" t="s">
        <v>169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909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1000</v>
      </c>
      <c r="E2503" s="898">
        <v>40897</v>
      </c>
      <c r="F2503" s="192" t="s">
        <v>1328</v>
      </c>
      <c r="G2503" s="502" t="s">
        <v>1376</v>
      </c>
      <c r="H2503" s="193" t="s">
        <v>756</v>
      </c>
      <c r="I2503" s="260">
        <v>2</v>
      </c>
      <c r="J2503" s="260">
        <v>9449</v>
      </c>
      <c r="K2503" s="618">
        <v>18898</v>
      </c>
      <c r="L2503" s="194" t="s">
        <v>274</v>
      </c>
      <c r="M2503" s="194" t="s">
        <v>181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909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1000</v>
      </c>
      <c r="E2504" s="898">
        <v>40897</v>
      </c>
      <c r="F2504" s="192" t="s">
        <v>1377</v>
      </c>
      <c r="G2504" s="502" t="s">
        <v>1376</v>
      </c>
      <c r="H2504" s="193" t="s">
        <v>756</v>
      </c>
      <c r="I2504" s="260">
        <v>5</v>
      </c>
      <c r="J2504" s="260">
        <v>8637</v>
      </c>
      <c r="K2504" s="618">
        <v>43185</v>
      </c>
      <c r="L2504" s="194" t="s">
        <v>274</v>
      </c>
      <c r="M2504" s="194" t="s">
        <v>181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909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1000</v>
      </c>
      <c r="E2505" s="898">
        <v>40897</v>
      </c>
      <c r="F2505" s="192" t="s">
        <v>771</v>
      </c>
      <c r="G2505" s="502" t="s">
        <v>1376</v>
      </c>
      <c r="H2505" s="193" t="s">
        <v>756</v>
      </c>
      <c r="I2505" s="260">
        <v>33</v>
      </c>
      <c r="J2505" s="260">
        <v>12946</v>
      </c>
      <c r="K2505" s="618">
        <v>427218</v>
      </c>
      <c r="L2505" s="194" t="s">
        <v>274</v>
      </c>
      <c r="M2505" s="194" t="s">
        <v>181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909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1000</v>
      </c>
      <c r="E2506" s="898">
        <v>40897</v>
      </c>
      <c r="F2506" s="192" t="s">
        <v>1378</v>
      </c>
      <c r="G2506" s="502" t="s">
        <v>1376</v>
      </c>
      <c r="H2506" s="193" t="s">
        <v>756</v>
      </c>
      <c r="I2506" s="260">
        <v>147</v>
      </c>
      <c r="J2506" s="260">
        <v>14013</v>
      </c>
      <c r="K2506" s="618">
        <v>2059911</v>
      </c>
      <c r="L2506" s="194" t="s">
        <v>274</v>
      </c>
      <c r="M2506" s="194" t="s">
        <v>181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909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1000</v>
      </c>
      <c r="E2507" s="898">
        <v>40897</v>
      </c>
      <c r="F2507" s="192" t="s">
        <v>1379</v>
      </c>
      <c r="G2507" s="502" t="s">
        <v>1376</v>
      </c>
      <c r="H2507" s="193" t="s">
        <v>756</v>
      </c>
      <c r="I2507" s="260">
        <v>52</v>
      </c>
      <c r="J2507" s="260">
        <v>17521</v>
      </c>
      <c r="K2507" s="618">
        <v>911092</v>
      </c>
      <c r="L2507" s="194" t="s">
        <v>274</v>
      </c>
      <c r="M2507" s="194" t="s">
        <v>181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909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1000</v>
      </c>
      <c r="E2508" s="898">
        <v>40897</v>
      </c>
      <c r="F2508" s="192" t="s">
        <v>1380</v>
      </c>
      <c r="G2508" s="502" t="s">
        <v>1376</v>
      </c>
      <c r="H2508" s="193" t="s">
        <v>756</v>
      </c>
      <c r="I2508" s="260">
        <v>61</v>
      </c>
      <c r="J2508" s="260">
        <v>18867</v>
      </c>
      <c r="K2508" s="618">
        <v>1150887</v>
      </c>
      <c r="L2508" s="194" t="s">
        <v>274</v>
      </c>
      <c r="M2508" s="194" t="s">
        <v>181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909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1000</v>
      </c>
      <c r="E2509" s="898">
        <v>40897</v>
      </c>
      <c r="F2509" s="192" t="s">
        <v>1381</v>
      </c>
      <c r="G2509" s="502" t="s">
        <v>1376</v>
      </c>
      <c r="H2509" s="193" t="s">
        <v>756</v>
      </c>
      <c r="I2509" s="260">
        <v>505</v>
      </c>
      <c r="J2509" s="260">
        <v>18984</v>
      </c>
      <c r="K2509" s="618">
        <v>9586920</v>
      </c>
      <c r="L2509" s="194" t="s">
        <v>274</v>
      </c>
      <c r="M2509" s="194" t="s">
        <v>181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909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1000</v>
      </c>
      <c r="E2510" s="898">
        <v>40897</v>
      </c>
      <c r="F2510" s="192" t="s">
        <v>1382</v>
      </c>
      <c r="G2510" s="502" t="s">
        <v>1376</v>
      </c>
      <c r="H2510" s="193" t="s">
        <v>756</v>
      </c>
      <c r="I2510" s="260">
        <v>61</v>
      </c>
      <c r="J2510" s="260">
        <v>12799</v>
      </c>
      <c r="K2510" s="618">
        <v>780739</v>
      </c>
      <c r="L2510" s="194" t="s">
        <v>274</v>
      </c>
      <c r="M2510" s="194" t="s">
        <v>181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909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1000</v>
      </c>
      <c r="E2511" s="898">
        <v>40897</v>
      </c>
      <c r="F2511" s="192" t="s">
        <v>770</v>
      </c>
      <c r="G2511" s="502" t="s">
        <v>1376</v>
      </c>
      <c r="H2511" s="193" t="s">
        <v>756</v>
      </c>
      <c r="I2511" s="260">
        <v>4</v>
      </c>
      <c r="J2511" s="260">
        <v>11321</v>
      </c>
      <c r="K2511" s="618">
        <v>45284</v>
      </c>
      <c r="L2511" s="194" t="s">
        <v>274</v>
      </c>
      <c r="M2511" s="194" t="s">
        <v>181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909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1000</v>
      </c>
      <c r="E2512" s="898">
        <v>40897</v>
      </c>
      <c r="F2512" s="192" t="s">
        <v>1383</v>
      </c>
      <c r="G2512" s="502" t="s">
        <v>1376</v>
      </c>
      <c r="H2512" s="193" t="s">
        <v>756</v>
      </c>
      <c r="I2512" s="260">
        <v>16</v>
      </c>
      <c r="J2512" s="260">
        <v>18928</v>
      </c>
      <c r="K2512" s="618">
        <v>302848</v>
      </c>
      <c r="L2512" s="194" t="s">
        <v>274</v>
      </c>
      <c r="M2512" s="194" t="s">
        <v>181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909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1000</v>
      </c>
      <c r="E2513" s="898">
        <v>40897</v>
      </c>
      <c r="F2513" s="192" t="s">
        <v>1384</v>
      </c>
      <c r="G2513" s="502" t="s">
        <v>1376</v>
      </c>
      <c r="H2513" s="193" t="s">
        <v>756</v>
      </c>
      <c r="I2513" s="260">
        <v>10</v>
      </c>
      <c r="J2513" s="260">
        <v>15524</v>
      </c>
      <c r="K2513" s="618">
        <v>155240</v>
      </c>
      <c r="L2513" s="194" t="s">
        <v>274</v>
      </c>
      <c r="M2513" s="194" t="s">
        <v>181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909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1000</v>
      </c>
      <c r="E2514" s="898">
        <v>40897</v>
      </c>
      <c r="F2514" s="192" t="s">
        <v>1385</v>
      </c>
      <c r="G2514" s="502" t="s">
        <v>1376</v>
      </c>
      <c r="H2514" s="193" t="s">
        <v>756</v>
      </c>
      <c r="I2514" s="260">
        <v>134</v>
      </c>
      <c r="J2514" s="260">
        <v>24159</v>
      </c>
      <c r="K2514" s="618">
        <v>3237306</v>
      </c>
      <c r="L2514" s="194" t="s">
        <v>274</v>
      </c>
      <c r="M2514" s="194" t="s">
        <v>181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909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1000</v>
      </c>
      <c r="E2515" s="898">
        <v>40897</v>
      </c>
      <c r="F2515" s="192" t="s">
        <v>1294</v>
      </c>
      <c r="G2515" s="502" t="s">
        <v>1376</v>
      </c>
      <c r="H2515" s="193" t="s">
        <v>756</v>
      </c>
      <c r="I2515" s="260">
        <v>223</v>
      </c>
      <c r="J2515" s="260">
        <v>14535</v>
      </c>
      <c r="K2515" s="618">
        <v>3241305</v>
      </c>
      <c r="L2515" s="194" t="s">
        <v>274</v>
      </c>
      <c r="M2515" s="194" t="s">
        <v>181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909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1000</v>
      </c>
      <c r="E2516" s="898">
        <v>40897</v>
      </c>
      <c r="F2516" s="192" t="s">
        <v>1386</v>
      </c>
      <c r="G2516" s="502" t="s">
        <v>1376</v>
      </c>
      <c r="H2516" s="193" t="s">
        <v>756</v>
      </c>
      <c r="I2516" s="260">
        <v>10</v>
      </c>
      <c r="J2516" s="260">
        <v>19562</v>
      </c>
      <c r="K2516" s="618">
        <v>195620</v>
      </c>
      <c r="L2516" s="194" t="s">
        <v>274</v>
      </c>
      <c r="M2516" s="194" t="s">
        <v>181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909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1000</v>
      </c>
      <c r="E2517" s="898">
        <v>40897</v>
      </c>
      <c r="F2517" s="192" t="s">
        <v>1291</v>
      </c>
      <c r="G2517" s="502" t="s">
        <v>1376</v>
      </c>
      <c r="H2517" s="193" t="s">
        <v>756</v>
      </c>
      <c r="I2517" s="260">
        <v>20</v>
      </c>
      <c r="J2517" s="260">
        <v>16832</v>
      </c>
      <c r="K2517" s="618">
        <v>336640</v>
      </c>
      <c r="L2517" s="194" t="s">
        <v>274</v>
      </c>
      <c r="M2517" s="194" t="s">
        <v>181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909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1000</v>
      </c>
      <c r="E2518" s="898">
        <v>40897</v>
      </c>
      <c r="F2518" s="192" t="s">
        <v>1322</v>
      </c>
      <c r="G2518" s="502" t="s">
        <v>1376</v>
      </c>
      <c r="H2518" s="193" t="s">
        <v>756</v>
      </c>
      <c r="I2518" s="260">
        <v>2</v>
      </c>
      <c r="J2518" s="260">
        <v>14836</v>
      </c>
      <c r="K2518" s="618">
        <v>29672</v>
      </c>
      <c r="L2518" s="194" t="s">
        <v>274</v>
      </c>
      <c r="M2518" s="194" t="s">
        <v>181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909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1000</v>
      </c>
      <c r="E2519" s="898">
        <v>40897</v>
      </c>
      <c r="F2519" s="192" t="s">
        <v>1387</v>
      </c>
      <c r="G2519" s="502" t="s">
        <v>1376</v>
      </c>
      <c r="H2519" s="193" t="s">
        <v>756</v>
      </c>
      <c r="I2519" s="260">
        <v>379</v>
      </c>
      <c r="J2519" s="260">
        <v>22739</v>
      </c>
      <c r="K2519" s="618">
        <v>8618081</v>
      </c>
      <c r="L2519" s="194" t="s">
        <v>274</v>
      </c>
      <c r="M2519" s="194" t="s">
        <v>181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909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1000</v>
      </c>
      <c r="E2520" s="898">
        <v>40897</v>
      </c>
      <c r="F2520" s="192" t="s">
        <v>1388</v>
      </c>
      <c r="G2520" s="502" t="s">
        <v>1376</v>
      </c>
      <c r="H2520" s="193" t="s">
        <v>756</v>
      </c>
      <c r="I2520" s="260">
        <v>82</v>
      </c>
      <c r="J2520" s="260">
        <v>23012</v>
      </c>
      <c r="K2520" s="618">
        <v>1886984</v>
      </c>
      <c r="L2520" s="194" t="s">
        <v>274</v>
      </c>
      <c r="M2520" s="194" t="s">
        <v>181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909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1000</v>
      </c>
      <c r="E2521" s="898">
        <v>40897</v>
      </c>
      <c r="F2521" s="192" t="s">
        <v>1389</v>
      </c>
      <c r="G2521" s="502" t="s">
        <v>1376</v>
      </c>
      <c r="H2521" s="193" t="s">
        <v>756</v>
      </c>
      <c r="I2521" s="260">
        <v>72</v>
      </c>
      <c r="J2521" s="260">
        <v>15805</v>
      </c>
      <c r="K2521" s="618">
        <v>1137960</v>
      </c>
      <c r="L2521" s="194" t="s">
        <v>274</v>
      </c>
      <c r="M2521" s="194" t="s">
        <v>181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909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1000</v>
      </c>
      <c r="E2522" s="898">
        <v>40897</v>
      </c>
      <c r="F2522" s="192" t="s">
        <v>1390</v>
      </c>
      <c r="G2522" s="502" t="s">
        <v>1376</v>
      </c>
      <c r="H2522" s="193" t="s">
        <v>756</v>
      </c>
      <c r="I2522" s="260">
        <v>52</v>
      </c>
      <c r="J2522" s="260">
        <v>15264</v>
      </c>
      <c r="K2522" s="618">
        <v>793728</v>
      </c>
      <c r="L2522" s="194" t="s">
        <v>274</v>
      </c>
      <c r="M2522" s="194" t="s">
        <v>181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909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1000</v>
      </c>
      <c r="E2523" s="898">
        <v>40897</v>
      </c>
      <c r="F2523" s="192" t="s">
        <v>1391</v>
      </c>
      <c r="G2523" s="502" t="s">
        <v>1376</v>
      </c>
      <c r="H2523" s="193" t="s">
        <v>756</v>
      </c>
      <c r="I2523" s="260">
        <v>51</v>
      </c>
      <c r="J2523" s="260">
        <v>16123</v>
      </c>
      <c r="K2523" s="618">
        <v>822273</v>
      </c>
      <c r="L2523" s="194" t="s">
        <v>274</v>
      </c>
      <c r="M2523" s="194" t="s">
        <v>181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909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1000</v>
      </c>
      <c r="E2524" s="898">
        <v>40897</v>
      </c>
      <c r="F2524" s="192" t="s">
        <v>1392</v>
      </c>
      <c r="G2524" s="502" t="s">
        <v>1376</v>
      </c>
      <c r="H2524" s="193" t="s">
        <v>756</v>
      </c>
      <c r="I2524" s="260">
        <v>51</v>
      </c>
      <c r="J2524" s="260">
        <v>19891</v>
      </c>
      <c r="K2524" s="618">
        <v>1014441</v>
      </c>
      <c r="L2524" s="194" t="s">
        <v>274</v>
      </c>
      <c r="M2524" s="194" t="s">
        <v>181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909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1000</v>
      </c>
      <c r="E2525" s="898">
        <v>40897</v>
      </c>
      <c r="F2525" s="192" t="s">
        <v>1393</v>
      </c>
      <c r="G2525" s="502" t="s">
        <v>1376</v>
      </c>
      <c r="H2525" s="193" t="s">
        <v>756</v>
      </c>
      <c r="I2525" s="260">
        <v>57</v>
      </c>
      <c r="J2525" s="260">
        <v>20859</v>
      </c>
      <c r="K2525" s="618">
        <v>1188963</v>
      </c>
      <c r="L2525" s="194" t="s">
        <v>274</v>
      </c>
      <c r="M2525" s="194" t="s">
        <v>181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909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1000</v>
      </c>
      <c r="E2526" s="898">
        <v>40897</v>
      </c>
      <c r="F2526" s="192" t="s">
        <v>1349</v>
      </c>
      <c r="G2526" s="502" t="s">
        <v>1376</v>
      </c>
      <c r="H2526" s="193" t="s">
        <v>756</v>
      </c>
      <c r="I2526" s="260">
        <v>150</v>
      </c>
      <c r="J2526" s="260">
        <v>963</v>
      </c>
      <c r="K2526" s="618">
        <v>144450</v>
      </c>
      <c r="L2526" s="194" t="s">
        <v>274</v>
      </c>
      <c r="M2526" s="194" t="s">
        <v>181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909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1000</v>
      </c>
      <c r="E2527" s="898">
        <v>40897</v>
      </c>
      <c r="F2527" s="192" t="s">
        <v>1340</v>
      </c>
      <c r="G2527" s="502" t="s">
        <v>1376</v>
      </c>
      <c r="H2527" s="193" t="s">
        <v>756</v>
      </c>
      <c r="I2527" s="260">
        <v>315</v>
      </c>
      <c r="J2527" s="260">
        <v>1025</v>
      </c>
      <c r="K2527" s="618">
        <v>322875</v>
      </c>
      <c r="L2527" s="194" t="s">
        <v>274</v>
      </c>
      <c r="M2527" s="194" t="s">
        <v>181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909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1000</v>
      </c>
      <c r="E2528" s="898">
        <v>40897</v>
      </c>
      <c r="F2528" s="192" t="s">
        <v>1342</v>
      </c>
      <c r="G2528" s="502" t="s">
        <v>1376</v>
      </c>
      <c r="H2528" s="193" t="s">
        <v>756</v>
      </c>
      <c r="I2528" s="260">
        <v>120</v>
      </c>
      <c r="J2528" s="260">
        <v>1152</v>
      </c>
      <c r="K2528" s="618">
        <v>138240</v>
      </c>
      <c r="L2528" s="194" t="s">
        <v>274</v>
      </c>
      <c r="M2528" s="194" t="s">
        <v>181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909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1000</v>
      </c>
      <c r="E2529" s="898">
        <v>40897</v>
      </c>
      <c r="F2529" s="192" t="s">
        <v>1339</v>
      </c>
      <c r="G2529" s="502" t="s">
        <v>1376</v>
      </c>
      <c r="H2529" s="193" t="s">
        <v>756</v>
      </c>
      <c r="I2529" s="260">
        <v>120</v>
      </c>
      <c r="J2529" s="260">
        <v>1087</v>
      </c>
      <c r="K2529" s="618">
        <v>130440</v>
      </c>
      <c r="L2529" s="194" t="s">
        <v>274</v>
      </c>
      <c r="M2529" s="194" t="s">
        <v>181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909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1000</v>
      </c>
      <c r="E2530" s="898">
        <v>40897</v>
      </c>
      <c r="F2530" s="192" t="s">
        <v>1394</v>
      </c>
      <c r="G2530" s="502" t="s">
        <v>1376</v>
      </c>
      <c r="H2530" s="193" t="s">
        <v>756</v>
      </c>
      <c r="I2530" s="260">
        <v>272</v>
      </c>
      <c r="J2530" s="260">
        <v>1254</v>
      </c>
      <c r="K2530" s="618">
        <v>341088</v>
      </c>
      <c r="L2530" s="194" t="s">
        <v>274</v>
      </c>
      <c r="M2530" s="194" t="s">
        <v>181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909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1000</v>
      </c>
      <c r="E2531" s="898">
        <v>40897</v>
      </c>
      <c r="F2531" s="192" t="s">
        <v>1348</v>
      </c>
      <c r="G2531" s="502" t="s">
        <v>1376</v>
      </c>
      <c r="H2531" s="193" t="s">
        <v>756</v>
      </c>
      <c r="I2531" s="260">
        <v>30</v>
      </c>
      <c r="J2531" s="260">
        <v>1384</v>
      </c>
      <c r="K2531" s="618">
        <v>41520</v>
      </c>
      <c r="L2531" s="194" t="s">
        <v>274</v>
      </c>
      <c r="M2531" s="194" t="s">
        <v>181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909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1000</v>
      </c>
      <c r="E2532" s="898">
        <v>40897</v>
      </c>
      <c r="F2532" s="192" t="s">
        <v>1395</v>
      </c>
      <c r="G2532" s="502" t="s">
        <v>1376</v>
      </c>
      <c r="H2532" s="193" t="s">
        <v>756</v>
      </c>
      <c r="I2532" s="260">
        <v>60</v>
      </c>
      <c r="J2532" s="260">
        <v>1220</v>
      </c>
      <c r="K2532" s="618">
        <v>73200</v>
      </c>
      <c r="L2532" s="194" t="s">
        <v>274</v>
      </c>
      <c r="M2532" s="194" t="s">
        <v>181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909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1000</v>
      </c>
      <c r="E2533" s="898">
        <v>40897</v>
      </c>
      <c r="F2533" s="192" t="s">
        <v>1344</v>
      </c>
      <c r="G2533" s="502" t="s">
        <v>1376</v>
      </c>
      <c r="H2533" s="193" t="s">
        <v>756</v>
      </c>
      <c r="I2533" s="260">
        <v>150</v>
      </c>
      <c r="J2533" s="260">
        <v>1463</v>
      </c>
      <c r="K2533" s="618">
        <v>219450</v>
      </c>
      <c r="L2533" s="194" t="s">
        <v>274</v>
      </c>
      <c r="M2533" s="194" t="s">
        <v>181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909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1000</v>
      </c>
      <c r="E2534" s="898">
        <v>40897</v>
      </c>
      <c r="F2534" s="192" t="s">
        <v>1345</v>
      </c>
      <c r="G2534" s="502" t="s">
        <v>1376</v>
      </c>
      <c r="H2534" s="193" t="s">
        <v>756</v>
      </c>
      <c r="I2534" s="260">
        <v>136</v>
      </c>
      <c r="J2534" s="260">
        <v>1288</v>
      </c>
      <c r="K2534" s="618">
        <v>175168</v>
      </c>
      <c r="L2534" s="194" t="s">
        <v>274</v>
      </c>
      <c r="M2534" s="194" t="s">
        <v>181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909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1000</v>
      </c>
      <c r="E2535" s="898">
        <v>40897</v>
      </c>
      <c r="F2535" s="192" t="s">
        <v>1347</v>
      </c>
      <c r="G2535" s="502" t="s">
        <v>1376</v>
      </c>
      <c r="H2535" s="193" t="s">
        <v>756</v>
      </c>
      <c r="I2535" s="260">
        <v>15</v>
      </c>
      <c r="J2535" s="260">
        <v>1581</v>
      </c>
      <c r="K2535" s="618">
        <v>23715</v>
      </c>
      <c r="L2535" s="194" t="s">
        <v>274</v>
      </c>
      <c r="M2535" s="194" t="s">
        <v>181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909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1000</v>
      </c>
      <c r="E2536" s="898">
        <v>40897</v>
      </c>
      <c r="F2536" s="192" t="s">
        <v>1343</v>
      </c>
      <c r="G2536" s="502" t="s">
        <v>1376</v>
      </c>
      <c r="H2536" s="193" t="s">
        <v>756</v>
      </c>
      <c r="I2536" s="260">
        <v>75</v>
      </c>
      <c r="J2536" s="260">
        <v>1660</v>
      </c>
      <c r="K2536" s="618">
        <v>124500</v>
      </c>
      <c r="L2536" s="194" t="s">
        <v>274</v>
      </c>
      <c r="M2536" s="194" t="s">
        <v>181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909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1000</v>
      </c>
      <c r="E2537" s="898">
        <v>40897</v>
      </c>
      <c r="F2537" s="192" t="s">
        <v>1200</v>
      </c>
      <c r="G2537" s="502" t="s">
        <v>1376</v>
      </c>
      <c r="H2537" s="193" t="s">
        <v>756</v>
      </c>
      <c r="I2537" s="260"/>
      <c r="J2537" s="260"/>
      <c r="K2537" s="618">
        <v>3971984</v>
      </c>
      <c r="L2537" s="194" t="s">
        <v>274</v>
      </c>
      <c r="M2537" s="194" t="s">
        <v>754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909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75" t="s">
        <v>1443</v>
      </c>
      <c r="E2538" s="898">
        <v>40897</v>
      </c>
      <c r="F2538" s="40" t="s">
        <v>679</v>
      </c>
      <c r="G2538" s="40"/>
      <c r="H2538" s="632" t="s">
        <v>1116</v>
      </c>
      <c r="I2538" s="260">
        <v>19</v>
      </c>
      <c r="J2538" s="260">
        <v>16631</v>
      </c>
      <c r="K2538" s="618">
        <f t="shared" ref="K2538:K2569" si="208">ROUND(I2538*J2538,0)</f>
        <v>315989</v>
      </c>
      <c r="L2538" s="52" t="s">
        <v>167</v>
      </c>
      <c r="M2538" s="52" t="s">
        <v>159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909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75" t="s">
        <v>1443</v>
      </c>
      <c r="E2539" s="898">
        <v>40897</v>
      </c>
      <c r="F2539" s="189" t="s">
        <v>530</v>
      </c>
      <c r="G2539" s="40"/>
      <c r="H2539" s="632" t="s">
        <v>1116</v>
      </c>
      <c r="I2539" s="260">
        <v>261</v>
      </c>
      <c r="J2539" s="260">
        <v>8620</v>
      </c>
      <c r="K2539" s="618">
        <f t="shared" si="208"/>
        <v>2249820</v>
      </c>
      <c r="L2539" s="52" t="s">
        <v>167</v>
      </c>
      <c r="M2539" s="52" t="s">
        <v>159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909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75" t="s">
        <v>1443</v>
      </c>
      <c r="E2540" s="898">
        <v>40897</v>
      </c>
      <c r="F2540" s="40" t="s">
        <v>666</v>
      </c>
      <c r="G2540" s="40"/>
      <c r="H2540" s="632" t="s">
        <v>1116</v>
      </c>
      <c r="I2540" s="260">
        <v>21</v>
      </c>
      <c r="J2540" s="260">
        <v>25631</v>
      </c>
      <c r="K2540" s="618">
        <f t="shared" si="208"/>
        <v>538251</v>
      </c>
      <c r="L2540" s="52" t="s">
        <v>167</v>
      </c>
      <c r="M2540" s="52" t="s">
        <v>159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909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75" t="s">
        <v>1443</v>
      </c>
      <c r="E2541" s="898">
        <v>40897</v>
      </c>
      <c r="F2541" s="40" t="s">
        <v>678</v>
      </c>
      <c r="G2541" s="40"/>
      <c r="H2541" s="632" t="s">
        <v>1116</v>
      </c>
      <c r="I2541" s="260">
        <v>535</v>
      </c>
      <c r="J2541" s="260">
        <v>13455</v>
      </c>
      <c r="K2541" s="618">
        <f t="shared" si="208"/>
        <v>7198425</v>
      </c>
      <c r="L2541" s="52" t="s">
        <v>167</v>
      </c>
      <c r="M2541" s="52" t="s">
        <v>159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909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75" t="s">
        <v>1443</v>
      </c>
      <c r="E2542" s="898">
        <v>40897</v>
      </c>
      <c r="F2542" s="40" t="s">
        <v>678</v>
      </c>
      <c r="G2542" s="40"/>
      <c r="H2542" s="632" t="s">
        <v>1116</v>
      </c>
      <c r="I2542" s="260">
        <v>276</v>
      </c>
      <c r="J2542" s="260">
        <v>13455</v>
      </c>
      <c r="K2542" s="618">
        <f t="shared" si="208"/>
        <v>3713580</v>
      </c>
      <c r="L2542" s="52" t="s">
        <v>167</v>
      </c>
      <c r="M2542" s="52" t="s">
        <v>159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909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75" t="s">
        <v>1443</v>
      </c>
      <c r="E2543" s="898">
        <v>40897</v>
      </c>
      <c r="F2543" s="40" t="s">
        <v>668</v>
      </c>
      <c r="G2543" s="40"/>
      <c r="H2543" s="632" t="s">
        <v>1116</v>
      </c>
      <c r="I2543" s="260">
        <v>24</v>
      </c>
      <c r="J2543" s="260">
        <v>32878</v>
      </c>
      <c r="K2543" s="618">
        <f t="shared" si="208"/>
        <v>789072</v>
      </c>
      <c r="L2543" s="52" t="s">
        <v>167</v>
      </c>
      <c r="M2543" s="52" t="s">
        <v>159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909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75" t="s">
        <v>1444</v>
      </c>
      <c r="E2544" s="898">
        <v>40897</v>
      </c>
      <c r="F2544" s="40" t="s">
        <v>679</v>
      </c>
      <c r="G2544" s="40"/>
      <c r="H2544" s="632" t="s">
        <v>1116</v>
      </c>
      <c r="I2544" s="260">
        <v>260</v>
      </c>
      <c r="J2544" s="260">
        <v>16631</v>
      </c>
      <c r="K2544" s="618">
        <f t="shared" si="208"/>
        <v>4324060</v>
      </c>
      <c r="L2544" s="52" t="s">
        <v>167</v>
      </c>
      <c r="M2544" s="52" t="s">
        <v>159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909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75" t="s">
        <v>1444</v>
      </c>
      <c r="E2545" s="898">
        <v>40897</v>
      </c>
      <c r="F2545" s="40" t="s">
        <v>662</v>
      </c>
      <c r="G2545" s="40"/>
      <c r="H2545" s="632" t="s">
        <v>1116</v>
      </c>
      <c r="I2545" s="260">
        <v>7</v>
      </c>
      <c r="J2545" s="260">
        <v>27283</v>
      </c>
      <c r="K2545" s="618">
        <f t="shared" si="208"/>
        <v>190981</v>
      </c>
      <c r="L2545" s="52" t="s">
        <v>167</v>
      </c>
      <c r="M2545" s="52" t="s">
        <v>159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909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75" t="s">
        <v>1444</v>
      </c>
      <c r="E2546" s="898">
        <v>40897</v>
      </c>
      <c r="F2546" s="40" t="s">
        <v>662</v>
      </c>
      <c r="G2546" s="40"/>
      <c r="H2546" s="632" t="s">
        <v>1116</v>
      </c>
      <c r="I2546" s="260">
        <v>1</v>
      </c>
      <c r="J2546" s="260">
        <v>27283</v>
      </c>
      <c r="K2546" s="618">
        <f t="shared" si="208"/>
        <v>27283</v>
      </c>
      <c r="L2546" s="52" t="s">
        <v>167</v>
      </c>
      <c r="M2546" s="52" t="s">
        <v>159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909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75" t="s">
        <v>1444</v>
      </c>
      <c r="E2547" s="898">
        <v>40897</v>
      </c>
      <c r="F2547" s="40" t="s">
        <v>663</v>
      </c>
      <c r="G2547" s="40"/>
      <c r="H2547" s="632" t="s">
        <v>1116</v>
      </c>
      <c r="I2547" s="260">
        <v>3</v>
      </c>
      <c r="J2547" s="260">
        <v>31752</v>
      </c>
      <c r="K2547" s="618">
        <f t="shared" si="208"/>
        <v>95256</v>
      </c>
      <c r="L2547" s="52" t="s">
        <v>167</v>
      </c>
      <c r="M2547" s="52" t="s">
        <v>159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909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75" t="s">
        <v>1444</v>
      </c>
      <c r="E2548" s="898">
        <v>40897</v>
      </c>
      <c r="F2548" s="189" t="s">
        <v>530</v>
      </c>
      <c r="G2548" s="40"/>
      <c r="H2548" s="632" t="s">
        <v>1116</v>
      </c>
      <c r="I2548" s="260">
        <v>27</v>
      </c>
      <c r="J2548" s="260">
        <v>8620</v>
      </c>
      <c r="K2548" s="618">
        <f t="shared" si="208"/>
        <v>232740</v>
      </c>
      <c r="L2548" s="52" t="s">
        <v>167</v>
      </c>
      <c r="M2548" s="52" t="s">
        <v>159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909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75" t="s">
        <v>1444</v>
      </c>
      <c r="E2549" s="898">
        <v>40897</v>
      </c>
      <c r="F2549" s="40" t="s">
        <v>662</v>
      </c>
      <c r="G2549" s="40"/>
      <c r="H2549" s="632" t="s">
        <v>1116</v>
      </c>
      <c r="I2549" s="260">
        <v>9</v>
      </c>
      <c r="J2549" s="260">
        <v>27283</v>
      </c>
      <c r="K2549" s="618">
        <f t="shared" si="208"/>
        <v>245547</v>
      </c>
      <c r="L2549" s="52" t="s">
        <v>167</v>
      </c>
      <c r="M2549" s="52" t="s">
        <v>159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909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1429</v>
      </c>
      <c r="E2550" s="898">
        <v>40897</v>
      </c>
      <c r="F2550" s="40" t="s">
        <v>1328</v>
      </c>
      <c r="G2550" s="40"/>
      <c r="H2550" s="632" t="s">
        <v>1116</v>
      </c>
      <c r="I2550" s="260">
        <v>2</v>
      </c>
      <c r="J2550" s="260">
        <v>10011.508185845443</v>
      </c>
      <c r="K2550" s="618">
        <f t="shared" si="208"/>
        <v>20023</v>
      </c>
      <c r="L2550" s="39" t="s">
        <v>169</v>
      </c>
      <c r="M2550" s="39" t="s">
        <v>167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909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1429</v>
      </c>
      <c r="E2551" s="898">
        <v>40897</v>
      </c>
      <c r="F2551" s="40" t="s">
        <v>1377</v>
      </c>
      <c r="G2551" s="40"/>
      <c r="H2551" s="632" t="s">
        <v>1116</v>
      </c>
      <c r="I2551" s="260">
        <v>5</v>
      </c>
      <c r="J2551" s="260">
        <v>7873.9081858454419</v>
      </c>
      <c r="K2551" s="618">
        <f t="shared" si="208"/>
        <v>39370</v>
      </c>
      <c r="L2551" s="39" t="s">
        <v>169</v>
      </c>
      <c r="M2551" s="39" t="s">
        <v>167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909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1429</v>
      </c>
      <c r="E2552" s="898">
        <v>40897</v>
      </c>
      <c r="F2552" s="40" t="s">
        <v>771</v>
      </c>
      <c r="G2552" s="40"/>
      <c r="H2552" s="632" t="s">
        <v>1116</v>
      </c>
      <c r="I2552" s="260">
        <v>33</v>
      </c>
      <c r="J2552" s="260">
        <v>11882.477882815141</v>
      </c>
      <c r="K2552" s="618">
        <f t="shared" si="208"/>
        <v>392122</v>
      </c>
      <c r="L2552" s="39" t="s">
        <v>169</v>
      </c>
      <c r="M2552" s="39" t="s">
        <v>167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909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1429</v>
      </c>
      <c r="E2553" s="898">
        <v>40897</v>
      </c>
      <c r="F2553" s="40" t="s">
        <v>1378</v>
      </c>
      <c r="G2553" s="40"/>
      <c r="H2553" s="632" t="s">
        <v>1116</v>
      </c>
      <c r="I2553" s="260">
        <v>147</v>
      </c>
      <c r="J2553" s="260">
        <v>14753.501383124356</v>
      </c>
      <c r="K2553" s="618">
        <f t="shared" si="208"/>
        <v>2168765</v>
      </c>
      <c r="L2553" s="39" t="s">
        <v>169</v>
      </c>
      <c r="M2553" s="39" t="s">
        <v>167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909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1429</v>
      </c>
      <c r="E2554" s="898">
        <v>40897</v>
      </c>
      <c r="F2554" s="40" t="s">
        <v>1379</v>
      </c>
      <c r="G2554" s="40"/>
      <c r="H2554" s="632" t="s">
        <v>1116</v>
      </c>
      <c r="I2554" s="260">
        <v>52</v>
      </c>
      <c r="J2554" s="260">
        <v>14753.488955076211</v>
      </c>
      <c r="K2554" s="618">
        <f t="shared" si="208"/>
        <v>767181</v>
      </c>
      <c r="L2554" s="39" t="s">
        <v>169</v>
      </c>
      <c r="M2554" s="39" t="s">
        <v>167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909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1429</v>
      </c>
      <c r="E2555" s="898">
        <v>40897</v>
      </c>
      <c r="F2555" s="40" t="s">
        <v>1380</v>
      </c>
      <c r="G2555" s="40"/>
      <c r="H2555" s="632" t="s">
        <v>1116</v>
      </c>
      <c r="I2555" s="260">
        <v>61</v>
      </c>
      <c r="J2555" s="260">
        <v>17800.49179240282</v>
      </c>
      <c r="K2555" s="618">
        <f t="shared" si="208"/>
        <v>1085830</v>
      </c>
      <c r="L2555" s="39" t="s">
        <v>169</v>
      </c>
      <c r="M2555" s="39" t="s">
        <v>167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909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1429</v>
      </c>
      <c r="E2556" s="898">
        <v>40897</v>
      </c>
      <c r="F2556" s="40" t="s">
        <v>1381</v>
      </c>
      <c r="G2556" s="40"/>
      <c r="H2556" s="632" t="s">
        <v>1116</v>
      </c>
      <c r="I2556" s="260">
        <v>505</v>
      </c>
      <c r="J2556" s="260">
        <v>17929.50620564742</v>
      </c>
      <c r="K2556" s="618">
        <f t="shared" si="208"/>
        <v>9054401</v>
      </c>
      <c r="L2556" s="39" t="s">
        <v>169</v>
      </c>
      <c r="M2556" s="39" t="s">
        <v>167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909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1429</v>
      </c>
      <c r="E2557" s="898">
        <v>40897</v>
      </c>
      <c r="F2557" s="40" t="s">
        <v>1382</v>
      </c>
      <c r="G2557" s="40"/>
      <c r="H2557" s="632" t="s">
        <v>1116</v>
      </c>
      <c r="I2557" s="260">
        <v>61</v>
      </c>
      <c r="J2557" s="260">
        <v>11252.49179240282</v>
      </c>
      <c r="K2557" s="618">
        <f t="shared" si="208"/>
        <v>686402</v>
      </c>
      <c r="L2557" s="39" t="s">
        <v>169</v>
      </c>
      <c r="M2557" s="39" t="s">
        <v>167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909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1429</v>
      </c>
      <c r="E2558" s="898">
        <v>40897</v>
      </c>
      <c r="F2558" s="40" t="s">
        <v>770</v>
      </c>
      <c r="G2558" s="40"/>
      <c r="H2558" s="632" t="s">
        <v>1116</v>
      </c>
      <c r="I2558" s="260">
        <v>4</v>
      </c>
      <c r="J2558" s="260">
        <v>10011.758185845443</v>
      </c>
      <c r="K2558" s="618">
        <f t="shared" si="208"/>
        <v>40047</v>
      </c>
      <c r="L2558" s="39" t="s">
        <v>169</v>
      </c>
      <c r="M2558" s="39" t="s">
        <v>167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909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1430</v>
      </c>
      <c r="E2559" s="898">
        <v>40897</v>
      </c>
      <c r="F2559" s="40" t="s">
        <v>1383</v>
      </c>
      <c r="G2559" s="40"/>
      <c r="H2559" s="632" t="s">
        <v>1116</v>
      </c>
      <c r="I2559" s="260">
        <v>16</v>
      </c>
      <c r="J2559" s="260">
        <v>18725.445685845447</v>
      </c>
      <c r="K2559" s="618">
        <f t="shared" si="208"/>
        <v>299607</v>
      </c>
      <c r="L2559" s="39" t="s">
        <v>169</v>
      </c>
      <c r="M2559" s="39" t="s">
        <v>167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909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1430</v>
      </c>
      <c r="E2560" s="898">
        <v>40897</v>
      </c>
      <c r="F2560" s="40" t="s">
        <v>1384</v>
      </c>
      <c r="G2560" s="40"/>
      <c r="H2560" s="632" t="s">
        <v>1116</v>
      </c>
      <c r="I2560" s="260">
        <v>10</v>
      </c>
      <c r="J2560" s="260">
        <v>16741.408185845445</v>
      </c>
      <c r="K2560" s="618">
        <f t="shared" si="208"/>
        <v>167414</v>
      </c>
      <c r="L2560" s="39" t="s">
        <v>169</v>
      </c>
      <c r="M2560" s="39" t="s">
        <v>167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909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1430</v>
      </c>
      <c r="E2561" s="898">
        <v>40897</v>
      </c>
      <c r="F2561" s="40" t="s">
        <v>1385</v>
      </c>
      <c r="G2561" s="40"/>
      <c r="H2561" s="632" t="s">
        <v>1116</v>
      </c>
      <c r="I2561" s="260">
        <v>134</v>
      </c>
      <c r="J2561" s="260">
        <v>21727.829081367832</v>
      </c>
      <c r="K2561" s="618">
        <f t="shared" si="208"/>
        <v>2911529</v>
      </c>
      <c r="L2561" s="39" t="s">
        <v>169</v>
      </c>
      <c r="M2561" s="39" t="s">
        <v>167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909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1430</v>
      </c>
      <c r="E2562" s="898">
        <v>40897</v>
      </c>
      <c r="F2562" s="40" t="s">
        <v>1294</v>
      </c>
      <c r="G2562" s="40"/>
      <c r="H2562" s="632" t="s">
        <v>1116</v>
      </c>
      <c r="I2562" s="260">
        <v>223</v>
      </c>
      <c r="J2562" s="260">
        <v>14753.503701540511</v>
      </c>
      <c r="K2562" s="618">
        <f t="shared" si="208"/>
        <v>3290031</v>
      </c>
      <c r="L2562" s="39" t="s">
        <v>169</v>
      </c>
      <c r="M2562" s="39" t="s">
        <v>167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909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1430</v>
      </c>
      <c r="E2563" s="898">
        <v>40897</v>
      </c>
      <c r="F2563" s="40" t="s">
        <v>1386</v>
      </c>
      <c r="G2563" s="40"/>
      <c r="H2563" s="632" t="s">
        <v>1116</v>
      </c>
      <c r="I2563" s="260">
        <v>10</v>
      </c>
      <c r="J2563" s="260">
        <v>18672.408185845445</v>
      </c>
      <c r="K2563" s="618">
        <f t="shared" si="208"/>
        <v>186724</v>
      </c>
      <c r="L2563" s="39" t="s">
        <v>169</v>
      </c>
      <c r="M2563" s="39" t="s">
        <v>167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909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1430</v>
      </c>
      <c r="E2564" s="898">
        <v>40897</v>
      </c>
      <c r="F2564" s="40" t="s">
        <v>1291</v>
      </c>
      <c r="G2564" s="40"/>
      <c r="H2564" s="632" t="s">
        <v>1116</v>
      </c>
      <c r="I2564" s="260">
        <v>20</v>
      </c>
      <c r="J2564" s="260">
        <v>16741.458185845444</v>
      </c>
      <c r="K2564" s="618">
        <f t="shared" si="208"/>
        <v>334829</v>
      </c>
      <c r="L2564" s="39" t="s">
        <v>169</v>
      </c>
      <c r="M2564" s="39" t="s">
        <v>167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909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1431</v>
      </c>
      <c r="E2565" s="191">
        <v>40897</v>
      </c>
      <c r="F2565" s="40" t="s">
        <v>1322</v>
      </c>
      <c r="G2565" s="40"/>
      <c r="H2565" s="632" t="s">
        <v>1116</v>
      </c>
      <c r="I2565" s="260">
        <v>2</v>
      </c>
      <c r="J2565" s="260">
        <v>14753.008185845443</v>
      </c>
      <c r="K2565" s="618">
        <f t="shared" si="208"/>
        <v>29506</v>
      </c>
      <c r="L2565" s="39" t="s">
        <v>169</v>
      </c>
      <c r="M2565" s="39" t="s">
        <v>167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909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1431</v>
      </c>
      <c r="E2566" s="191">
        <v>40897</v>
      </c>
      <c r="F2566" s="40" t="s">
        <v>1387</v>
      </c>
      <c r="G2566" s="40"/>
      <c r="H2566" s="632" t="s">
        <v>1116</v>
      </c>
      <c r="I2566" s="260">
        <v>379</v>
      </c>
      <c r="J2566" s="260">
        <v>18672.505547323013</v>
      </c>
      <c r="K2566" s="618">
        <f t="shared" si="208"/>
        <v>7076880</v>
      </c>
      <c r="L2566" s="39" t="s">
        <v>169</v>
      </c>
      <c r="M2566" s="39" t="s">
        <v>167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909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1431</v>
      </c>
      <c r="E2567" s="191">
        <v>40897</v>
      </c>
      <c r="F2567" s="40" t="s">
        <v>1388</v>
      </c>
      <c r="G2567" s="40"/>
      <c r="H2567" s="632" t="s">
        <v>1116</v>
      </c>
      <c r="I2567" s="260">
        <v>82</v>
      </c>
      <c r="J2567" s="260">
        <v>17929.495990723492</v>
      </c>
      <c r="K2567" s="618">
        <f t="shared" si="208"/>
        <v>1470219</v>
      </c>
      <c r="L2567" s="39" t="s">
        <v>169</v>
      </c>
      <c r="M2567" s="39" t="s">
        <v>167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909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1431</v>
      </c>
      <c r="E2568" s="191">
        <v>40897</v>
      </c>
      <c r="F2568" s="40" t="s">
        <v>1389</v>
      </c>
      <c r="G2568" s="40"/>
      <c r="H2568" s="632" t="s">
        <v>1116</v>
      </c>
      <c r="I2568" s="260">
        <v>72</v>
      </c>
      <c r="J2568" s="260">
        <v>14753.494296956553</v>
      </c>
      <c r="K2568" s="618">
        <f t="shared" si="208"/>
        <v>1062252</v>
      </c>
      <c r="L2568" s="39" t="s">
        <v>169</v>
      </c>
      <c r="M2568" s="39" t="s">
        <v>167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909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1431</v>
      </c>
      <c r="E2569" s="191">
        <v>40897</v>
      </c>
      <c r="F2569" s="40" t="s">
        <v>1390</v>
      </c>
      <c r="G2569" s="40"/>
      <c r="H2569" s="632" t="s">
        <v>1116</v>
      </c>
      <c r="I2569" s="260">
        <v>52</v>
      </c>
      <c r="J2569" s="260">
        <v>14753.488955076211</v>
      </c>
      <c r="K2569" s="618">
        <f t="shared" si="208"/>
        <v>767181</v>
      </c>
      <c r="L2569" s="39" t="s">
        <v>169</v>
      </c>
      <c r="M2569" s="39" t="s">
        <v>167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909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1431</v>
      </c>
      <c r="E2570" s="191">
        <v>40897</v>
      </c>
      <c r="F2570" s="40" t="s">
        <v>1391</v>
      </c>
      <c r="G2570" s="40"/>
      <c r="H2570" s="632" t="s">
        <v>1116</v>
      </c>
      <c r="I2570" s="260">
        <v>51</v>
      </c>
      <c r="J2570" s="260">
        <v>14753.488578002303</v>
      </c>
      <c r="K2570" s="618">
        <f t="shared" ref="K2570:K2601" si="210">ROUND(I2570*J2570,0)</f>
        <v>752428</v>
      </c>
      <c r="L2570" s="39" t="s">
        <v>169</v>
      </c>
      <c r="M2570" s="39" t="s">
        <v>167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09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1431</v>
      </c>
      <c r="E2571" s="191">
        <v>40897</v>
      </c>
      <c r="F2571" s="40" t="s">
        <v>1392</v>
      </c>
      <c r="G2571" s="40"/>
      <c r="H2571" s="632" t="s">
        <v>1116</v>
      </c>
      <c r="I2571" s="260">
        <v>51</v>
      </c>
      <c r="J2571" s="260">
        <v>17737.488578002303</v>
      </c>
      <c r="K2571" s="618">
        <f t="shared" si="210"/>
        <v>904612</v>
      </c>
      <c r="L2571" s="39" t="s">
        <v>169</v>
      </c>
      <c r="M2571" s="39" t="s">
        <v>167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09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1431</v>
      </c>
      <c r="E2572" s="191">
        <v>40897</v>
      </c>
      <c r="F2572" s="40" t="s">
        <v>1393</v>
      </c>
      <c r="G2572" s="40"/>
      <c r="H2572" s="632" t="s">
        <v>1116</v>
      </c>
      <c r="I2572" s="260">
        <v>57</v>
      </c>
      <c r="J2572" s="260">
        <v>17737.490641985794</v>
      </c>
      <c r="K2572" s="618">
        <f t="shared" si="210"/>
        <v>1011037</v>
      </c>
      <c r="L2572" s="39" t="s">
        <v>169</v>
      </c>
      <c r="M2572" s="39" t="s">
        <v>167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09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1432</v>
      </c>
      <c r="E2573" s="191">
        <v>40897</v>
      </c>
      <c r="F2573" s="40" t="s">
        <v>1349</v>
      </c>
      <c r="G2573" s="40"/>
      <c r="H2573" s="632" t="s">
        <v>1116</v>
      </c>
      <c r="I2573" s="260">
        <v>150</v>
      </c>
      <c r="J2573" s="260">
        <v>1530.1548525121093</v>
      </c>
      <c r="K2573" s="618">
        <f t="shared" si="210"/>
        <v>229523</v>
      </c>
      <c r="L2573" s="39" t="s">
        <v>169</v>
      </c>
      <c r="M2573" s="39" t="s">
        <v>167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09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1432</v>
      </c>
      <c r="E2574" s="191">
        <v>40897</v>
      </c>
      <c r="F2574" s="40" t="s">
        <v>1340</v>
      </c>
      <c r="G2574" s="40"/>
      <c r="H2574" s="632" t="s">
        <v>1116</v>
      </c>
      <c r="I2574" s="260">
        <v>315</v>
      </c>
      <c r="J2574" s="260">
        <v>1641.6827890200459</v>
      </c>
      <c r="K2574" s="618">
        <f t="shared" si="210"/>
        <v>517130</v>
      </c>
      <c r="L2574" s="39" t="s">
        <v>169</v>
      </c>
      <c r="M2574" s="39" t="s">
        <v>167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09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1432</v>
      </c>
      <c r="E2575" s="191">
        <v>40897</v>
      </c>
      <c r="F2575" s="40" t="s">
        <v>1342</v>
      </c>
      <c r="G2575" s="40"/>
      <c r="H2575" s="632" t="s">
        <v>1116</v>
      </c>
      <c r="I2575" s="260">
        <v>120</v>
      </c>
      <c r="J2575" s="260">
        <v>1877.6331858454428</v>
      </c>
      <c r="K2575" s="618">
        <f t="shared" si="210"/>
        <v>225316</v>
      </c>
      <c r="L2575" s="39" t="s">
        <v>169</v>
      </c>
      <c r="M2575" s="39" t="s">
        <v>167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09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1432</v>
      </c>
      <c r="E2576" s="191">
        <v>40897</v>
      </c>
      <c r="F2576" s="40" t="s">
        <v>1339</v>
      </c>
      <c r="G2576" s="40"/>
      <c r="H2576" s="632" t="s">
        <v>1116</v>
      </c>
      <c r="I2576" s="260">
        <v>120</v>
      </c>
      <c r="J2576" s="260">
        <v>1877.6331858454428</v>
      </c>
      <c r="K2576" s="618">
        <f t="shared" si="210"/>
        <v>225316</v>
      </c>
      <c r="L2576" s="39" t="s">
        <v>169</v>
      </c>
      <c r="M2576" s="39" t="s">
        <v>167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09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1432</v>
      </c>
      <c r="E2577" s="191">
        <v>40897</v>
      </c>
      <c r="F2577" s="40" t="s">
        <v>1394</v>
      </c>
      <c r="G2577" s="40"/>
      <c r="H2577" s="632" t="s">
        <v>1116</v>
      </c>
      <c r="I2577" s="260">
        <v>272</v>
      </c>
      <c r="J2577" s="260">
        <v>2154.1662740807369</v>
      </c>
      <c r="K2577" s="618">
        <f t="shared" si="210"/>
        <v>585933</v>
      </c>
      <c r="L2577" s="39" t="s">
        <v>169</v>
      </c>
      <c r="M2577" s="39" t="s">
        <v>167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09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1432</v>
      </c>
      <c r="E2578" s="191">
        <v>40897</v>
      </c>
      <c r="F2578" s="40" t="s">
        <v>1348</v>
      </c>
      <c r="G2578" s="40"/>
      <c r="H2578" s="632" t="s">
        <v>1116</v>
      </c>
      <c r="I2578" s="260">
        <v>30</v>
      </c>
      <c r="J2578" s="260">
        <v>1877.6081858454427</v>
      </c>
      <c r="K2578" s="618">
        <f t="shared" si="210"/>
        <v>56328</v>
      </c>
      <c r="L2578" s="39" t="s">
        <v>169</v>
      </c>
      <c r="M2578" s="39" t="s">
        <v>167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09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1432</v>
      </c>
      <c r="E2579" s="191">
        <v>40897</v>
      </c>
      <c r="F2579" s="40" t="s">
        <v>1395</v>
      </c>
      <c r="G2579" s="40"/>
      <c r="H2579" s="632" t="s">
        <v>1116</v>
      </c>
      <c r="I2579" s="260">
        <v>60</v>
      </c>
      <c r="J2579" s="260">
        <v>1877.6248525121093</v>
      </c>
      <c r="K2579" s="618">
        <f t="shared" si="210"/>
        <v>112657</v>
      </c>
      <c r="L2579" s="39" t="s">
        <v>169</v>
      </c>
      <c r="M2579" s="39" t="s">
        <v>167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909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1433</v>
      </c>
      <c r="E2580" s="191">
        <v>40897</v>
      </c>
      <c r="F2580" s="40" t="s">
        <v>1344</v>
      </c>
      <c r="G2580" s="40"/>
      <c r="H2580" s="632" t="s">
        <v>1116</v>
      </c>
      <c r="I2580" s="260">
        <v>150</v>
      </c>
      <c r="J2580" s="260">
        <v>1848.5681858454427</v>
      </c>
      <c r="K2580" s="618">
        <f t="shared" si="210"/>
        <v>277285</v>
      </c>
      <c r="L2580" s="39" t="s">
        <v>169</v>
      </c>
      <c r="M2580" s="39" t="s">
        <v>167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909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1433</v>
      </c>
      <c r="E2581" s="191">
        <v>40897</v>
      </c>
      <c r="F2581" s="40" t="s">
        <v>1345</v>
      </c>
      <c r="G2581" s="40"/>
      <c r="H2581" s="632" t="s">
        <v>1116</v>
      </c>
      <c r="I2581" s="260">
        <v>136</v>
      </c>
      <c r="J2581" s="260">
        <v>1782.0008329042664</v>
      </c>
      <c r="K2581" s="618">
        <f t="shared" si="210"/>
        <v>242352</v>
      </c>
      <c r="L2581" s="39" t="s">
        <v>169</v>
      </c>
      <c r="M2581" s="39" t="s">
        <v>167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09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1433</v>
      </c>
      <c r="E2582" s="191">
        <v>40897</v>
      </c>
      <c r="F2582" s="40" t="s">
        <v>1347</v>
      </c>
      <c r="G2582" s="40"/>
      <c r="H2582" s="632" t="s">
        <v>1116</v>
      </c>
      <c r="I2582" s="260">
        <v>15</v>
      </c>
      <c r="J2582" s="260">
        <v>1873.1081858454427</v>
      </c>
      <c r="K2582" s="618">
        <f t="shared" si="210"/>
        <v>28097</v>
      </c>
      <c r="L2582" s="39" t="s">
        <v>169</v>
      </c>
      <c r="M2582" s="39" t="s">
        <v>167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09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1433</v>
      </c>
      <c r="E2583" s="191">
        <v>40897</v>
      </c>
      <c r="F2583" s="40" t="s">
        <v>1343</v>
      </c>
      <c r="G2583" s="40"/>
      <c r="H2583" s="632" t="s">
        <v>1116</v>
      </c>
      <c r="I2583" s="260">
        <v>75</v>
      </c>
      <c r="J2583" s="260">
        <v>2026.0415191787761</v>
      </c>
      <c r="K2583" s="618">
        <f t="shared" si="210"/>
        <v>151953</v>
      </c>
      <c r="L2583" s="39" t="s">
        <v>169</v>
      </c>
      <c r="M2583" s="39" t="s">
        <v>167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09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1000</v>
      </c>
      <c r="E2584" s="191">
        <v>40897</v>
      </c>
      <c r="F2584" s="192" t="s">
        <v>1328</v>
      </c>
      <c r="G2584" s="502" t="s">
        <v>1376</v>
      </c>
      <c r="H2584" s="193" t="s">
        <v>756</v>
      </c>
      <c r="I2584" s="260">
        <v>2</v>
      </c>
      <c r="J2584" s="260">
        <v>10011.508185845443</v>
      </c>
      <c r="K2584" s="881">
        <f t="shared" si="210"/>
        <v>20023</v>
      </c>
      <c r="L2584" s="869" t="s">
        <v>179</v>
      </c>
      <c r="M2584" s="869" t="s">
        <v>169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09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1000</v>
      </c>
      <c r="E2585" s="191">
        <v>40897</v>
      </c>
      <c r="F2585" s="192" t="s">
        <v>1377</v>
      </c>
      <c r="G2585" s="502" t="s">
        <v>1376</v>
      </c>
      <c r="H2585" s="193" t="s">
        <v>756</v>
      </c>
      <c r="I2585" s="260">
        <v>5</v>
      </c>
      <c r="J2585" s="260">
        <v>7873.9081858454419</v>
      </c>
      <c r="K2585" s="881">
        <f t="shared" si="210"/>
        <v>39370</v>
      </c>
      <c r="L2585" s="869" t="s">
        <v>179</v>
      </c>
      <c r="M2585" s="869" t="s">
        <v>169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09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1000</v>
      </c>
      <c r="E2586" s="191">
        <v>40897</v>
      </c>
      <c r="F2586" s="192" t="s">
        <v>771</v>
      </c>
      <c r="G2586" s="502" t="s">
        <v>1376</v>
      </c>
      <c r="H2586" s="193" t="s">
        <v>756</v>
      </c>
      <c r="I2586" s="260">
        <v>33</v>
      </c>
      <c r="J2586" s="260">
        <v>11882.477882815141</v>
      </c>
      <c r="K2586" s="881">
        <f t="shared" si="210"/>
        <v>392122</v>
      </c>
      <c r="L2586" s="869" t="s">
        <v>179</v>
      </c>
      <c r="M2586" s="869" t="s">
        <v>169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09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1000</v>
      </c>
      <c r="E2587" s="191">
        <v>40897</v>
      </c>
      <c r="F2587" s="192" t="s">
        <v>1378</v>
      </c>
      <c r="G2587" s="502" t="s">
        <v>1376</v>
      </c>
      <c r="H2587" s="193" t="s">
        <v>756</v>
      </c>
      <c r="I2587" s="260">
        <v>147</v>
      </c>
      <c r="J2587" s="260">
        <v>14753.501383124356</v>
      </c>
      <c r="K2587" s="881">
        <f t="shared" si="210"/>
        <v>2168765</v>
      </c>
      <c r="L2587" s="869" t="s">
        <v>179</v>
      </c>
      <c r="M2587" s="869" t="s">
        <v>169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09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1000</v>
      </c>
      <c r="E2588" s="191">
        <v>40897</v>
      </c>
      <c r="F2588" s="192" t="s">
        <v>1379</v>
      </c>
      <c r="G2588" s="502" t="s">
        <v>1376</v>
      </c>
      <c r="H2588" s="193" t="s">
        <v>756</v>
      </c>
      <c r="I2588" s="260">
        <v>52</v>
      </c>
      <c r="J2588" s="260">
        <v>14753.488955076211</v>
      </c>
      <c r="K2588" s="881">
        <f t="shared" si="210"/>
        <v>767181</v>
      </c>
      <c r="L2588" s="869" t="s">
        <v>179</v>
      </c>
      <c r="M2588" s="869" t="s">
        <v>169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09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1000</v>
      </c>
      <c r="E2589" s="191">
        <v>40897</v>
      </c>
      <c r="F2589" s="192" t="s">
        <v>1380</v>
      </c>
      <c r="G2589" s="502" t="s">
        <v>1376</v>
      </c>
      <c r="H2589" s="193" t="s">
        <v>756</v>
      </c>
      <c r="I2589" s="260">
        <v>61</v>
      </c>
      <c r="J2589" s="260">
        <v>17800.49179240282</v>
      </c>
      <c r="K2589" s="881">
        <f t="shared" si="210"/>
        <v>1085830</v>
      </c>
      <c r="L2589" s="869" t="s">
        <v>179</v>
      </c>
      <c r="M2589" s="869" t="s">
        <v>169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09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1000</v>
      </c>
      <c r="E2590" s="191">
        <v>40897</v>
      </c>
      <c r="F2590" s="192" t="s">
        <v>1381</v>
      </c>
      <c r="G2590" s="502" t="s">
        <v>1376</v>
      </c>
      <c r="H2590" s="193" t="s">
        <v>756</v>
      </c>
      <c r="I2590" s="260">
        <v>505</v>
      </c>
      <c r="J2590" s="260">
        <v>17929.50620564742</v>
      </c>
      <c r="K2590" s="881">
        <f t="shared" si="210"/>
        <v>9054401</v>
      </c>
      <c r="L2590" s="869" t="s">
        <v>179</v>
      </c>
      <c r="M2590" s="869" t="s">
        <v>169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909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1000</v>
      </c>
      <c r="E2591" s="191">
        <v>40897</v>
      </c>
      <c r="F2591" s="192" t="s">
        <v>1382</v>
      </c>
      <c r="G2591" s="502" t="s">
        <v>1376</v>
      </c>
      <c r="H2591" s="193" t="s">
        <v>756</v>
      </c>
      <c r="I2591" s="260">
        <v>61</v>
      </c>
      <c r="J2591" s="260">
        <v>11252.49179240282</v>
      </c>
      <c r="K2591" s="881">
        <f t="shared" si="210"/>
        <v>686402</v>
      </c>
      <c r="L2591" s="869" t="s">
        <v>179</v>
      </c>
      <c r="M2591" s="869" t="s">
        <v>169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909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1000</v>
      </c>
      <c r="E2592" s="191">
        <v>40897</v>
      </c>
      <c r="F2592" s="192" t="s">
        <v>770</v>
      </c>
      <c r="G2592" s="502" t="s">
        <v>1376</v>
      </c>
      <c r="H2592" s="193" t="s">
        <v>756</v>
      </c>
      <c r="I2592" s="260">
        <v>4</v>
      </c>
      <c r="J2592" s="260">
        <v>10011.758185845443</v>
      </c>
      <c r="K2592" s="881">
        <f t="shared" si="210"/>
        <v>40047</v>
      </c>
      <c r="L2592" s="869" t="s">
        <v>179</v>
      </c>
      <c r="M2592" s="869" t="s">
        <v>169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909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1000</v>
      </c>
      <c r="E2593" s="191">
        <v>40897</v>
      </c>
      <c r="F2593" s="192" t="s">
        <v>1383</v>
      </c>
      <c r="G2593" s="502" t="s">
        <v>1376</v>
      </c>
      <c r="H2593" s="193" t="s">
        <v>756</v>
      </c>
      <c r="I2593" s="260">
        <v>16</v>
      </c>
      <c r="J2593" s="260">
        <v>18725.445685845447</v>
      </c>
      <c r="K2593" s="881">
        <f t="shared" si="210"/>
        <v>299607</v>
      </c>
      <c r="L2593" s="869" t="s">
        <v>179</v>
      </c>
      <c r="M2593" s="869" t="s">
        <v>169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909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1000</v>
      </c>
      <c r="E2594" s="191">
        <v>40897</v>
      </c>
      <c r="F2594" s="192" t="s">
        <v>1384</v>
      </c>
      <c r="G2594" s="502" t="s">
        <v>1376</v>
      </c>
      <c r="H2594" s="193" t="s">
        <v>756</v>
      </c>
      <c r="I2594" s="260">
        <v>10</v>
      </c>
      <c r="J2594" s="260">
        <v>16741.408185845445</v>
      </c>
      <c r="K2594" s="881">
        <f t="shared" si="210"/>
        <v>167414</v>
      </c>
      <c r="L2594" s="869" t="s">
        <v>179</v>
      </c>
      <c r="M2594" s="869" t="s">
        <v>169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909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1000</v>
      </c>
      <c r="E2595" s="191">
        <v>40897</v>
      </c>
      <c r="F2595" s="192" t="s">
        <v>1385</v>
      </c>
      <c r="G2595" s="502" t="s">
        <v>1376</v>
      </c>
      <c r="H2595" s="193" t="s">
        <v>756</v>
      </c>
      <c r="I2595" s="260">
        <v>134</v>
      </c>
      <c r="J2595" s="260">
        <v>21727.829081367832</v>
      </c>
      <c r="K2595" s="881">
        <f t="shared" si="210"/>
        <v>2911529</v>
      </c>
      <c r="L2595" s="869" t="s">
        <v>179</v>
      </c>
      <c r="M2595" s="869" t="s">
        <v>169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909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1000</v>
      </c>
      <c r="E2596" s="191">
        <v>40897</v>
      </c>
      <c r="F2596" s="192" t="s">
        <v>1294</v>
      </c>
      <c r="G2596" s="502" t="s">
        <v>1376</v>
      </c>
      <c r="H2596" s="193" t="s">
        <v>756</v>
      </c>
      <c r="I2596" s="260">
        <v>223</v>
      </c>
      <c r="J2596" s="260">
        <v>14753.503701540511</v>
      </c>
      <c r="K2596" s="881">
        <f t="shared" si="210"/>
        <v>3290031</v>
      </c>
      <c r="L2596" s="869" t="s">
        <v>179</v>
      </c>
      <c r="M2596" s="869" t="s">
        <v>169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909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1000</v>
      </c>
      <c r="E2597" s="191">
        <v>40897</v>
      </c>
      <c r="F2597" s="192" t="s">
        <v>1386</v>
      </c>
      <c r="G2597" s="502" t="s">
        <v>1376</v>
      </c>
      <c r="H2597" s="193" t="s">
        <v>756</v>
      </c>
      <c r="I2597" s="260">
        <v>10</v>
      </c>
      <c r="J2597" s="260">
        <v>18672.408185845445</v>
      </c>
      <c r="K2597" s="881">
        <f t="shared" si="210"/>
        <v>186724</v>
      </c>
      <c r="L2597" s="869" t="s">
        <v>179</v>
      </c>
      <c r="M2597" s="869" t="s">
        <v>169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909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1000</v>
      </c>
      <c r="E2598" s="191">
        <v>40897</v>
      </c>
      <c r="F2598" s="192" t="s">
        <v>1291</v>
      </c>
      <c r="G2598" s="502" t="s">
        <v>1376</v>
      </c>
      <c r="H2598" s="193" t="s">
        <v>756</v>
      </c>
      <c r="I2598" s="260">
        <v>20</v>
      </c>
      <c r="J2598" s="260">
        <v>16741.458185845444</v>
      </c>
      <c r="K2598" s="881">
        <f t="shared" si="210"/>
        <v>334829</v>
      </c>
      <c r="L2598" s="869" t="s">
        <v>179</v>
      </c>
      <c r="M2598" s="869" t="s">
        <v>169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909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1000</v>
      </c>
      <c r="E2599" s="191">
        <v>40897</v>
      </c>
      <c r="F2599" s="192" t="s">
        <v>1322</v>
      </c>
      <c r="G2599" s="502" t="s">
        <v>1376</v>
      </c>
      <c r="H2599" s="193" t="s">
        <v>756</v>
      </c>
      <c r="I2599" s="260">
        <v>2</v>
      </c>
      <c r="J2599" s="260">
        <v>14753.008185845443</v>
      </c>
      <c r="K2599" s="881">
        <f t="shared" si="210"/>
        <v>29506</v>
      </c>
      <c r="L2599" s="869" t="s">
        <v>179</v>
      </c>
      <c r="M2599" s="869" t="s">
        <v>169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909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1000</v>
      </c>
      <c r="E2600" s="191">
        <v>40897</v>
      </c>
      <c r="F2600" s="192" t="s">
        <v>1387</v>
      </c>
      <c r="G2600" s="502" t="s">
        <v>1376</v>
      </c>
      <c r="H2600" s="193" t="s">
        <v>756</v>
      </c>
      <c r="I2600" s="260">
        <v>379</v>
      </c>
      <c r="J2600" s="260">
        <v>18672.505547323013</v>
      </c>
      <c r="K2600" s="881">
        <f t="shared" si="210"/>
        <v>7076880</v>
      </c>
      <c r="L2600" s="869" t="s">
        <v>179</v>
      </c>
      <c r="M2600" s="869" t="s">
        <v>169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909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1000</v>
      </c>
      <c r="E2601" s="191">
        <v>40897</v>
      </c>
      <c r="F2601" s="192" t="s">
        <v>1388</v>
      </c>
      <c r="G2601" s="502" t="s">
        <v>1376</v>
      </c>
      <c r="H2601" s="193" t="s">
        <v>756</v>
      </c>
      <c r="I2601" s="260">
        <v>82</v>
      </c>
      <c r="J2601" s="260">
        <v>17929.495990723492</v>
      </c>
      <c r="K2601" s="881">
        <f t="shared" si="210"/>
        <v>1470219</v>
      </c>
      <c r="L2601" s="869" t="s">
        <v>179</v>
      </c>
      <c r="M2601" s="869" t="s">
        <v>169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909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1000</v>
      </c>
      <c r="E2602" s="191">
        <v>40897</v>
      </c>
      <c r="F2602" s="192" t="s">
        <v>1389</v>
      </c>
      <c r="G2602" s="502" t="s">
        <v>1376</v>
      </c>
      <c r="H2602" s="193" t="s">
        <v>756</v>
      </c>
      <c r="I2602" s="260">
        <v>72</v>
      </c>
      <c r="J2602" s="260">
        <v>14753.494296956553</v>
      </c>
      <c r="K2602" s="881">
        <f t="shared" ref="K2602:K2617" si="213">ROUND(I2602*J2602,0)</f>
        <v>1062252</v>
      </c>
      <c r="L2602" s="869" t="s">
        <v>179</v>
      </c>
      <c r="M2602" s="869" t="s">
        <v>169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909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1000</v>
      </c>
      <c r="E2603" s="191">
        <v>40897</v>
      </c>
      <c r="F2603" s="192" t="s">
        <v>1390</v>
      </c>
      <c r="G2603" s="502" t="s">
        <v>1376</v>
      </c>
      <c r="H2603" s="193" t="s">
        <v>756</v>
      </c>
      <c r="I2603" s="260">
        <v>52</v>
      </c>
      <c r="J2603" s="260">
        <v>14753.488955076211</v>
      </c>
      <c r="K2603" s="881">
        <f t="shared" si="213"/>
        <v>767181</v>
      </c>
      <c r="L2603" s="869" t="s">
        <v>179</v>
      </c>
      <c r="M2603" s="869" t="s">
        <v>169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909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1000</v>
      </c>
      <c r="E2604" s="191">
        <v>40897</v>
      </c>
      <c r="F2604" s="192" t="s">
        <v>1391</v>
      </c>
      <c r="G2604" s="502" t="s">
        <v>1376</v>
      </c>
      <c r="H2604" s="193" t="s">
        <v>756</v>
      </c>
      <c r="I2604" s="260">
        <v>51</v>
      </c>
      <c r="J2604" s="260">
        <v>14753.488578002303</v>
      </c>
      <c r="K2604" s="881">
        <f t="shared" si="213"/>
        <v>752428</v>
      </c>
      <c r="L2604" s="869" t="s">
        <v>179</v>
      </c>
      <c r="M2604" s="869" t="s">
        <v>169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909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1000</v>
      </c>
      <c r="E2605" s="191">
        <v>40897</v>
      </c>
      <c r="F2605" s="192" t="s">
        <v>1392</v>
      </c>
      <c r="G2605" s="502" t="s">
        <v>1376</v>
      </c>
      <c r="H2605" s="193" t="s">
        <v>756</v>
      </c>
      <c r="I2605" s="260">
        <v>51</v>
      </c>
      <c r="J2605" s="260">
        <v>17737.488578002303</v>
      </c>
      <c r="K2605" s="881">
        <f t="shared" si="213"/>
        <v>904612</v>
      </c>
      <c r="L2605" s="869" t="s">
        <v>179</v>
      </c>
      <c r="M2605" s="869" t="s">
        <v>169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909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1000</v>
      </c>
      <c r="E2606" s="191">
        <v>40897</v>
      </c>
      <c r="F2606" s="192" t="s">
        <v>1393</v>
      </c>
      <c r="G2606" s="502" t="s">
        <v>1376</v>
      </c>
      <c r="H2606" s="193" t="s">
        <v>756</v>
      </c>
      <c r="I2606" s="260">
        <v>57</v>
      </c>
      <c r="J2606" s="260">
        <v>17737.490641985794</v>
      </c>
      <c r="K2606" s="881">
        <f t="shared" si="213"/>
        <v>1011037</v>
      </c>
      <c r="L2606" s="869" t="s">
        <v>179</v>
      </c>
      <c r="M2606" s="869" t="s">
        <v>169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909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1000</v>
      </c>
      <c r="E2607" s="191">
        <v>40897</v>
      </c>
      <c r="F2607" s="192" t="s">
        <v>1349</v>
      </c>
      <c r="G2607" s="502" t="s">
        <v>1376</v>
      </c>
      <c r="H2607" s="193" t="s">
        <v>756</v>
      </c>
      <c r="I2607" s="260">
        <v>150</v>
      </c>
      <c r="J2607" s="260">
        <v>1530.1548525121093</v>
      </c>
      <c r="K2607" s="881">
        <f t="shared" si="213"/>
        <v>229523</v>
      </c>
      <c r="L2607" s="869" t="s">
        <v>179</v>
      </c>
      <c r="M2607" s="869" t="s">
        <v>169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909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1000</v>
      </c>
      <c r="E2608" s="191">
        <v>40897</v>
      </c>
      <c r="F2608" s="192" t="s">
        <v>1340</v>
      </c>
      <c r="G2608" s="502" t="s">
        <v>1376</v>
      </c>
      <c r="H2608" s="193" t="s">
        <v>756</v>
      </c>
      <c r="I2608" s="260">
        <v>315</v>
      </c>
      <c r="J2608" s="260">
        <v>1641.6827890200459</v>
      </c>
      <c r="K2608" s="881">
        <f t="shared" si="213"/>
        <v>517130</v>
      </c>
      <c r="L2608" s="869" t="s">
        <v>179</v>
      </c>
      <c r="M2608" s="869" t="s">
        <v>169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909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1000</v>
      </c>
      <c r="E2609" s="191">
        <v>40897</v>
      </c>
      <c r="F2609" s="192" t="s">
        <v>1342</v>
      </c>
      <c r="G2609" s="502" t="s">
        <v>1376</v>
      </c>
      <c r="H2609" s="193" t="s">
        <v>756</v>
      </c>
      <c r="I2609" s="260">
        <v>120</v>
      </c>
      <c r="J2609" s="260">
        <v>1877.6331858454428</v>
      </c>
      <c r="K2609" s="881">
        <f t="shared" si="213"/>
        <v>225316</v>
      </c>
      <c r="L2609" s="869" t="s">
        <v>179</v>
      </c>
      <c r="M2609" s="869" t="s">
        <v>169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909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1000</v>
      </c>
      <c r="E2610" s="191">
        <v>40897</v>
      </c>
      <c r="F2610" s="192" t="s">
        <v>1339</v>
      </c>
      <c r="G2610" s="502" t="s">
        <v>1376</v>
      </c>
      <c r="H2610" s="193" t="s">
        <v>756</v>
      </c>
      <c r="I2610" s="260">
        <v>120</v>
      </c>
      <c r="J2610" s="260">
        <v>1877.6331858454428</v>
      </c>
      <c r="K2610" s="881">
        <f t="shared" si="213"/>
        <v>225316</v>
      </c>
      <c r="L2610" s="869" t="s">
        <v>179</v>
      </c>
      <c r="M2610" s="869" t="s">
        <v>169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909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1000</v>
      </c>
      <c r="E2611" s="191">
        <v>40897</v>
      </c>
      <c r="F2611" s="192" t="s">
        <v>1394</v>
      </c>
      <c r="G2611" s="502" t="s">
        <v>1376</v>
      </c>
      <c r="H2611" s="193" t="s">
        <v>756</v>
      </c>
      <c r="I2611" s="260">
        <v>272</v>
      </c>
      <c r="J2611" s="260">
        <v>2154.1662740807369</v>
      </c>
      <c r="K2611" s="881">
        <f t="shared" si="213"/>
        <v>585933</v>
      </c>
      <c r="L2611" s="869" t="s">
        <v>179</v>
      </c>
      <c r="M2611" s="869" t="s">
        <v>169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909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1000</v>
      </c>
      <c r="E2612" s="191">
        <v>40897</v>
      </c>
      <c r="F2612" s="192" t="s">
        <v>1348</v>
      </c>
      <c r="G2612" s="502" t="s">
        <v>1376</v>
      </c>
      <c r="H2612" s="193" t="s">
        <v>756</v>
      </c>
      <c r="I2612" s="260">
        <v>30</v>
      </c>
      <c r="J2612" s="260">
        <v>1877.6081858454427</v>
      </c>
      <c r="K2612" s="881">
        <f t="shared" si="213"/>
        <v>56328</v>
      </c>
      <c r="L2612" s="869" t="s">
        <v>179</v>
      </c>
      <c r="M2612" s="869" t="s">
        <v>169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909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1000</v>
      </c>
      <c r="E2613" s="191">
        <v>40897</v>
      </c>
      <c r="F2613" s="192" t="s">
        <v>1395</v>
      </c>
      <c r="G2613" s="502" t="s">
        <v>1376</v>
      </c>
      <c r="H2613" s="193" t="s">
        <v>756</v>
      </c>
      <c r="I2613" s="260">
        <v>60</v>
      </c>
      <c r="J2613" s="260">
        <v>1877.6248525121093</v>
      </c>
      <c r="K2613" s="881">
        <f t="shared" si="213"/>
        <v>112657</v>
      </c>
      <c r="L2613" s="869" t="s">
        <v>179</v>
      </c>
      <c r="M2613" s="869" t="s">
        <v>169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909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1000</v>
      </c>
      <c r="E2614" s="191">
        <v>40897</v>
      </c>
      <c r="F2614" s="192" t="s">
        <v>1344</v>
      </c>
      <c r="G2614" s="502" t="s">
        <v>1376</v>
      </c>
      <c r="H2614" s="193" t="s">
        <v>756</v>
      </c>
      <c r="I2614" s="260">
        <v>150</v>
      </c>
      <c r="J2614" s="260">
        <v>1848.5681858454427</v>
      </c>
      <c r="K2614" s="881">
        <f t="shared" si="213"/>
        <v>277285</v>
      </c>
      <c r="L2614" s="869" t="s">
        <v>179</v>
      </c>
      <c r="M2614" s="869" t="s">
        <v>169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909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1000</v>
      </c>
      <c r="E2615" s="191">
        <v>40897</v>
      </c>
      <c r="F2615" s="192" t="s">
        <v>1345</v>
      </c>
      <c r="G2615" s="502" t="s">
        <v>1376</v>
      </c>
      <c r="H2615" s="193" t="s">
        <v>756</v>
      </c>
      <c r="I2615" s="260">
        <v>136</v>
      </c>
      <c r="J2615" s="260">
        <v>1782.0008329042664</v>
      </c>
      <c r="K2615" s="881">
        <f t="shared" si="213"/>
        <v>242352</v>
      </c>
      <c r="L2615" s="869" t="s">
        <v>179</v>
      </c>
      <c r="M2615" s="869" t="s">
        <v>169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909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1000</v>
      </c>
      <c r="E2616" s="191">
        <v>40897</v>
      </c>
      <c r="F2616" s="192" t="s">
        <v>1347</v>
      </c>
      <c r="G2616" s="502" t="s">
        <v>1376</v>
      </c>
      <c r="H2616" s="193" t="s">
        <v>756</v>
      </c>
      <c r="I2616" s="260">
        <v>15</v>
      </c>
      <c r="J2616" s="260">
        <v>1873.1081858454427</v>
      </c>
      <c r="K2616" s="881">
        <f t="shared" si="213"/>
        <v>28097</v>
      </c>
      <c r="L2616" s="869" t="s">
        <v>179</v>
      </c>
      <c r="M2616" s="869" t="s">
        <v>169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909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1000</v>
      </c>
      <c r="E2617" s="191">
        <v>40897</v>
      </c>
      <c r="F2617" s="192" t="s">
        <v>1343</v>
      </c>
      <c r="G2617" s="502" t="s">
        <v>1376</v>
      </c>
      <c r="H2617" s="193" t="s">
        <v>756</v>
      </c>
      <c r="I2617" s="260">
        <v>75</v>
      </c>
      <c r="J2617" s="260">
        <v>2026.0415191787761</v>
      </c>
      <c r="K2617" s="881">
        <f t="shared" si="213"/>
        <v>151953</v>
      </c>
      <c r="L2617" s="869" t="s">
        <v>179</v>
      </c>
      <c r="M2617" s="869" t="s">
        <v>169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909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1001</v>
      </c>
      <c r="E2618" s="191">
        <v>40898</v>
      </c>
      <c r="F2618" s="192" t="s">
        <v>1388</v>
      </c>
      <c r="G2618" s="502" t="s">
        <v>1396</v>
      </c>
      <c r="H2618" s="193" t="s">
        <v>756</v>
      </c>
      <c r="I2618" s="260">
        <v>227</v>
      </c>
      <c r="J2618" s="260">
        <v>23012</v>
      </c>
      <c r="K2618" s="618">
        <v>5223724</v>
      </c>
      <c r="L2618" s="194" t="s">
        <v>274</v>
      </c>
      <c r="M2618" s="194" t="s">
        <v>181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909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1001</v>
      </c>
      <c r="E2619" s="191">
        <v>40898</v>
      </c>
      <c r="F2619" s="192" t="s">
        <v>1383</v>
      </c>
      <c r="G2619" s="502" t="s">
        <v>1396</v>
      </c>
      <c r="H2619" s="193" t="s">
        <v>756</v>
      </c>
      <c r="I2619" s="260">
        <v>195</v>
      </c>
      <c r="J2619" s="260">
        <v>18928</v>
      </c>
      <c r="K2619" s="618">
        <v>3690960</v>
      </c>
      <c r="L2619" s="194" t="s">
        <v>274</v>
      </c>
      <c r="M2619" s="194" t="s">
        <v>181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909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1001</v>
      </c>
      <c r="E2620" s="191">
        <v>40898</v>
      </c>
      <c r="F2620" s="192" t="s">
        <v>1397</v>
      </c>
      <c r="G2620" s="502" t="s">
        <v>1396</v>
      </c>
      <c r="H2620" s="193" t="s">
        <v>756</v>
      </c>
      <c r="I2620" s="260">
        <v>232</v>
      </c>
      <c r="J2620" s="260">
        <v>20070</v>
      </c>
      <c r="K2620" s="618">
        <v>4656240</v>
      </c>
      <c r="L2620" s="194" t="s">
        <v>274</v>
      </c>
      <c r="M2620" s="194" t="s">
        <v>181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909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1001</v>
      </c>
      <c r="E2621" s="191">
        <v>40898</v>
      </c>
      <c r="F2621" s="192" t="s">
        <v>1200</v>
      </c>
      <c r="G2621" s="502" t="s">
        <v>1396</v>
      </c>
      <c r="H2621" s="193" t="s">
        <v>756</v>
      </c>
      <c r="I2621" s="260"/>
      <c r="J2621" s="260"/>
      <c r="K2621" s="618">
        <v>1357092</v>
      </c>
      <c r="L2621" s="194" t="s">
        <v>274</v>
      </c>
      <c r="M2621" s="194" t="s">
        <v>754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909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1434</v>
      </c>
      <c r="E2622" s="191">
        <v>40898</v>
      </c>
      <c r="F2622" s="40" t="s">
        <v>1388</v>
      </c>
      <c r="G2622" s="40"/>
      <c r="H2622" s="632" t="s">
        <v>1116</v>
      </c>
      <c r="I2622" s="260">
        <v>227</v>
      </c>
      <c r="J2622" s="260">
        <v>17929.503780559098</v>
      </c>
      <c r="K2622" s="618">
        <f t="shared" ref="K2622:K2627" si="215">ROUND(I2622*J2622,0)</f>
        <v>4069997</v>
      </c>
      <c r="L2622" s="39" t="s">
        <v>169</v>
      </c>
      <c r="M2622" s="39" t="s">
        <v>167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909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1434</v>
      </c>
      <c r="E2623" s="191">
        <v>40898</v>
      </c>
      <c r="F2623" s="40" t="s">
        <v>1383</v>
      </c>
      <c r="G2623" s="40"/>
      <c r="H2623" s="632" t="s">
        <v>1116</v>
      </c>
      <c r="I2623" s="260">
        <v>195</v>
      </c>
      <c r="J2623" s="260">
        <v>17929.503057640315</v>
      </c>
      <c r="K2623" s="618">
        <f t="shared" si="215"/>
        <v>3496253</v>
      </c>
      <c r="L2623" s="39" t="s">
        <v>169</v>
      </c>
      <c r="M2623" s="39" t="s">
        <v>167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909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1434</v>
      </c>
      <c r="E2624" s="191">
        <v>40898</v>
      </c>
      <c r="F2624" s="40" t="s">
        <v>1397</v>
      </c>
      <c r="G2624" s="40"/>
      <c r="H2624" s="632" t="s">
        <v>1116</v>
      </c>
      <c r="I2624" s="260">
        <v>232</v>
      </c>
      <c r="J2624" s="260">
        <v>17737.503875500617</v>
      </c>
      <c r="K2624" s="618">
        <f t="shared" si="215"/>
        <v>4115101</v>
      </c>
      <c r="L2624" s="39" t="s">
        <v>169</v>
      </c>
      <c r="M2624" s="39" t="s">
        <v>167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909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1001</v>
      </c>
      <c r="E2625" s="191">
        <v>40898</v>
      </c>
      <c r="F2625" s="192" t="s">
        <v>1388</v>
      </c>
      <c r="G2625" s="502" t="s">
        <v>1396</v>
      </c>
      <c r="H2625" s="193" t="s">
        <v>756</v>
      </c>
      <c r="I2625" s="260">
        <v>227</v>
      </c>
      <c r="J2625" s="260">
        <v>17929.503780559098</v>
      </c>
      <c r="K2625" s="881">
        <f t="shared" si="215"/>
        <v>4069997</v>
      </c>
      <c r="L2625" s="869" t="s">
        <v>179</v>
      </c>
      <c r="M2625" s="869" t="s">
        <v>169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909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1001</v>
      </c>
      <c r="E2626" s="191">
        <v>40898</v>
      </c>
      <c r="F2626" s="192" t="s">
        <v>1383</v>
      </c>
      <c r="G2626" s="502" t="s">
        <v>1396</v>
      </c>
      <c r="H2626" s="193" t="s">
        <v>756</v>
      </c>
      <c r="I2626" s="260">
        <v>195</v>
      </c>
      <c r="J2626" s="260">
        <v>17929.503057640315</v>
      </c>
      <c r="K2626" s="881">
        <f t="shared" si="215"/>
        <v>3496253</v>
      </c>
      <c r="L2626" s="869" t="s">
        <v>179</v>
      </c>
      <c r="M2626" s="869" t="s">
        <v>169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909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1001</v>
      </c>
      <c r="E2627" s="191">
        <v>40898</v>
      </c>
      <c r="F2627" s="192" t="s">
        <v>1397</v>
      </c>
      <c r="G2627" s="502" t="s">
        <v>1396</v>
      </c>
      <c r="H2627" s="193" t="s">
        <v>756</v>
      </c>
      <c r="I2627" s="260">
        <v>232</v>
      </c>
      <c r="J2627" s="260">
        <v>17737.503875500617</v>
      </c>
      <c r="K2627" s="881">
        <f t="shared" si="215"/>
        <v>4115101</v>
      </c>
      <c r="L2627" s="869" t="s">
        <v>179</v>
      </c>
      <c r="M2627" s="869" t="s">
        <v>169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909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1002</v>
      </c>
      <c r="E2628" s="191">
        <v>40899</v>
      </c>
      <c r="F2628" s="192" t="s">
        <v>1398</v>
      </c>
      <c r="G2628" s="502" t="s">
        <v>1399</v>
      </c>
      <c r="H2628" s="193" t="s">
        <v>756</v>
      </c>
      <c r="I2628" s="260">
        <v>76</v>
      </c>
      <c r="J2628" s="260">
        <v>6275</v>
      </c>
      <c r="K2628" s="618">
        <v>476900</v>
      </c>
      <c r="L2628" s="194" t="s">
        <v>274</v>
      </c>
      <c r="M2628" s="194" t="s">
        <v>181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909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1002</v>
      </c>
      <c r="E2629" s="191">
        <v>40899</v>
      </c>
      <c r="F2629" s="192" t="s">
        <v>1400</v>
      </c>
      <c r="G2629" s="502" t="s">
        <v>1399</v>
      </c>
      <c r="H2629" s="193" t="s">
        <v>756</v>
      </c>
      <c r="I2629" s="260">
        <v>261</v>
      </c>
      <c r="J2629" s="260">
        <v>10678</v>
      </c>
      <c r="K2629" s="618">
        <v>2786958</v>
      </c>
      <c r="L2629" s="194" t="s">
        <v>274</v>
      </c>
      <c r="M2629" s="194" t="s">
        <v>181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909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1002</v>
      </c>
      <c r="E2630" s="191">
        <v>40899</v>
      </c>
      <c r="F2630" s="192" t="s">
        <v>927</v>
      </c>
      <c r="G2630" s="502" t="s">
        <v>1399</v>
      </c>
      <c r="H2630" s="193" t="s">
        <v>756</v>
      </c>
      <c r="I2630" s="260">
        <v>65</v>
      </c>
      <c r="J2630" s="260">
        <v>10501</v>
      </c>
      <c r="K2630" s="618">
        <v>682565</v>
      </c>
      <c r="L2630" s="194" t="s">
        <v>274</v>
      </c>
      <c r="M2630" s="194" t="s">
        <v>181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909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1002</v>
      </c>
      <c r="E2631" s="191">
        <v>40899</v>
      </c>
      <c r="F2631" s="192" t="s">
        <v>956</v>
      </c>
      <c r="G2631" s="502" t="s">
        <v>1399</v>
      </c>
      <c r="H2631" s="193" t="s">
        <v>756</v>
      </c>
      <c r="I2631" s="260">
        <v>1069</v>
      </c>
      <c r="J2631" s="260">
        <v>11840</v>
      </c>
      <c r="K2631" s="618">
        <v>12656960</v>
      </c>
      <c r="L2631" s="194" t="s">
        <v>274</v>
      </c>
      <c r="M2631" s="194" t="s">
        <v>181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909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1002</v>
      </c>
      <c r="E2632" s="191">
        <v>40899</v>
      </c>
      <c r="F2632" s="192" t="s">
        <v>928</v>
      </c>
      <c r="G2632" s="502" t="s">
        <v>1399</v>
      </c>
      <c r="H2632" s="193" t="s">
        <v>756</v>
      </c>
      <c r="I2632" s="260">
        <v>276</v>
      </c>
      <c r="J2632" s="260">
        <v>13258</v>
      </c>
      <c r="K2632" s="618">
        <v>3659208</v>
      </c>
      <c r="L2632" s="194" t="s">
        <v>274</v>
      </c>
      <c r="M2632" s="194" t="s">
        <v>181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909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1002</v>
      </c>
      <c r="E2633" s="191">
        <v>40899</v>
      </c>
      <c r="F2633" s="192" t="s">
        <v>1383</v>
      </c>
      <c r="G2633" s="502" t="s">
        <v>1399</v>
      </c>
      <c r="H2633" s="193" t="s">
        <v>756</v>
      </c>
      <c r="I2633" s="260">
        <v>47</v>
      </c>
      <c r="J2633" s="260">
        <v>18928</v>
      </c>
      <c r="K2633" s="618">
        <v>889616</v>
      </c>
      <c r="L2633" s="194" t="s">
        <v>274</v>
      </c>
      <c r="M2633" s="194" t="s">
        <v>181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909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1002</v>
      </c>
      <c r="E2634" s="191">
        <v>40899</v>
      </c>
      <c r="F2634" s="192" t="s">
        <v>1388</v>
      </c>
      <c r="G2634" s="502" t="s">
        <v>1399</v>
      </c>
      <c r="H2634" s="193" t="s">
        <v>756</v>
      </c>
      <c r="I2634" s="260">
        <v>260</v>
      </c>
      <c r="J2634" s="260">
        <v>23012</v>
      </c>
      <c r="K2634" s="618">
        <v>5983120</v>
      </c>
      <c r="L2634" s="194" t="s">
        <v>274</v>
      </c>
      <c r="M2634" s="194" t="s">
        <v>181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909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1002</v>
      </c>
      <c r="E2635" s="191">
        <v>40899</v>
      </c>
      <c r="F2635" s="192" t="s">
        <v>1401</v>
      </c>
      <c r="G2635" s="502" t="s">
        <v>1399</v>
      </c>
      <c r="H2635" s="193" t="s">
        <v>756</v>
      </c>
      <c r="I2635" s="260">
        <v>274</v>
      </c>
      <c r="J2635" s="260">
        <v>1474</v>
      </c>
      <c r="K2635" s="618">
        <v>403876</v>
      </c>
      <c r="L2635" s="194" t="s">
        <v>274</v>
      </c>
      <c r="M2635" s="194" t="s">
        <v>181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909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1002</v>
      </c>
      <c r="E2636" s="191">
        <v>40899</v>
      </c>
      <c r="F2636" s="192" t="s">
        <v>1402</v>
      </c>
      <c r="G2636" s="502" t="s">
        <v>1399</v>
      </c>
      <c r="H2636" s="193" t="s">
        <v>756</v>
      </c>
      <c r="I2636" s="260">
        <v>44</v>
      </c>
      <c r="J2636" s="260">
        <v>1146</v>
      </c>
      <c r="K2636" s="618">
        <v>50424</v>
      </c>
      <c r="L2636" s="194" t="s">
        <v>274</v>
      </c>
      <c r="M2636" s="194" t="s">
        <v>181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909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1002</v>
      </c>
      <c r="E2637" s="191">
        <v>40899</v>
      </c>
      <c r="F2637" s="192" t="s">
        <v>1403</v>
      </c>
      <c r="G2637" s="502" t="s">
        <v>1399</v>
      </c>
      <c r="H2637" s="193" t="s">
        <v>756</v>
      </c>
      <c r="I2637" s="260">
        <v>262</v>
      </c>
      <c r="J2637" s="260">
        <v>1187</v>
      </c>
      <c r="K2637" s="618">
        <v>310994</v>
      </c>
      <c r="L2637" s="194" t="s">
        <v>274</v>
      </c>
      <c r="M2637" s="194" t="s">
        <v>181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909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1002</v>
      </c>
      <c r="E2638" s="191">
        <v>40899</v>
      </c>
      <c r="F2638" s="192" t="s">
        <v>1404</v>
      </c>
      <c r="G2638" s="502" t="s">
        <v>1399</v>
      </c>
      <c r="H2638" s="193" t="s">
        <v>756</v>
      </c>
      <c r="I2638" s="260">
        <v>262</v>
      </c>
      <c r="J2638" s="260">
        <v>1515</v>
      </c>
      <c r="K2638" s="618">
        <v>396930</v>
      </c>
      <c r="L2638" s="194" t="s">
        <v>274</v>
      </c>
      <c r="M2638" s="194" t="s">
        <v>181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909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1002</v>
      </c>
      <c r="E2639" s="191">
        <v>40899</v>
      </c>
      <c r="F2639" s="192" t="s">
        <v>1405</v>
      </c>
      <c r="G2639" s="502" t="s">
        <v>1399</v>
      </c>
      <c r="H2639" s="193" t="s">
        <v>756</v>
      </c>
      <c r="I2639" s="260">
        <v>318</v>
      </c>
      <c r="J2639" s="260">
        <v>1556</v>
      </c>
      <c r="K2639" s="618">
        <v>494808</v>
      </c>
      <c r="L2639" s="194" t="s">
        <v>274</v>
      </c>
      <c r="M2639" s="194" t="s">
        <v>181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909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1002</v>
      </c>
      <c r="E2640" s="191">
        <v>40899</v>
      </c>
      <c r="F2640" s="192" t="s">
        <v>1200</v>
      </c>
      <c r="G2640" s="502" t="s">
        <v>1399</v>
      </c>
      <c r="H2640" s="193" t="s">
        <v>756</v>
      </c>
      <c r="I2640" s="260"/>
      <c r="J2640" s="260"/>
      <c r="K2640" s="618">
        <v>2879236</v>
      </c>
      <c r="L2640" s="194" t="s">
        <v>274</v>
      </c>
      <c r="M2640" s="194" t="s">
        <v>754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909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75" t="s">
        <v>1445</v>
      </c>
      <c r="E2641" s="191">
        <v>40899</v>
      </c>
      <c r="F2641" s="40" t="s">
        <v>678</v>
      </c>
      <c r="G2641" s="40"/>
      <c r="H2641" s="632" t="s">
        <v>1116</v>
      </c>
      <c r="I2641" s="260">
        <v>196</v>
      </c>
      <c r="J2641" s="260">
        <v>13455</v>
      </c>
      <c r="K2641" s="618">
        <f t="shared" ref="K2641:K2673" si="217">ROUND(I2641*J2641,0)</f>
        <v>2637180</v>
      </c>
      <c r="L2641" s="52" t="s">
        <v>167</v>
      </c>
      <c r="M2641" s="52" t="s">
        <v>159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909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75" t="s">
        <v>1445</v>
      </c>
      <c r="E2642" s="191">
        <v>40899</v>
      </c>
      <c r="F2642" s="40" t="s">
        <v>668</v>
      </c>
      <c r="G2642" s="40"/>
      <c r="H2642" s="632" t="s">
        <v>1116</v>
      </c>
      <c r="I2642" s="260">
        <v>32.5</v>
      </c>
      <c r="J2642" s="260">
        <v>32878</v>
      </c>
      <c r="K2642" s="618">
        <f t="shared" si="217"/>
        <v>1068535</v>
      </c>
      <c r="L2642" s="52" t="s">
        <v>167</v>
      </c>
      <c r="M2642" s="52" t="s">
        <v>159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909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75" t="s">
        <v>1445</v>
      </c>
      <c r="E2643" s="191">
        <v>40899</v>
      </c>
      <c r="F2643" s="189" t="s">
        <v>513</v>
      </c>
      <c r="G2643" s="40"/>
      <c r="H2643" s="632" t="s">
        <v>1116</v>
      </c>
      <c r="I2643" s="260">
        <v>10</v>
      </c>
      <c r="J2643" s="260">
        <v>17427</v>
      </c>
      <c r="K2643" s="618">
        <f t="shared" si="217"/>
        <v>174270</v>
      </c>
      <c r="L2643" s="52" t="s">
        <v>167</v>
      </c>
      <c r="M2643" s="52" t="s">
        <v>159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909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75" t="s">
        <v>1445</v>
      </c>
      <c r="E2644" s="191">
        <v>40899</v>
      </c>
      <c r="F2644" s="40" t="s">
        <v>679</v>
      </c>
      <c r="G2644" s="40"/>
      <c r="H2644" s="632" t="s">
        <v>1116</v>
      </c>
      <c r="I2644" s="260">
        <v>106</v>
      </c>
      <c r="J2644" s="260">
        <v>16631</v>
      </c>
      <c r="K2644" s="618">
        <f t="shared" si="217"/>
        <v>1762886</v>
      </c>
      <c r="L2644" s="52" t="s">
        <v>167</v>
      </c>
      <c r="M2644" s="52" t="s">
        <v>159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909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75" t="s">
        <v>1445</v>
      </c>
      <c r="E2645" s="191">
        <v>40899</v>
      </c>
      <c r="F2645" s="40" t="s">
        <v>678</v>
      </c>
      <c r="G2645" s="40"/>
      <c r="H2645" s="632" t="s">
        <v>1116</v>
      </c>
      <c r="I2645" s="260">
        <v>76</v>
      </c>
      <c r="J2645" s="260">
        <v>13455</v>
      </c>
      <c r="K2645" s="618">
        <f t="shared" si="217"/>
        <v>1022580</v>
      </c>
      <c r="L2645" s="52" t="s">
        <v>167</v>
      </c>
      <c r="M2645" s="52" t="s">
        <v>159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909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75" t="s">
        <v>1445</v>
      </c>
      <c r="E2646" s="191">
        <v>40899</v>
      </c>
      <c r="F2646" s="40" t="s">
        <v>679</v>
      </c>
      <c r="G2646" s="40"/>
      <c r="H2646" s="632" t="s">
        <v>1116</v>
      </c>
      <c r="I2646" s="260">
        <v>208</v>
      </c>
      <c r="J2646" s="260">
        <v>16631</v>
      </c>
      <c r="K2646" s="618">
        <f t="shared" si="217"/>
        <v>3459248</v>
      </c>
      <c r="L2646" s="52" t="s">
        <v>167</v>
      </c>
      <c r="M2646" s="52" t="s">
        <v>159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909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75" t="s">
        <v>1445</v>
      </c>
      <c r="E2647" s="191">
        <v>40899</v>
      </c>
      <c r="F2647" s="189" t="s">
        <v>530</v>
      </c>
      <c r="G2647" s="40"/>
      <c r="H2647" s="632" t="s">
        <v>1116</v>
      </c>
      <c r="I2647" s="260">
        <v>1</v>
      </c>
      <c r="J2647" s="260">
        <v>8620</v>
      </c>
      <c r="K2647" s="618">
        <f t="shared" si="217"/>
        <v>8620</v>
      </c>
      <c r="L2647" s="52" t="s">
        <v>167</v>
      </c>
      <c r="M2647" s="52" t="s">
        <v>159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909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75" t="s">
        <v>1445</v>
      </c>
      <c r="E2648" s="191">
        <v>40899</v>
      </c>
      <c r="F2648" s="40" t="s">
        <v>668</v>
      </c>
      <c r="G2648" s="40"/>
      <c r="H2648" s="632" t="s">
        <v>1116</v>
      </c>
      <c r="I2648" s="260">
        <v>4</v>
      </c>
      <c r="J2648" s="260">
        <v>32878</v>
      </c>
      <c r="K2648" s="618">
        <f t="shared" si="217"/>
        <v>131512</v>
      </c>
      <c r="L2648" s="52" t="s">
        <v>167</v>
      </c>
      <c r="M2648" s="52" t="s">
        <v>159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909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75" t="s">
        <v>1445</v>
      </c>
      <c r="E2649" s="191">
        <v>40899</v>
      </c>
      <c r="F2649" s="189" t="s">
        <v>653</v>
      </c>
      <c r="G2649" s="40"/>
      <c r="H2649" s="632" t="s">
        <v>1116</v>
      </c>
      <c r="I2649" s="260">
        <v>91</v>
      </c>
      <c r="J2649" s="260">
        <v>9954</v>
      </c>
      <c r="K2649" s="618">
        <f t="shared" si="217"/>
        <v>905814</v>
      </c>
      <c r="L2649" s="52" t="s">
        <v>167</v>
      </c>
      <c r="M2649" s="52" t="s">
        <v>159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909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1435</v>
      </c>
      <c r="E2650" s="191">
        <v>40899</v>
      </c>
      <c r="F2650" s="40" t="s">
        <v>1398</v>
      </c>
      <c r="G2650" s="40"/>
      <c r="H2650" s="632" t="s">
        <v>1116</v>
      </c>
      <c r="I2650" s="260">
        <v>76</v>
      </c>
      <c r="J2650" s="260">
        <v>5456.2450279507066</v>
      </c>
      <c r="K2650" s="618">
        <f t="shared" si="217"/>
        <v>414675</v>
      </c>
      <c r="L2650" s="39" t="s">
        <v>169</v>
      </c>
      <c r="M2650" s="39" t="s">
        <v>167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909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1435</v>
      </c>
      <c r="E2651" s="191">
        <v>40899</v>
      </c>
      <c r="F2651" s="40" t="s">
        <v>1400</v>
      </c>
      <c r="G2651" s="40"/>
      <c r="H2651" s="632" t="s">
        <v>1116</v>
      </c>
      <c r="I2651" s="260">
        <v>261</v>
      </c>
      <c r="J2651" s="260">
        <v>9918.5043544278178</v>
      </c>
      <c r="K2651" s="618">
        <f t="shared" si="217"/>
        <v>2588730</v>
      </c>
      <c r="L2651" s="39" t="s">
        <v>169</v>
      </c>
      <c r="M2651" s="39" t="s">
        <v>167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909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1435</v>
      </c>
      <c r="E2652" s="191">
        <v>40899</v>
      </c>
      <c r="F2652" s="40" t="s">
        <v>927</v>
      </c>
      <c r="G2652" s="40"/>
      <c r="H2652" s="632" t="s">
        <v>1116</v>
      </c>
      <c r="I2652" s="260">
        <v>65</v>
      </c>
      <c r="J2652" s="260">
        <v>9579.2774166146737</v>
      </c>
      <c r="K2652" s="618">
        <f t="shared" si="217"/>
        <v>622653</v>
      </c>
      <c r="L2652" s="39" t="s">
        <v>169</v>
      </c>
      <c r="M2652" s="39" t="s">
        <v>167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909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1435</v>
      </c>
      <c r="E2653" s="191">
        <v>40899</v>
      </c>
      <c r="F2653" s="40" t="s">
        <v>956</v>
      </c>
      <c r="G2653" s="40"/>
      <c r="H2653" s="632" t="s">
        <v>1116</v>
      </c>
      <c r="I2653" s="260">
        <v>1069</v>
      </c>
      <c r="J2653" s="260">
        <v>8032.3005151251436</v>
      </c>
      <c r="K2653" s="618">
        <f t="shared" si="217"/>
        <v>8586529</v>
      </c>
      <c r="L2653" s="39" t="s">
        <v>169</v>
      </c>
      <c r="M2653" s="39" t="s">
        <v>167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909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1435</v>
      </c>
      <c r="E2654" s="191">
        <v>40899</v>
      </c>
      <c r="F2654" s="40" t="s">
        <v>928</v>
      </c>
      <c r="G2654" s="40"/>
      <c r="H2654" s="632" t="s">
        <v>1116</v>
      </c>
      <c r="I2654" s="260">
        <v>276</v>
      </c>
      <c r="J2654" s="260">
        <v>14753.504562657037</v>
      </c>
      <c r="K2654" s="618">
        <f t="shared" si="217"/>
        <v>4071967</v>
      </c>
      <c r="L2654" s="39" t="s">
        <v>169</v>
      </c>
      <c r="M2654" s="39" t="s">
        <v>167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909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1435</v>
      </c>
      <c r="E2655" s="191">
        <v>40899</v>
      </c>
      <c r="F2655" s="40" t="s">
        <v>1383</v>
      </c>
      <c r="G2655" s="40"/>
      <c r="H2655" s="632" t="s">
        <v>1116</v>
      </c>
      <c r="I2655" s="260">
        <v>47</v>
      </c>
      <c r="J2655" s="260">
        <v>18087.252866696508</v>
      </c>
      <c r="K2655" s="618">
        <f t="shared" si="217"/>
        <v>850101</v>
      </c>
      <c r="L2655" s="39" t="s">
        <v>169</v>
      </c>
      <c r="M2655" s="39" t="s">
        <v>167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909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1435</v>
      </c>
      <c r="E2656" s="191">
        <v>40899</v>
      </c>
      <c r="F2656" s="40" t="s">
        <v>1388</v>
      </c>
      <c r="G2656" s="40"/>
      <c r="H2656" s="632" t="s">
        <v>1116</v>
      </c>
      <c r="I2656" s="260">
        <v>260</v>
      </c>
      <c r="J2656" s="260">
        <v>17929.504339691601</v>
      </c>
      <c r="K2656" s="618">
        <f t="shared" si="217"/>
        <v>4661671</v>
      </c>
      <c r="L2656" s="39" t="s">
        <v>169</v>
      </c>
      <c r="M2656" s="39" t="s">
        <v>167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909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1436</v>
      </c>
      <c r="E2657" s="191">
        <v>40899</v>
      </c>
      <c r="F2657" s="40" t="s">
        <v>1401</v>
      </c>
      <c r="G2657" s="40"/>
      <c r="H2657" s="632" t="s">
        <v>1116</v>
      </c>
      <c r="I2657" s="260">
        <v>274</v>
      </c>
      <c r="J2657" s="260">
        <v>1995.5154851155157</v>
      </c>
      <c r="K2657" s="618">
        <f t="shared" si="217"/>
        <v>546771</v>
      </c>
      <c r="L2657" s="39" t="s">
        <v>169</v>
      </c>
      <c r="M2657" s="39" t="s">
        <v>167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909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1436</v>
      </c>
      <c r="E2658" s="191">
        <v>40899</v>
      </c>
      <c r="F2658" s="40" t="s">
        <v>1402</v>
      </c>
      <c r="G2658" s="40"/>
      <c r="H2658" s="632" t="s">
        <v>1116</v>
      </c>
      <c r="I2658" s="260">
        <v>44</v>
      </c>
      <c r="J2658" s="260">
        <v>1918.5536403908975</v>
      </c>
      <c r="K2658" s="618">
        <f t="shared" si="217"/>
        <v>84416</v>
      </c>
      <c r="L2658" s="39" t="s">
        <v>169</v>
      </c>
      <c r="M2658" s="39" t="s">
        <v>167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909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1436</v>
      </c>
      <c r="E2659" s="191">
        <v>40899</v>
      </c>
      <c r="F2659" s="40" t="s">
        <v>1403</v>
      </c>
      <c r="G2659" s="40"/>
      <c r="H2659" s="632" t="s">
        <v>1116</v>
      </c>
      <c r="I2659" s="260">
        <v>262</v>
      </c>
      <c r="J2659" s="260">
        <v>1662.0768881355191</v>
      </c>
      <c r="K2659" s="618">
        <f t="shared" si="217"/>
        <v>435464</v>
      </c>
      <c r="L2659" s="39" t="s">
        <v>169</v>
      </c>
      <c r="M2659" s="39" t="s">
        <v>167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909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1436</v>
      </c>
      <c r="E2660" s="191">
        <v>40899</v>
      </c>
      <c r="F2660" s="40" t="s">
        <v>1404</v>
      </c>
      <c r="G2660" s="40"/>
      <c r="H2660" s="632" t="s">
        <v>1116</v>
      </c>
      <c r="I2660" s="260">
        <v>262</v>
      </c>
      <c r="J2660" s="260">
        <v>2186.8249797385729</v>
      </c>
      <c r="K2660" s="618">
        <f t="shared" si="217"/>
        <v>572948</v>
      </c>
      <c r="L2660" s="39" t="s">
        <v>169</v>
      </c>
      <c r="M2660" s="39" t="s">
        <v>167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909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1436</v>
      </c>
      <c r="E2661" s="191">
        <v>40899</v>
      </c>
      <c r="F2661" s="40" t="s">
        <v>1405</v>
      </c>
      <c r="G2661" s="40"/>
      <c r="H2661" s="632" t="s">
        <v>1116</v>
      </c>
      <c r="I2661" s="260">
        <v>318</v>
      </c>
      <c r="J2661" s="260">
        <v>2070.6654185498455</v>
      </c>
      <c r="K2661" s="618">
        <f t="shared" si="217"/>
        <v>658472</v>
      </c>
      <c r="L2661" s="39" t="s">
        <v>169</v>
      </c>
      <c r="M2661" s="39" t="s">
        <v>167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909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1002</v>
      </c>
      <c r="E2662" s="191">
        <v>40899</v>
      </c>
      <c r="F2662" s="192" t="s">
        <v>1398</v>
      </c>
      <c r="G2662" s="502" t="s">
        <v>1399</v>
      </c>
      <c r="H2662" s="193" t="s">
        <v>756</v>
      </c>
      <c r="I2662" s="260">
        <v>76</v>
      </c>
      <c r="J2662" s="260">
        <v>5456.2450279507066</v>
      </c>
      <c r="K2662" s="881">
        <f t="shared" si="217"/>
        <v>414675</v>
      </c>
      <c r="L2662" s="869" t="s">
        <v>179</v>
      </c>
      <c r="M2662" s="869" t="s">
        <v>169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909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1002</v>
      </c>
      <c r="E2663" s="191">
        <v>40899</v>
      </c>
      <c r="F2663" s="192" t="s">
        <v>1400</v>
      </c>
      <c r="G2663" s="502" t="s">
        <v>1399</v>
      </c>
      <c r="H2663" s="193" t="s">
        <v>756</v>
      </c>
      <c r="I2663" s="260">
        <v>261</v>
      </c>
      <c r="J2663" s="260">
        <v>9918.5043544278178</v>
      </c>
      <c r="K2663" s="881">
        <f t="shared" si="217"/>
        <v>2588730</v>
      </c>
      <c r="L2663" s="869" t="s">
        <v>179</v>
      </c>
      <c r="M2663" s="869" t="s">
        <v>169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909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1002</v>
      </c>
      <c r="E2664" s="191">
        <v>40899</v>
      </c>
      <c r="F2664" s="192" t="s">
        <v>927</v>
      </c>
      <c r="G2664" s="502" t="s">
        <v>1399</v>
      </c>
      <c r="H2664" s="193" t="s">
        <v>756</v>
      </c>
      <c r="I2664" s="260">
        <v>65</v>
      </c>
      <c r="J2664" s="260">
        <v>9579.2774166146737</v>
      </c>
      <c r="K2664" s="881">
        <f t="shared" si="217"/>
        <v>622653</v>
      </c>
      <c r="L2664" s="869" t="s">
        <v>179</v>
      </c>
      <c r="M2664" s="869" t="s">
        <v>169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909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1002</v>
      </c>
      <c r="E2665" s="191">
        <v>40899</v>
      </c>
      <c r="F2665" s="192" t="s">
        <v>956</v>
      </c>
      <c r="G2665" s="502" t="s">
        <v>1399</v>
      </c>
      <c r="H2665" s="193" t="s">
        <v>756</v>
      </c>
      <c r="I2665" s="260">
        <v>1069</v>
      </c>
      <c r="J2665" s="260">
        <v>8032.3005151251436</v>
      </c>
      <c r="K2665" s="881">
        <f t="shared" si="217"/>
        <v>8586529</v>
      </c>
      <c r="L2665" s="869" t="s">
        <v>179</v>
      </c>
      <c r="M2665" s="869" t="s">
        <v>169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909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1002</v>
      </c>
      <c r="E2666" s="191">
        <v>40899</v>
      </c>
      <c r="F2666" s="192" t="s">
        <v>928</v>
      </c>
      <c r="G2666" s="502" t="s">
        <v>1399</v>
      </c>
      <c r="H2666" s="193" t="s">
        <v>756</v>
      </c>
      <c r="I2666" s="260">
        <v>276</v>
      </c>
      <c r="J2666" s="260">
        <v>14753.504562657037</v>
      </c>
      <c r="K2666" s="881">
        <f t="shared" si="217"/>
        <v>4071967</v>
      </c>
      <c r="L2666" s="869" t="s">
        <v>179</v>
      </c>
      <c r="M2666" s="869" t="s">
        <v>169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909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1002</v>
      </c>
      <c r="E2667" s="191">
        <v>40899</v>
      </c>
      <c r="F2667" s="192" t="s">
        <v>1383</v>
      </c>
      <c r="G2667" s="502" t="s">
        <v>1399</v>
      </c>
      <c r="H2667" s="193" t="s">
        <v>756</v>
      </c>
      <c r="I2667" s="260">
        <v>47</v>
      </c>
      <c r="J2667" s="260">
        <v>18087.252866696508</v>
      </c>
      <c r="K2667" s="881">
        <f t="shared" si="217"/>
        <v>850101</v>
      </c>
      <c r="L2667" s="869" t="s">
        <v>179</v>
      </c>
      <c r="M2667" s="869" t="s">
        <v>169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909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1002</v>
      </c>
      <c r="E2668" s="191">
        <v>40899</v>
      </c>
      <c r="F2668" s="192" t="s">
        <v>1388</v>
      </c>
      <c r="G2668" s="502" t="s">
        <v>1399</v>
      </c>
      <c r="H2668" s="193" t="s">
        <v>756</v>
      </c>
      <c r="I2668" s="260">
        <v>260</v>
      </c>
      <c r="J2668" s="260">
        <v>17929.504339691601</v>
      </c>
      <c r="K2668" s="881">
        <f t="shared" si="217"/>
        <v>4661671</v>
      </c>
      <c r="L2668" s="869" t="s">
        <v>179</v>
      </c>
      <c r="M2668" s="869" t="s">
        <v>169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909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1002</v>
      </c>
      <c r="E2669" s="191">
        <v>40899</v>
      </c>
      <c r="F2669" s="192" t="s">
        <v>1401</v>
      </c>
      <c r="G2669" s="502" t="s">
        <v>1399</v>
      </c>
      <c r="H2669" s="193" t="s">
        <v>756</v>
      </c>
      <c r="I2669" s="260">
        <v>274</v>
      </c>
      <c r="J2669" s="260">
        <v>1995.5154851155157</v>
      </c>
      <c r="K2669" s="881">
        <f t="shared" si="217"/>
        <v>546771</v>
      </c>
      <c r="L2669" s="869" t="s">
        <v>179</v>
      </c>
      <c r="M2669" s="869" t="s">
        <v>169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909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1002</v>
      </c>
      <c r="E2670" s="191">
        <v>40899</v>
      </c>
      <c r="F2670" s="192" t="s">
        <v>1402</v>
      </c>
      <c r="G2670" s="502" t="s">
        <v>1399</v>
      </c>
      <c r="H2670" s="193" t="s">
        <v>756</v>
      </c>
      <c r="I2670" s="260">
        <v>44</v>
      </c>
      <c r="J2670" s="260">
        <v>1918.5536403908975</v>
      </c>
      <c r="K2670" s="881">
        <f t="shared" si="217"/>
        <v>84416</v>
      </c>
      <c r="L2670" s="869" t="s">
        <v>179</v>
      </c>
      <c r="M2670" s="869" t="s">
        <v>169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909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1002</v>
      </c>
      <c r="E2671" s="191">
        <v>40899</v>
      </c>
      <c r="F2671" s="192" t="s">
        <v>1403</v>
      </c>
      <c r="G2671" s="502" t="s">
        <v>1399</v>
      </c>
      <c r="H2671" s="193" t="s">
        <v>756</v>
      </c>
      <c r="I2671" s="260">
        <v>262</v>
      </c>
      <c r="J2671" s="260">
        <v>1662.0768881355191</v>
      </c>
      <c r="K2671" s="881">
        <f t="shared" si="217"/>
        <v>435464</v>
      </c>
      <c r="L2671" s="869" t="s">
        <v>179</v>
      </c>
      <c r="M2671" s="869" t="s">
        <v>169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909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1002</v>
      </c>
      <c r="E2672" s="191">
        <v>40899</v>
      </c>
      <c r="F2672" s="192" t="s">
        <v>1404</v>
      </c>
      <c r="G2672" s="502" t="s">
        <v>1399</v>
      </c>
      <c r="H2672" s="193" t="s">
        <v>756</v>
      </c>
      <c r="I2672" s="260">
        <v>262</v>
      </c>
      <c r="J2672" s="260">
        <v>2186.8249797385729</v>
      </c>
      <c r="K2672" s="881">
        <f t="shared" si="217"/>
        <v>572948</v>
      </c>
      <c r="L2672" s="869" t="s">
        <v>179</v>
      </c>
      <c r="M2672" s="869" t="s">
        <v>169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909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1002</v>
      </c>
      <c r="E2673" s="191">
        <v>40899</v>
      </c>
      <c r="F2673" s="192" t="s">
        <v>1405</v>
      </c>
      <c r="G2673" s="502" t="s">
        <v>1399</v>
      </c>
      <c r="H2673" s="193" t="s">
        <v>756</v>
      </c>
      <c r="I2673" s="260">
        <v>318</v>
      </c>
      <c r="J2673" s="260">
        <v>2070.6654185498455</v>
      </c>
      <c r="K2673" s="881">
        <f t="shared" si="217"/>
        <v>658472</v>
      </c>
      <c r="L2673" s="869" t="s">
        <v>179</v>
      </c>
      <c r="M2673" s="869" t="s">
        <v>169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909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356</v>
      </c>
      <c r="E2674" s="184">
        <v>40901</v>
      </c>
      <c r="F2674" s="189" t="s">
        <v>387</v>
      </c>
      <c r="G2674" s="620" t="s">
        <v>353</v>
      </c>
      <c r="H2674" s="632"/>
      <c r="I2674" s="260"/>
      <c r="J2674" s="260"/>
      <c r="K2674" s="618">
        <v>62339</v>
      </c>
      <c r="L2674" s="619" t="s">
        <v>24</v>
      </c>
      <c r="M2674" s="619" t="s">
        <v>40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909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694</v>
      </c>
      <c r="E2675" s="184">
        <v>40901</v>
      </c>
      <c r="F2675" s="189" t="s">
        <v>1104</v>
      </c>
      <c r="G2675" s="502"/>
      <c r="H2675" s="7" t="s">
        <v>522</v>
      </c>
      <c r="I2675" s="260"/>
      <c r="J2675" s="260"/>
      <c r="K2675" s="38">
        <v>1715994</v>
      </c>
      <c r="L2675" s="194" t="s">
        <v>8</v>
      </c>
      <c r="M2675" s="194" t="s">
        <v>47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909"/>
      <c r="AB2675" s="610"/>
      <c r="AC2675" s="610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695</v>
      </c>
      <c r="E2676" s="184">
        <v>40901</v>
      </c>
      <c r="F2676" s="189" t="s">
        <v>1104</v>
      </c>
      <c r="G2676" s="502"/>
      <c r="H2676" s="7" t="s">
        <v>571</v>
      </c>
      <c r="I2676" s="260"/>
      <c r="J2676" s="260"/>
      <c r="K2676" s="38">
        <v>9998</v>
      </c>
      <c r="L2676" s="194" t="s">
        <v>8</v>
      </c>
      <c r="M2676" s="194" t="s">
        <v>47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909"/>
      <c r="AB2676" s="610"/>
      <c r="AC2676" s="610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978</v>
      </c>
      <c r="E2677" s="184">
        <v>40901</v>
      </c>
      <c r="F2677" s="192" t="s">
        <v>1230</v>
      </c>
      <c r="G2677" s="502"/>
      <c r="H2677" s="846" t="s">
        <v>789</v>
      </c>
      <c r="I2677" s="260"/>
      <c r="J2677" s="260"/>
      <c r="K2677" s="618">
        <v>1001286</v>
      </c>
      <c r="L2677" s="194" t="s">
        <v>47</v>
      </c>
      <c r="M2677" s="194" t="s">
        <v>274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909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75" t="s">
        <v>1446</v>
      </c>
      <c r="E2678" s="191">
        <v>40902</v>
      </c>
      <c r="F2678" s="189" t="s">
        <v>653</v>
      </c>
      <c r="G2678" s="40"/>
      <c r="H2678" s="632" t="s">
        <v>1116</v>
      </c>
      <c r="I2678" s="260">
        <v>54</v>
      </c>
      <c r="J2678" s="260">
        <v>9954</v>
      </c>
      <c r="K2678" s="618">
        <f t="shared" ref="K2678:K2706" si="220">ROUND(I2678*J2678,0)</f>
        <v>537516</v>
      </c>
      <c r="L2678" s="52" t="s">
        <v>167</v>
      </c>
      <c r="M2678" s="52" t="s">
        <v>159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909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75" t="s">
        <v>1446</v>
      </c>
      <c r="E2679" s="191">
        <v>40902</v>
      </c>
      <c r="F2679" s="189" t="s">
        <v>653</v>
      </c>
      <c r="G2679" s="40"/>
      <c r="H2679" s="632" t="s">
        <v>1116</v>
      </c>
      <c r="I2679" s="260">
        <v>54</v>
      </c>
      <c r="J2679" s="260">
        <v>9954</v>
      </c>
      <c r="K2679" s="618">
        <f t="shared" si="220"/>
        <v>537516</v>
      </c>
      <c r="L2679" s="52" t="s">
        <v>167</v>
      </c>
      <c r="M2679" s="52" t="s">
        <v>159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909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75" t="s">
        <v>1446</v>
      </c>
      <c r="E2680" s="191">
        <v>40902</v>
      </c>
      <c r="F2680" s="189" t="s">
        <v>513</v>
      </c>
      <c r="G2680" s="40"/>
      <c r="H2680" s="632" t="s">
        <v>1116</v>
      </c>
      <c r="I2680" s="260">
        <v>1</v>
      </c>
      <c r="J2680" s="260">
        <v>17427</v>
      </c>
      <c r="K2680" s="618">
        <f t="shared" si="220"/>
        <v>17427</v>
      </c>
      <c r="L2680" s="52" t="s">
        <v>167</v>
      </c>
      <c r="M2680" s="52" t="s">
        <v>159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909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75" t="s">
        <v>1446</v>
      </c>
      <c r="E2681" s="191">
        <v>40902</v>
      </c>
      <c r="F2681" s="40" t="s">
        <v>673</v>
      </c>
      <c r="G2681" s="40"/>
      <c r="H2681" s="632" t="s">
        <v>1116</v>
      </c>
      <c r="I2681" s="260">
        <v>7</v>
      </c>
      <c r="J2681" s="260">
        <v>15443</v>
      </c>
      <c r="K2681" s="618">
        <f t="shared" si="220"/>
        <v>108101</v>
      </c>
      <c r="L2681" s="52" t="s">
        <v>167</v>
      </c>
      <c r="M2681" s="52" t="s">
        <v>159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909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75" t="s">
        <v>1446</v>
      </c>
      <c r="E2682" s="191">
        <v>40902</v>
      </c>
      <c r="F2682" s="40" t="s">
        <v>665</v>
      </c>
      <c r="G2682" s="40"/>
      <c r="H2682" s="632" t="s">
        <v>1116</v>
      </c>
      <c r="I2682" s="260">
        <v>20</v>
      </c>
      <c r="J2682" s="260">
        <v>20278</v>
      </c>
      <c r="K2682" s="618">
        <f t="shared" si="220"/>
        <v>405560</v>
      </c>
      <c r="L2682" s="52" t="s">
        <v>167</v>
      </c>
      <c r="M2682" s="52" t="s">
        <v>159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909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75" t="s">
        <v>1446</v>
      </c>
      <c r="E2683" s="191">
        <v>40902</v>
      </c>
      <c r="F2683" s="40" t="s">
        <v>621</v>
      </c>
      <c r="G2683" s="40"/>
      <c r="H2683" s="632" t="s">
        <v>1116</v>
      </c>
      <c r="I2683" s="260">
        <v>10</v>
      </c>
      <c r="J2683" s="260">
        <v>17374</v>
      </c>
      <c r="K2683" s="618">
        <f t="shared" si="220"/>
        <v>173740</v>
      </c>
      <c r="L2683" s="52" t="s">
        <v>167</v>
      </c>
      <c r="M2683" s="52" t="s">
        <v>159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909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75" t="s">
        <v>1446</v>
      </c>
      <c r="E2684" s="191">
        <v>40902</v>
      </c>
      <c r="F2684" s="40" t="s">
        <v>673</v>
      </c>
      <c r="G2684" s="40"/>
      <c r="H2684" s="632" t="s">
        <v>1116</v>
      </c>
      <c r="I2684" s="260">
        <v>2</v>
      </c>
      <c r="J2684" s="260">
        <v>15443</v>
      </c>
      <c r="K2684" s="618">
        <f t="shared" si="220"/>
        <v>30886</v>
      </c>
      <c r="L2684" s="52" t="s">
        <v>167</v>
      </c>
      <c r="M2684" s="52" t="s">
        <v>159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909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75" t="s">
        <v>1446</v>
      </c>
      <c r="E2685" s="191">
        <v>40902</v>
      </c>
      <c r="F2685" s="40" t="s">
        <v>679</v>
      </c>
      <c r="G2685" s="40"/>
      <c r="H2685" s="632" t="s">
        <v>1116</v>
      </c>
      <c r="I2685" s="260">
        <v>108</v>
      </c>
      <c r="J2685" s="260">
        <v>16631</v>
      </c>
      <c r="K2685" s="618">
        <f t="shared" si="220"/>
        <v>1796148</v>
      </c>
      <c r="L2685" s="52" t="s">
        <v>167</v>
      </c>
      <c r="M2685" s="52" t="s">
        <v>159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909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75" t="s">
        <v>1446</v>
      </c>
      <c r="E2686" s="191">
        <v>40902</v>
      </c>
      <c r="F2686" s="40" t="s">
        <v>673</v>
      </c>
      <c r="G2686" s="40"/>
      <c r="H2686" s="632" t="s">
        <v>1116</v>
      </c>
      <c r="I2686" s="260">
        <v>2</v>
      </c>
      <c r="J2686" s="260">
        <v>15443</v>
      </c>
      <c r="K2686" s="618">
        <f t="shared" si="220"/>
        <v>30886</v>
      </c>
      <c r="L2686" s="52" t="s">
        <v>167</v>
      </c>
      <c r="M2686" s="52" t="s">
        <v>159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909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75" t="s">
        <v>1447</v>
      </c>
      <c r="E2687" s="191">
        <v>40902</v>
      </c>
      <c r="F2687" s="189" t="s">
        <v>530</v>
      </c>
      <c r="G2687" s="40"/>
      <c r="H2687" s="632" t="s">
        <v>1116</v>
      </c>
      <c r="I2687" s="260">
        <v>3</v>
      </c>
      <c r="J2687" s="260">
        <v>8620</v>
      </c>
      <c r="K2687" s="618">
        <f t="shared" si="220"/>
        <v>25860</v>
      </c>
      <c r="L2687" s="52" t="s">
        <v>167</v>
      </c>
      <c r="M2687" s="52" t="s">
        <v>159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909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75" t="s">
        <v>1447</v>
      </c>
      <c r="E2688" s="191">
        <v>40902</v>
      </c>
      <c r="F2688" s="189" t="s">
        <v>572</v>
      </c>
      <c r="G2688" s="40"/>
      <c r="H2688" s="632" t="s">
        <v>1116</v>
      </c>
      <c r="I2688" s="260">
        <v>2</v>
      </c>
      <c r="J2688" s="260">
        <v>13954</v>
      </c>
      <c r="K2688" s="618">
        <f t="shared" si="220"/>
        <v>27908</v>
      </c>
      <c r="L2688" s="52" t="s">
        <v>167</v>
      </c>
      <c r="M2688" s="52" t="s">
        <v>159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909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75" t="s">
        <v>1447</v>
      </c>
      <c r="E2689" s="191">
        <v>40902</v>
      </c>
      <c r="F2689" s="189" t="s">
        <v>513</v>
      </c>
      <c r="G2689" s="40"/>
      <c r="H2689" s="632" t="s">
        <v>1116</v>
      </c>
      <c r="I2689" s="260">
        <v>2</v>
      </c>
      <c r="J2689" s="260">
        <v>17427</v>
      </c>
      <c r="K2689" s="618">
        <f t="shared" si="220"/>
        <v>34854</v>
      </c>
      <c r="L2689" s="52" t="s">
        <v>167</v>
      </c>
      <c r="M2689" s="52" t="s">
        <v>159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909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75" t="s">
        <v>1447</v>
      </c>
      <c r="E2690" s="191">
        <v>40902</v>
      </c>
      <c r="F2690" s="40" t="s">
        <v>678</v>
      </c>
      <c r="G2690" s="40"/>
      <c r="H2690" s="632" t="s">
        <v>1116</v>
      </c>
      <c r="I2690" s="260">
        <v>2</v>
      </c>
      <c r="J2690" s="260">
        <v>13455</v>
      </c>
      <c r="K2690" s="618">
        <f t="shared" si="220"/>
        <v>26910</v>
      </c>
      <c r="L2690" s="52" t="s">
        <v>167</v>
      </c>
      <c r="M2690" s="52" t="s">
        <v>159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909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75" t="s">
        <v>1447</v>
      </c>
      <c r="E2691" s="191">
        <v>40902</v>
      </c>
      <c r="F2691" s="40" t="s">
        <v>678</v>
      </c>
      <c r="G2691" s="40"/>
      <c r="H2691" s="632" t="s">
        <v>1116</v>
      </c>
      <c r="I2691" s="260">
        <v>1</v>
      </c>
      <c r="J2691" s="260">
        <v>13455</v>
      </c>
      <c r="K2691" s="618">
        <f t="shared" si="220"/>
        <v>13455</v>
      </c>
      <c r="L2691" s="52" t="s">
        <v>167</v>
      </c>
      <c r="M2691" s="52" t="s">
        <v>159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909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75" t="s">
        <v>1447</v>
      </c>
      <c r="E2692" s="191">
        <v>40902</v>
      </c>
      <c r="F2692" s="40" t="s">
        <v>673</v>
      </c>
      <c r="G2692" s="40"/>
      <c r="H2692" s="632" t="s">
        <v>1116</v>
      </c>
      <c r="I2692" s="260">
        <v>1</v>
      </c>
      <c r="J2692" s="260">
        <v>15443</v>
      </c>
      <c r="K2692" s="618">
        <f t="shared" si="220"/>
        <v>15443</v>
      </c>
      <c r="L2692" s="52" t="s">
        <v>167</v>
      </c>
      <c r="M2692" s="52" t="s">
        <v>159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909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75" t="s">
        <v>1447</v>
      </c>
      <c r="E2693" s="191">
        <v>40902</v>
      </c>
      <c r="F2693" s="40" t="s">
        <v>678</v>
      </c>
      <c r="G2693" s="40"/>
      <c r="H2693" s="632" t="s">
        <v>1116</v>
      </c>
      <c r="I2693" s="260">
        <v>2</v>
      </c>
      <c r="J2693" s="260">
        <v>13455</v>
      </c>
      <c r="K2693" s="618">
        <f t="shared" si="220"/>
        <v>26910</v>
      </c>
      <c r="L2693" s="52" t="s">
        <v>167</v>
      </c>
      <c r="M2693" s="52" t="s">
        <v>159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909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75" t="s">
        <v>1447</v>
      </c>
      <c r="E2694" s="191">
        <v>40902</v>
      </c>
      <c r="F2694" s="40" t="s">
        <v>678</v>
      </c>
      <c r="G2694" s="40"/>
      <c r="H2694" s="632" t="s">
        <v>1116</v>
      </c>
      <c r="I2694" s="260">
        <v>1</v>
      </c>
      <c r="J2694" s="260">
        <v>13455</v>
      </c>
      <c r="K2694" s="618">
        <f t="shared" si="220"/>
        <v>13455</v>
      </c>
      <c r="L2694" s="52" t="s">
        <v>167</v>
      </c>
      <c r="M2694" s="52" t="s">
        <v>159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909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75" t="s">
        <v>1447</v>
      </c>
      <c r="E2695" s="191">
        <v>40902</v>
      </c>
      <c r="F2695" s="40" t="s">
        <v>673</v>
      </c>
      <c r="G2695" s="40"/>
      <c r="H2695" s="632" t="s">
        <v>1116</v>
      </c>
      <c r="I2695" s="260">
        <v>1</v>
      </c>
      <c r="J2695" s="260">
        <v>15443</v>
      </c>
      <c r="K2695" s="618">
        <f t="shared" si="220"/>
        <v>15443</v>
      </c>
      <c r="L2695" s="52" t="s">
        <v>167</v>
      </c>
      <c r="M2695" s="52" t="s">
        <v>159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909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75" t="s">
        <v>1448</v>
      </c>
      <c r="E2696" s="191">
        <v>40904</v>
      </c>
      <c r="F2696" s="40" t="s">
        <v>678</v>
      </c>
      <c r="G2696" s="40"/>
      <c r="H2696" s="632" t="s">
        <v>1116</v>
      </c>
      <c r="I2696" s="260">
        <v>1</v>
      </c>
      <c r="J2696" s="260">
        <v>13455</v>
      </c>
      <c r="K2696" s="618">
        <f t="shared" si="220"/>
        <v>13455</v>
      </c>
      <c r="L2696" s="52" t="s">
        <v>167</v>
      </c>
      <c r="M2696" s="52" t="s">
        <v>159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909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75" t="s">
        <v>1448</v>
      </c>
      <c r="E2697" s="191">
        <v>40904</v>
      </c>
      <c r="F2697" s="40" t="s">
        <v>668</v>
      </c>
      <c r="G2697" s="40"/>
      <c r="H2697" s="632" t="s">
        <v>1116</v>
      </c>
      <c r="I2697" s="260">
        <v>0.5</v>
      </c>
      <c r="J2697" s="260">
        <v>32878</v>
      </c>
      <c r="K2697" s="618">
        <f t="shared" si="220"/>
        <v>16439</v>
      </c>
      <c r="L2697" s="52" t="s">
        <v>167</v>
      </c>
      <c r="M2697" s="52" t="s">
        <v>159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909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75" t="s">
        <v>1448</v>
      </c>
      <c r="E2698" s="191">
        <v>40904</v>
      </c>
      <c r="F2698" s="40" t="s">
        <v>678</v>
      </c>
      <c r="G2698" s="40"/>
      <c r="H2698" s="632" t="s">
        <v>1116</v>
      </c>
      <c r="I2698" s="260">
        <v>11</v>
      </c>
      <c r="J2698" s="260">
        <v>13455</v>
      </c>
      <c r="K2698" s="618">
        <f t="shared" si="220"/>
        <v>148005</v>
      </c>
      <c r="L2698" s="52" t="s">
        <v>167</v>
      </c>
      <c r="M2698" s="52" t="s">
        <v>159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909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75" t="s">
        <v>1448</v>
      </c>
      <c r="E2699" s="191">
        <v>40904</v>
      </c>
      <c r="F2699" s="40" t="s">
        <v>679</v>
      </c>
      <c r="G2699" s="40"/>
      <c r="H2699" s="632" t="s">
        <v>1116</v>
      </c>
      <c r="I2699" s="260">
        <v>260</v>
      </c>
      <c r="J2699" s="260">
        <v>16631</v>
      </c>
      <c r="K2699" s="618">
        <f t="shared" si="220"/>
        <v>4324060</v>
      </c>
      <c r="L2699" s="52" t="s">
        <v>167</v>
      </c>
      <c r="M2699" s="52" t="s">
        <v>159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909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75" t="s">
        <v>1448</v>
      </c>
      <c r="E2700" s="191">
        <v>40904</v>
      </c>
      <c r="F2700" s="40" t="s">
        <v>673</v>
      </c>
      <c r="G2700" s="40"/>
      <c r="H2700" s="632" t="s">
        <v>1116</v>
      </c>
      <c r="I2700" s="260">
        <v>50</v>
      </c>
      <c r="J2700" s="260">
        <v>15443</v>
      </c>
      <c r="K2700" s="618">
        <f t="shared" si="220"/>
        <v>772150</v>
      </c>
      <c r="L2700" s="52" t="s">
        <v>167</v>
      </c>
      <c r="M2700" s="52" t="s">
        <v>159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909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75" t="s">
        <v>1448</v>
      </c>
      <c r="E2701" s="191">
        <v>40904</v>
      </c>
      <c r="F2701" s="40" t="s">
        <v>679</v>
      </c>
      <c r="G2701" s="40"/>
      <c r="H2701" s="632" t="s">
        <v>1116</v>
      </c>
      <c r="I2701" s="260">
        <v>100</v>
      </c>
      <c r="J2701" s="260">
        <v>16631</v>
      </c>
      <c r="K2701" s="618">
        <f t="shared" si="220"/>
        <v>1663100</v>
      </c>
      <c r="L2701" s="52" t="s">
        <v>167</v>
      </c>
      <c r="M2701" s="52" t="s">
        <v>159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909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75" t="s">
        <v>1448</v>
      </c>
      <c r="E2702" s="191">
        <v>40904</v>
      </c>
      <c r="F2702" s="40" t="s">
        <v>668</v>
      </c>
      <c r="G2702" s="40"/>
      <c r="H2702" s="632" t="s">
        <v>1116</v>
      </c>
      <c r="I2702" s="260">
        <v>25</v>
      </c>
      <c r="J2702" s="260">
        <v>32878</v>
      </c>
      <c r="K2702" s="618">
        <f t="shared" si="220"/>
        <v>821950</v>
      </c>
      <c r="L2702" s="52" t="s">
        <v>167</v>
      </c>
      <c r="M2702" s="52" t="s">
        <v>159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909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75" t="s">
        <v>1449</v>
      </c>
      <c r="E2703" s="191">
        <v>40904</v>
      </c>
      <c r="F2703" s="40" t="s">
        <v>679</v>
      </c>
      <c r="G2703" s="40"/>
      <c r="H2703" s="632" t="s">
        <v>1116</v>
      </c>
      <c r="I2703" s="260">
        <v>190</v>
      </c>
      <c r="J2703" s="260">
        <v>16631</v>
      </c>
      <c r="K2703" s="618">
        <f t="shared" si="220"/>
        <v>3159890</v>
      </c>
      <c r="L2703" s="52" t="s">
        <v>167</v>
      </c>
      <c r="M2703" s="52" t="s">
        <v>159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909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75" t="s">
        <v>1449</v>
      </c>
      <c r="E2704" s="191">
        <v>40904</v>
      </c>
      <c r="F2704" s="40" t="s">
        <v>679</v>
      </c>
      <c r="G2704" s="40"/>
      <c r="H2704" s="632" t="s">
        <v>1116</v>
      </c>
      <c r="I2704" s="260">
        <v>130</v>
      </c>
      <c r="J2704" s="260">
        <v>16631</v>
      </c>
      <c r="K2704" s="618">
        <f t="shared" si="220"/>
        <v>2162030</v>
      </c>
      <c r="L2704" s="52" t="s">
        <v>167</v>
      </c>
      <c r="M2704" s="52" t="s">
        <v>159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909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75" t="s">
        <v>1449</v>
      </c>
      <c r="E2705" s="191">
        <v>40904</v>
      </c>
      <c r="F2705" s="40" t="s">
        <v>679</v>
      </c>
      <c r="G2705" s="40"/>
      <c r="H2705" s="632" t="s">
        <v>1116</v>
      </c>
      <c r="I2705" s="260">
        <v>110</v>
      </c>
      <c r="J2705" s="260">
        <v>16631</v>
      </c>
      <c r="K2705" s="618">
        <f t="shared" si="220"/>
        <v>1829410</v>
      </c>
      <c r="L2705" s="52" t="s">
        <v>167</v>
      </c>
      <c r="M2705" s="52" t="s">
        <v>159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909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75" t="s">
        <v>1449</v>
      </c>
      <c r="E2706" s="191">
        <v>40904</v>
      </c>
      <c r="F2706" s="40" t="s">
        <v>668</v>
      </c>
      <c r="G2706" s="40"/>
      <c r="H2706" s="632" t="s">
        <v>1116</v>
      </c>
      <c r="I2706" s="260">
        <v>6</v>
      </c>
      <c r="J2706" s="260">
        <v>32878</v>
      </c>
      <c r="K2706" s="618">
        <f t="shared" si="220"/>
        <v>197268</v>
      </c>
      <c r="L2706" s="52" t="s">
        <v>167</v>
      </c>
      <c r="M2706" s="52" t="s">
        <v>159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909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1003</v>
      </c>
      <c r="E2707" s="191">
        <v>40907</v>
      </c>
      <c r="F2707" s="192" t="s">
        <v>1406</v>
      </c>
      <c r="G2707" s="502" t="s">
        <v>1407</v>
      </c>
      <c r="H2707" s="193" t="s">
        <v>787</v>
      </c>
      <c r="I2707" s="260">
        <v>392</v>
      </c>
      <c r="J2707" s="260">
        <v>11800</v>
      </c>
      <c r="K2707" s="618">
        <v>4625600</v>
      </c>
      <c r="L2707" s="194" t="s">
        <v>274</v>
      </c>
      <c r="M2707" s="194" t="s">
        <v>181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909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1003</v>
      </c>
      <c r="E2708" s="191">
        <v>40907</v>
      </c>
      <c r="F2708" s="192" t="s">
        <v>1200</v>
      </c>
      <c r="G2708" s="502" t="s">
        <v>1407</v>
      </c>
      <c r="H2708" s="193" t="s">
        <v>787</v>
      </c>
      <c r="I2708" s="260"/>
      <c r="J2708" s="260"/>
      <c r="K2708" s="618">
        <f>462560+1</f>
        <v>462561</v>
      </c>
      <c r="L2708" s="194" t="s">
        <v>274</v>
      </c>
      <c r="M2708" s="194" t="s">
        <v>754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909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974</v>
      </c>
      <c r="E2709" s="191">
        <v>40907</v>
      </c>
      <c r="F2709" s="192" t="s">
        <v>1200</v>
      </c>
      <c r="G2709" s="502" t="s">
        <v>1407</v>
      </c>
      <c r="H2709" s="193" t="s">
        <v>787</v>
      </c>
      <c r="I2709" s="260"/>
      <c r="J2709" s="260"/>
      <c r="K2709" s="618">
        <v>5088161</v>
      </c>
      <c r="L2709" s="194" t="s">
        <v>47</v>
      </c>
      <c r="M2709" s="194" t="s">
        <v>274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909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1004</v>
      </c>
      <c r="E2710" s="191">
        <v>40907</v>
      </c>
      <c r="F2710" s="192" t="s">
        <v>1408</v>
      </c>
      <c r="G2710" s="502" t="s">
        <v>657</v>
      </c>
      <c r="H2710" s="193" t="s">
        <v>756</v>
      </c>
      <c r="I2710" s="260">
        <v>65</v>
      </c>
      <c r="J2710" s="260">
        <v>22324</v>
      </c>
      <c r="K2710" s="618">
        <v>1451060</v>
      </c>
      <c r="L2710" s="194" t="s">
        <v>274</v>
      </c>
      <c r="M2710" s="194" t="s">
        <v>181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909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1004</v>
      </c>
      <c r="E2711" s="191">
        <v>40907</v>
      </c>
      <c r="F2711" s="192" t="s">
        <v>1409</v>
      </c>
      <c r="G2711" s="502" t="s">
        <v>657</v>
      </c>
      <c r="H2711" s="193" t="s">
        <v>756</v>
      </c>
      <c r="I2711" s="260">
        <v>10</v>
      </c>
      <c r="J2711" s="260">
        <v>18984</v>
      </c>
      <c r="K2711" s="618">
        <v>189840</v>
      </c>
      <c r="L2711" s="194" t="s">
        <v>274</v>
      </c>
      <c r="M2711" s="194" t="s">
        <v>181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909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1004</v>
      </c>
      <c r="E2712" s="191">
        <v>40907</v>
      </c>
      <c r="F2712" s="192" t="s">
        <v>1410</v>
      </c>
      <c r="G2712" s="502" t="s">
        <v>657</v>
      </c>
      <c r="H2712" s="193" t="s">
        <v>756</v>
      </c>
      <c r="I2712" s="260">
        <v>106</v>
      </c>
      <c r="J2712" s="260">
        <v>24273</v>
      </c>
      <c r="K2712" s="618">
        <v>2572938</v>
      </c>
      <c r="L2712" s="194" t="s">
        <v>274</v>
      </c>
      <c r="M2712" s="194" t="s">
        <v>181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909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1004</v>
      </c>
      <c r="E2713" s="191">
        <v>40907</v>
      </c>
      <c r="F2713" s="192" t="s">
        <v>1411</v>
      </c>
      <c r="G2713" s="502" t="s">
        <v>657</v>
      </c>
      <c r="H2713" s="193" t="s">
        <v>756</v>
      </c>
      <c r="I2713" s="260">
        <v>76</v>
      </c>
      <c r="J2713" s="260">
        <v>17216</v>
      </c>
      <c r="K2713" s="618">
        <v>1308416</v>
      </c>
      <c r="L2713" s="194" t="s">
        <v>274</v>
      </c>
      <c r="M2713" s="194" t="s">
        <v>181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909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1004</v>
      </c>
      <c r="E2714" s="191">
        <v>40907</v>
      </c>
      <c r="F2714" s="192" t="s">
        <v>1388</v>
      </c>
      <c r="G2714" s="502" t="s">
        <v>657</v>
      </c>
      <c r="H2714" s="193" t="s">
        <v>756</v>
      </c>
      <c r="I2714" s="260">
        <v>208</v>
      </c>
      <c r="J2714" s="260">
        <v>23012</v>
      </c>
      <c r="K2714" s="618">
        <v>4786496</v>
      </c>
      <c r="L2714" s="194" t="s">
        <v>274</v>
      </c>
      <c r="M2714" s="194" t="s">
        <v>181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909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1004</v>
      </c>
      <c r="E2715" s="191">
        <v>40907</v>
      </c>
      <c r="F2715" s="192" t="s">
        <v>1412</v>
      </c>
      <c r="G2715" s="502" t="s">
        <v>657</v>
      </c>
      <c r="H2715" s="193" t="s">
        <v>756</v>
      </c>
      <c r="I2715" s="260">
        <v>1</v>
      </c>
      <c r="J2715" s="260">
        <v>10643</v>
      </c>
      <c r="K2715" s="618">
        <v>10643</v>
      </c>
      <c r="L2715" s="194" t="s">
        <v>274</v>
      </c>
      <c r="M2715" s="194" t="s">
        <v>181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909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1004</v>
      </c>
      <c r="E2716" s="191">
        <v>40907</v>
      </c>
      <c r="F2716" s="192" t="s">
        <v>1413</v>
      </c>
      <c r="G2716" s="502" t="s">
        <v>657</v>
      </c>
      <c r="H2716" s="193" t="s">
        <v>756</v>
      </c>
      <c r="I2716" s="260">
        <v>12</v>
      </c>
      <c r="J2716" s="260">
        <v>14530</v>
      </c>
      <c r="K2716" s="618">
        <v>174360</v>
      </c>
      <c r="L2716" s="194" t="s">
        <v>274</v>
      </c>
      <c r="M2716" s="194" t="s">
        <v>181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909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1004</v>
      </c>
      <c r="E2717" s="191">
        <v>40907</v>
      </c>
      <c r="F2717" s="192" t="s">
        <v>956</v>
      </c>
      <c r="G2717" s="502" t="s">
        <v>657</v>
      </c>
      <c r="H2717" s="193" t="s">
        <v>756</v>
      </c>
      <c r="I2717" s="260">
        <v>91</v>
      </c>
      <c r="J2717" s="260">
        <v>11840</v>
      </c>
      <c r="K2717" s="618">
        <v>1077440</v>
      </c>
      <c r="L2717" s="194" t="s">
        <v>274</v>
      </c>
      <c r="M2717" s="194" t="s">
        <v>181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909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1004</v>
      </c>
      <c r="E2718" s="191">
        <v>40907</v>
      </c>
      <c r="F2718" s="192" t="s">
        <v>1414</v>
      </c>
      <c r="G2718" s="502" t="s">
        <v>657</v>
      </c>
      <c r="H2718" s="193" t="s">
        <v>756</v>
      </c>
      <c r="I2718" s="260">
        <v>1140</v>
      </c>
      <c r="J2718" s="260">
        <v>1310</v>
      </c>
      <c r="K2718" s="618">
        <v>1493400</v>
      </c>
      <c r="L2718" s="194" t="s">
        <v>274</v>
      </c>
      <c r="M2718" s="194" t="s">
        <v>181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909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1004</v>
      </c>
      <c r="E2719" s="191">
        <v>40907</v>
      </c>
      <c r="F2719" s="192" t="s">
        <v>1405</v>
      </c>
      <c r="G2719" s="502" t="s">
        <v>657</v>
      </c>
      <c r="H2719" s="193" t="s">
        <v>756</v>
      </c>
      <c r="I2719" s="260">
        <v>1140</v>
      </c>
      <c r="J2719" s="260">
        <v>1556</v>
      </c>
      <c r="K2719" s="618">
        <v>1773840</v>
      </c>
      <c r="L2719" s="194" t="s">
        <v>274</v>
      </c>
      <c r="M2719" s="194" t="s">
        <v>181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909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1004</v>
      </c>
      <c r="E2720" s="191">
        <v>40907</v>
      </c>
      <c r="F2720" s="192" t="s">
        <v>1383</v>
      </c>
      <c r="G2720" s="502" t="s">
        <v>657</v>
      </c>
      <c r="H2720" s="193" t="s">
        <v>756</v>
      </c>
      <c r="I2720" s="260">
        <v>1</v>
      </c>
      <c r="J2720" s="260">
        <v>18928</v>
      </c>
      <c r="K2720" s="618">
        <v>18928</v>
      </c>
      <c r="L2720" s="194" t="s">
        <v>274</v>
      </c>
      <c r="M2720" s="194" t="s">
        <v>181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909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1004</v>
      </c>
      <c r="E2721" s="191">
        <v>40907</v>
      </c>
      <c r="F2721" s="192" t="s">
        <v>1415</v>
      </c>
      <c r="G2721" s="502" t="s">
        <v>657</v>
      </c>
      <c r="H2721" s="193" t="s">
        <v>756</v>
      </c>
      <c r="I2721" s="260">
        <v>7</v>
      </c>
      <c r="J2721" s="260">
        <v>17667</v>
      </c>
      <c r="K2721" s="618">
        <v>123669</v>
      </c>
      <c r="L2721" s="194" t="s">
        <v>274</v>
      </c>
      <c r="M2721" s="194" t="s">
        <v>181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909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1004</v>
      </c>
      <c r="E2722" s="191">
        <v>40907</v>
      </c>
      <c r="F2722" s="192" t="s">
        <v>1388</v>
      </c>
      <c r="G2722" s="502" t="s">
        <v>657</v>
      </c>
      <c r="H2722" s="193" t="s">
        <v>756</v>
      </c>
      <c r="I2722" s="260">
        <v>20</v>
      </c>
      <c r="J2722" s="260">
        <v>23117</v>
      </c>
      <c r="K2722" s="618">
        <v>462340</v>
      </c>
      <c r="L2722" s="194" t="s">
        <v>274</v>
      </c>
      <c r="M2722" s="194" t="s">
        <v>181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909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1004</v>
      </c>
      <c r="E2723" s="191">
        <v>40907</v>
      </c>
      <c r="F2723" s="192" t="s">
        <v>1416</v>
      </c>
      <c r="G2723" s="502" t="s">
        <v>657</v>
      </c>
      <c r="H2723" s="193" t="s">
        <v>756</v>
      </c>
      <c r="I2723" s="260">
        <v>10</v>
      </c>
      <c r="J2723" s="260">
        <v>19203</v>
      </c>
      <c r="K2723" s="618">
        <v>192030</v>
      </c>
      <c r="L2723" s="194" t="s">
        <v>274</v>
      </c>
      <c r="M2723" s="194" t="s">
        <v>181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909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1004</v>
      </c>
      <c r="E2724" s="191">
        <v>40907</v>
      </c>
      <c r="F2724" s="192" t="s">
        <v>1200</v>
      </c>
      <c r="G2724" s="502" t="s">
        <v>657</v>
      </c>
      <c r="H2724" s="193" t="s">
        <v>756</v>
      </c>
      <c r="I2724" s="260"/>
      <c r="J2724" s="260"/>
      <c r="K2724" s="618">
        <v>1563540</v>
      </c>
      <c r="L2724" s="194" t="s">
        <v>274</v>
      </c>
      <c r="M2724" s="194" t="s">
        <v>754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909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1005</v>
      </c>
      <c r="E2725" s="191">
        <v>40907</v>
      </c>
      <c r="F2725" s="192" t="s">
        <v>1334</v>
      </c>
      <c r="G2725" s="502" t="s">
        <v>1417</v>
      </c>
      <c r="H2725" s="193" t="s">
        <v>756</v>
      </c>
      <c r="I2725" s="260">
        <v>2</v>
      </c>
      <c r="J2725" s="260">
        <v>16215</v>
      </c>
      <c r="K2725" s="618">
        <v>32430</v>
      </c>
      <c r="L2725" s="194" t="s">
        <v>274</v>
      </c>
      <c r="M2725" s="194" t="s">
        <v>181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909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1005</v>
      </c>
      <c r="E2726" s="191">
        <v>40907</v>
      </c>
      <c r="F2726" s="192" t="s">
        <v>1388</v>
      </c>
      <c r="G2726" s="502" t="s">
        <v>1417</v>
      </c>
      <c r="H2726" s="193" t="s">
        <v>756</v>
      </c>
      <c r="I2726" s="260">
        <v>108</v>
      </c>
      <c r="J2726" s="260">
        <v>23012</v>
      </c>
      <c r="K2726" s="618">
        <v>2485296</v>
      </c>
      <c r="L2726" s="194" t="s">
        <v>274</v>
      </c>
      <c r="M2726" s="194" t="s">
        <v>181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909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1005</v>
      </c>
      <c r="E2727" s="191">
        <v>40907</v>
      </c>
      <c r="F2727" s="192" t="s">
        <v>1415</v>
      </c>
      <c r="G2727" s="502" t="s">
        <v>1417</v>
      </c>
      <c r="H2727" s="193" t="s">
        <v>756</v>
      </c>
      <c r="I2727" s="260">
        <v>2</v>
      </c>
      <c r="J2727" s="260">
        <v>17667</v>
      </c>
      <c r="K2727" s="618">
        <v>35334</v>
      </c>
      <c r="L2727" s="194" t="s">
        <v>274</v>
      </c>
      <c r="M2727" s="194" t="s">
        <v>181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909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1005</v>
      </c>
      <c r="E2728" s="191">
        <v>40907</v>
      </c>
      <c r="F2728" s="192" t="s">
        <v>1418</v>
      </c>
      <c r="G2728" s="502" t="s">
        <v>1417</v>
      </c>
      <c r="H2728" s="193" t="s">
        <v>756</v>
      </c>
      <c r="I2728" s="260">
        <v>3</v>
      </c>
      <c r="J2728" s="260">
        <v>10778</v>
      </c>
      <c r="K2728" s="618">
        <v>32334</v>
      </c>
      <c r="L2728" s="194" t="s">
        <v>274</v>
      </c>
      <c r="M2728" s="194" t="s">
        <v>181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909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1005</v>
      </c>
      <c r="E2729" s="191">
        <v>40907</v>
      </c>
      <c r="F2729" s="192" t="s">
        <v>1419</v>
      </c>
      <c r="G2729" s="502" t="s">
        <v>1417</v>
      </c>
      <c r="H2729" s="193" t="s">
        <v>756</v>
      </c>
      <c r="I2729" s="260">
        <v>2</v>
      </c>
      <c r="J2729" s="260">
        <v>18002</v>
      </c>
      <c r="K2729" s="618">
        <v>36004</v>
      </c>
      <c r="L2729" s="194" t="s">
        <v>274</v>
      </c>
      <c r="M2729" s="194" t="s">
        <v>181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909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1005</v>
      </c>
      <c r="E2730" s="191">
        <v>40907</v>
      </c>
      <c r="F2730" s="192" t="s">
        <v>1333</v>
      </c>
      <c r="G2730" s="502" t="s">
        <v>1417</v>
      </c>
      <c r="H2730" s="193" t="s">
        <v>756</v>
      </c>
      <c r="I2730" s="260">
        <v>4</v>
      </c>
      <c r="J2730" s="260">
        <v>11987</v>
      </c>
      <c r="K2730" s="618">
        <v>47948</v>
      </c>
      <c r="L2730" s="194" t="s">
        <v>274</v>
      </c>
      <c r="M2730" s="194" t="s">
        <v>181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909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1005</v>
      </c>
      <c r="E2731" s="191">
        <v>40907</v>
      </c>
      <c r="F2731" s="192" t="s">
        <v>1336</v>
      </c>
      <c r="G2731" s="502" t="s">
        <v>1417</v>
      </c>
      <c r="H2731" s="193" t="s">
        <v>756</v>
      </c>
      <c r="I2731" s="260">
        <v>2</v>
      </c>
      <c r="J2731" s="260">
        <v>14798</v>
      </c>
      <c r="K2731" s="618">
        <v>29596</v>
      </c>
      <c r="L2731" s="194" t="s">
        <v>274</v>
      </c>
      <c r="M2731" s="194" t="s">
        <v>181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909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1005</v>
      </c>
      <c r="E2732" s="191">
        <v>40907</v>
      </c>
      <c r="F2732" s="192" t="s">
        <v>1420</v>
      </c>
      <c r="G2732" s="502" t="s">
        <v>1417</v>
      </c>
      <c r="H2732" s="193" t="s">
        <v>756</v>
      </c>
      <c r="I2732" s="260">
        <v>1</v>
      </c>
      <c r="J2732" s="260">
        <v>13310</v>
      </c>
      <c r="K2732" s="618">
        <v>13310</v>
      </c>
      <c r="L2732" s="194" t="s">
        <v>274</v>
      </c>
      <c r="M2732" s="194" t="s">
        <v>181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909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1005</v>
      </c>
      <c r="E2733" s="191">
        <v>40907</v>
      </c>
      <c r="F2733" s="192" t="s">
        <v>1411</v>
      </c>
      <c r="G2733" s="502" t="s">
        <v>1417</v>
      </c>
      <c r="H2733" s="193" t="s">
        <v>756</v>
      </c>
      <c r="I2733" s="260">
        <v>1</v>
      </c>
      <c r="J2733" s="260">
        <v>17216</v>
      </c>
      <c r="K2733" s="618">
        <v>17216</v>
      </c>
      <c r="L2733" s="194" t="s">
        <v>274</v>
      </c>
      <c r="M2733" s="194" t="s">
        <v>181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909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1005</v>
      </c>
      <c r="E2734" s="191">
        <v>40907</v>
      </c>
      <c r="F2734" s="192" t="s">
        <v>1421</v>
      </c>
      <c r="G2734" s="502" t="s">
        <v>1417</v>
      </c>
      <c r="H2734" s="193" t="s">
        <v>756</v>
      </c>
      <c r="I2734" s="260">
        <v>2</v>
      </c>
      <c r="J2734" s="260">
        <v>15261</v>
      </c>
      <c r="K2734" s="618">
        <v>30522</v>
      </c>
      <c r="L2734" s="194" t="s">
        <v>274</v>
      </c>
      <c r="M2734" s="194" t="s">
        <v>181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909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1005</v>
      </c>
      <c r="E2735" s="191">
        <v>40907</v>
      </c>
      <c r="F2735" s="192" t="s">
        <v>767</v>
      </c>
      <c r="G2735" s="502" t="s">
        <v>1417</v>
      </c>
      <c r="H2735" s="193" t="s">
        <v>756</v>
      </c>
      <c r="I2735" s="260">
        <v>1</v>
      </c>
      <c r="J2735" s="260">
        <v>14462</v>
      </c>
      <c r="K2735" s="618">
        <v>14462</v>
      </c>
      <c r="L2735" s="194" t="s">
        <v>274</v>
      </c>
      <c r="M2735" s="194" t="s">
        <v>181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909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1005</v>
      </c>
      <c r="E2736" s="191">
        <v>40907</v>
      </c>
      <c r="F2736" s="192" t="s">
        <v>1422</v>
      </c>
      <c r="G2736" s="502" t="s">
        <v>1417</v>
      </c>
      <c r="H2736" s="193" t="s">
        <v>756</v>
      </c>
      <c r="I2736" s="260">
        <v>1</v>
      </c>
      <c r="J2736" s="260">
        <v>16025</v>
      </c>
      <c r="K2736" s="618">
        <v>16025</v>
      </c>
      <c r="L2736" s="194" t="s">
        <v>274</v>
      </c>
      <c r="M2736" s="194" t="s">
        <v>181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909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1005</v>
      </c>
      <c r="E2737" s="191">
        <v>40907</v>
      </c>
      <c r="F2737" s="192" t="s">
        <v>1423</v>
      </c>
      <c r="G2737" s="502" t="s">
        <v>1417</v>
      </c>
      <c r="H2737" s="193" t="s">
        <v>756</v>
      </c>
      <c r="I2737" s="260">
        <v>1</v>
      </c>
      <c r="J2737" s="260">
        <v>13871</v>
      </c>
      <c r="K2737" s="618">
        <v>13871</v>
      </c>
      <c r="L2737" s="194" t="s">
        <v>274</v>
      </c>
      <c r="M2737" s="194" t="s">
        <v>181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909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1005</v>
      </c>
      <c r="E2738" s="191">
        <v>40907</v>
      </c>
      <c r="F2738" s="192" t="s">
        <v>1424</v>
      </c>
      <c r="G2738" s="502" t="s">
        <v>1417</v>
      </c>
      <c r="H2738" s="193" t="s">
        <v>756</v>
      </c>
      <c r="I2738" s="260">
        <v>1</v>
      </c>
      <c r="J2738" s="260">
        <v>19814</v>
      </c>
      <c r="K2738" s="618">
        <v>19814</v>
      </c>
      <c r="L2738" s="194" t="s">
        <v>274</v>
      </c>
      <c r="M2738" s="194" t="s">
        <v>181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909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1005</v>
      </c>
      <c r="E2739" s="191">
        <v>40907</v>
      </c>
      <c r="F2739" s="192" t="s">
        <v>1384</v>
      </c>
      <c r="G2739" s="502" t="s">
        <v>1417</v>
      </c>
      <c r="H2739" s="193" t="s">
        <v>756</v>
      </c>
      <c r="I2739" s="260">
        <v>11</v>
      </c>
      <c r="J2739" s="260">
        <v>15524</v>
      </c>
      <c r="K2739" s="618">
        <v>170764</v>
      </c>
      <c r="L2739" s="194" t="s">
        <v>274</v>
      </c>
      <c r="M2739" s="194" t="s">
        <v>181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909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1005</v>
      </c>
      <c r="E2740" s="191">
        <v>40907</v>
      </c>
      <c r="F2740" s="192" t="s">
        <v>1385</v>
      </c>
      <c r="G2740" s="502" t="s">
        <v>1417</v>
      </c>
      <c r="H2740" s="193" t="s">
        <v>756</v>
      </c>
      <c r="I2740" s="260">
        <v>260</v>
      </c>
      <c r="J2740" s="260">
        <v>24159</v>
      </c>
      <c r="K2740" s="618">
        <v>6281340</v>
      </c>
      <c r="L2740" s="194" t="s">
        <v>274</v>
      </c>
      <c r="M2740" s="194" t="s">
        <v>181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909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1005</v>
      </c>
      <c r="E2741" s="191">
        <v>40907</v>
      </c>
      <c r="F2741" s="192" t="s">
        <v>1200</v>
      </c>
      <c r="G2741" s="502" t="s">
        <v>1417</v>
      </c>
      <c r="H2741" s="193" t="s">
        <v>756</v>
      </c>
      <c r="I2741" s="260"/>
      <c r="J2741" s="260"/>
      <c r="K2741" s="618">
        <f>927627+1</f>
        <v>927628</v>
      </c>
      <c r="L2741" s="194" t="s">
        <v>274</v>
      </c>
      <c r="M2741" s="194" t="s">
        <v>754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909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1006</v>
      </c>
      <c r="E2742" s="191">
        <v>40907</v>
      </c>
      <c r="F2742" s="192" t="s">
        <v>1353</v>
      </c>
      <c r="G2742" s="502" t="s">
        <v>1425</v>
      </c>
      <c r="H2742" s="193" t="s">
        <v>758</v>
      </c>
      <c r="I2742" s="260">
        <v>50</v>
      </c>
      <c r="J2742" s="260">
        <v>18100</v>
      </c>
      <c r="K2742" s="618">
        <v>905000</v>
      </c>
      <c r="L2742" s="194" t="s">
        <v>274</v>
      </c>
      <c r="M2742" s="194" t="s">
        <v>181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909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1006</v>
      </c>
      <c r="E2743" s="191">
        <v>40907</v>
      </c>
      <c r="F2743" s="192" t="s">
        <v>1355</v>
      </c>
      <c r="G2743" s="502" t="s">
        <v>1425</v>
      </c>
      <c r="H2743" s="193" t="s">
        <v>758</v>
      </c>
      <c r="I2743" s="260">
        <v>100</v>
      </c>
      <c r="J2743" s="260">
        <v>23260</v>
      </c>
      <c r="K2743" s="618">
        <v>2326000</v>
      </c>
      <c r="L2743" s="194" t="s">
        <v>274</v>
      </c>
      <c r="M2743" s="194" t="s">
        <v>181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909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1006</v>
      </c>
      <c r="E2744" s="191">
        <v>40907</v>
      </c>
      <c r="F2744" s="192" t="s">
        <v>1356</v>
      </c>
      <c r="G2744" s="502" t="s">
        <v>1425</v>
      </c>
      <c r="H2744" s="193" t="s">
        <v>758</v>
      </c>
      <c r="I2744" s="260">
        <v>50</v>
      </c>
      <c r="J2744" s="260">
        <v>20090</v>
      </c>
      <c r="K2744" s="618">
        <v>1004500</v>
      </c>
      <c r="L2744" s="194" t="s">
        <v>274</v>
      </c>
      <c r="M2744" s="194" t="s">
        <v>181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909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1006</v>
      </c>
      <c r="E2745" s="191">
        <v>40907</v>
      </c>
      <c r="F2745" s="192" t="s">
        <v>1357</v>
      </c>
      <c r="G2745" s="502" t="s">
        <v>1425</v>
      </c>
      <c r="H2745" s="193" t="s">
        <v>758</v>
      </c>
      <c r="I2745" s="260">
        <v>190</v>
      </c>
      <c r="J2745" s="260">
        <v>18170</v>
      </c>
      <c r="K2745" s="618">
        <v>3452300</v>
      </c>
      <c r="L2745" s="194" t="s">
        <v>274</v>
      </c>
      <c r="M2745" s="194" t="s">
        <v>181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909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1006</v>
      </c>
      <c r="E2746" s="191">
        <v>40907</v>
      </c>
      <c r="F2746" s="192" t="s">
        <v>1358</v>
      </c>
      <c r="G2746" s="502" t="s">
        <v>1425</v>
      </c>
      <c r="H2746" s="193" t="s">
        <v>758</v>
      </c>
      <c r="I2746" s="260">
        <v>130</v>
      </c>
      <c r="J2746" s="260">
        <v>19420</v>
      </c>
      <c r="K2746" s="618">
        <v>2524600</v>
      </c>
      <c r="L2746" s="194" t="s">
        <v>274</v>
      </c>
      <c r="M2746" s="194" t="s">
        <v>181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909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1006</v>
      </c>
      <c r="E2747" s="191">
        <v>40907</v>
      </c>
      <c r="F2747" s="192" t="s">
        <v>1359</v>
      </c>
      <c r="G2747" s="502" t="s">
        <v>1425</v>
      </c>
      <c r="H2747" s="193" t="s">
        <v>758</v>
      </c>
      <c r="I2747" s="260">
        <v>110</v>
      </c>
      <c r="J2747" s="260">
        <v>19450</v>
      </c>
      <c r="K2747" s="618">
        <v>2139500</v>
      </c>
      <c r="L2747" s="194" t="s">
        <v>274</v>
      </c>
      <c r="M2747" s="194" t="s">
        <v>181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909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1006</v>
      </c>
      <c r="E2748" s="191">
        <v>40907</v>
      </c>
      <c r="F2748" s="192" t="s">
        <v>1426</v>
      </c>
      <c r="G2748" s="502" t="s">
        <v>1425</v>
      </c>
      <c r="H2748" s="193" t="s">
        <v>758</v>
      </c>
      <c r="I2748" s="260">
        <v>12</v>
      </c>
      <c r="J2748" s="260">
        <v>19625</v>
      </c>
      <c r="K2748" s="618">
        <v>235500</v>
      </c>
      <c r="L2748" s="194" t="s">
        <v>274</v>
      </c>
      <c r="M2748" s="194" t="s">
        <v>181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909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1006</v>
      </c>
      <c r="E2749" s="191">
        <v>40907</v>
      </c>
      <c r="F2749" s="192" t="s">
        <v>1200</v>
      </c>
      <c r="G2749" s="502" t="s">
        <v>1425</v>
      </c>
      <c r="H2749" s="193" t="s">
        <v>758</v>
      </c>
      <c r="I2749" s="260"/>
      <c r="J2749" s="260"/>
      <c r="K2749" s="618">
        <v>1258740</v>
      </c>
      <c r="L2749" s="194" t="s">
        <v>274</v>
      </c>
      <c r="M2749" s="194" t="s">
        <v>754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909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1437</v>
      </c>
      <c r="E2750" s="191">
        <v>40907</v>
      </c>
      <c r="F2750" s="40" t="s">
        <v>1406</v>
      </c>
      <c r="G2750" s="40"/>
      <c r="H2750" s="632" t="s">
        <v>1116</v>
      </c>
      <c r="I2750" s="260">
        <v>392</v>
      </c>
      <c r="J2750" s="260">
        <v>8026.0056348250355</v>
      </c>
      <c r="K2750" s="618">
        <f t="shared" ref="K2750:K2781" si="223">ROUND(I2750*J2750,0)</f>
        <v>3146194</v>
      </c>
      <c r="L2750" s="39" t="s">
        <v>169</v>
      </c>
      <c r="M2750" s="39" t="s">
        <v>167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909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1437</v>
      </c>
      <c r="E2751" s="191">
        <v>40907</v>
      </c>
      <c r="F2751" s="40" t="s">
        <v>1408</v>
      </c>
      <c r="G2751" s="40"/>
      <c r="H2751" s="632" t="s">
        <v>1116</v>
      </c>
      <c r="I2751" s="260">
        <v>65</v>
      </c>
      <c r="J2751" s="260">
        <v>17737.492801230059</v>
      </c>
      <c r="K2751" s="618">
        <f t="shared" si="223"/>
        <v>1152937</v>
      </c>
      <c r="L2751" s="39" t="s">
        <v>169</v>
      </c>
      <c r="M2751" s="39" t="s">
        <v>167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909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1437</v>
      </c>
      <c r="E2752" s="191">
        <v>40907</v>
      </c>
      <c r="F2752" s="40" t="s">
        <v>1409</v>
      </c>
      <c r="G2752" s="40"/>
      <c r="H2752" s="632" t="s">
        <v>1116</v>
      </c>
      <c r="I2752" s="260">
        <v>10</v>
      </c>
      <c r="J2752" s="260">
        <v>18725.408185845445</v>
      </c>
      <c r="K2752" s="618">
        <f t="shared" si="223"/>
        <v>187254</v>
      </c>
      <c r="L2752" s="39" t="s">
        <v>169</v>
      </c>
      <c r="M2752" s="39" t="s">
        <v>167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909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1437</v>
      </c>
      <c r="E2753" s="191">
        <v>40907</v>
      </c>
      <c r="F2753" s="40" t="s">
        <v>1410</v>
      </c>
      <c r="G2753" s="40"/>
      <c r="H2753" s="632" t="s">
        <v>1116</v>
      </c>
      <c r="I2753" s="260">
        <v>106</v>
      </c>
      <c r="J2753" s="260">
        <v>17929.49875188318</v>
      </c>
      <c r="K2753" s="618">
        <f t="shared" si="223"/>
        <v>1900527</v>
      </c>
      <c r="L2753" s="39" t="s">
        <v>169</v>
      </c>
      <c r="M2753" s="39" t="s">
        <v>167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909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1437</v>
      </c>
      <c r="E2754" s="191">
        <v>40907</v>
      </c>
      <c r="F2754" s="40" t="s">
        <v>1411</v>
      </c>
      <c r="G2754" s="40"/>
      <c r="H2754" s="632" t="s">
        <v>1116</v>
      </c>
      <c r="I2754" s="260">
        <v>76</v>
      </c>
      <c r="J2754" s="260">
        <v>14753.495027950701</v>
      </c>
      <c r="K2754" s="618">
        <f t="shared" si="223"/>
        <v>1121266</v>
      </c>
      <c r="L2754" s="39" t="s">
        <v>169</v>
      </c>
      <c r="M2754" s="39" t="s">
        <v>167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909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1437</v>
      </c>
      <c r="E2755" s="191">
        <v>40907</v>
      </c>
      <c r="F2755" s="40" t="s">
        <v>1388</v>
      </c>
      <c r="G2755" s="40"/>
      <c r="H2755" s="632" t="s">
        <v>1116</v>
      </c>
      <c r="I2755" s="260">
        <v>208</v>
      </c>
      <c r="J2755" s="260">
        <v>17929.503378153135</v>
      </c>
      <c r="K2755" s="618">
        <f t="shared" si="223"/>
        <v>3729337</v>
      </c>
      <c r="L2755" s="39" t="s">
        <v>169</v>
      </c>
      <c r="M2755" s="39" t="s">
        <v>167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909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1437</v>
      </c>
      <c r="E2756" s="191">
        <v>40907</v>
      </c>
      <c r="F2756" s="40" t="s">
        <v>1412</v>
      </c>
      <c r="G2756" s="40"/>
      <c r="H2756" s="632" t="s">
        <v>1116</v>
      </c>
      <c r="I2756" s="260">
        <v>1</v>
      </c>
      <c r="J2756" s="260">
        <v>9917.5081858454432</v>
      </c>
      <c r="K2756" s="618">
        <f t="shared" si="223"/>
        <v>9918</v>
      </c>
      <c r="L2756" s="39" t="s">
        <v>169</v>
      </c>
      <c r="M2756" s="39" t="s">
        <v>167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909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1437</v>
      </c>
      <c r="E2757" s="191">
        <v>40907</v>
      </c>
      <c r="F2757" s="40" t="s">
        <v>1413</v>
      </c>
      <c r="G2757" s="40"/>
      <c r="H2757" s="632" t="s">
        <v>1116</v>
      </c>
      <c r="I2757" s="260">
        <v>12</v>
      </c>
      <c r="J2757" s="260">
        <v>12257.758185845443</v>
      </c>
      <c r="K2757" s="618">
        <f t="shared" si="223"/>
        <v>147093</v>
      </c>
      <c r="L2757" s="39" t="s">
        <v>169</v>
      </c>
      <c r="M2757" s="39" t="s">
        <v>167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909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1437</v>
      </c>
      <c r="E2758" s="191">
        <v>40907</v>
      </c>
      <c r="F2758" s="40" t="s">
        <v>956</v>
      </c>
      <c r="G2758" s="40"/>
      <c r="H2758" s="632" t="s">
        <v>1116</v>
      </c>
      <c r="I2758" s="260">
        <v>91</v>
      </c>
      <c r="J2758" s="260">
        <v>11252.497196834454</v>
      </c>
      <c r="K2758" s="618">
        <f t="shared" si="223"/>
        <v>1023977</v>
      </c>
      <c r="L2758" s="39" t="s">
        <v>169</v>
      </c>
      <c r="M2758" s="39" t="s">
        <v>167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909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1438</v>
      </c>
      <c r="E2759" s="191">
        <v>40907</v>
      </c>
      <c r="F2759" s="40" t="s">
        <v>1414</v>
      </c>
      <c r="G2759" s="40"/>
      <c r="H2759" s="632" t="s">
        <v>1116</v>
      </c>
      <c r="I2759" s="260">
        <v>1140</v>
      </c>
      <c r="J2759" s="260">
        <v>1770.0125718103548</v>
      </c>
      <c r="K2759" s="618">
        <f t="shared" si="223"/>
        <v>2017814</v>
      </c>
      <c r="L2759" s="39" t="s">
        <v>169</v>
      </c>
      <c r="M2759" s="39" t="s">
        <v>167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909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1438</v>
      </c>
      <c r="E2760" s="191">
        <v>40907</v>
      </c>
      <c r="F2760" s="40" t="s">
        <v>1405</v>
      </c>
      <c r="G2760" s="40"/>
      <c r="H2760" s="632" t="s">
        <v>1116</v>
      </c>
      <c r="I2760" s="260">
        <v>1140</v>
      </c>
      <c r="J2760" s="260">
        <v>1770.0125718103548</v>
      </c>
      <c r="K2760" s="618">
        <f t="shared" si="223"/>
        <v>2017814</v>
      </c>
      <c r="L2760" s="39" t="s">
        <v>169</v>
      </c>
      <c r="M2760" s="39" t="s">
        <v>167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909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1438</v>
      </c>
      <c r="E2761" s="191">
        <v>40907</v>
      </c>
      <c r="F2761" s="40" t="s">
        <v>1383</v>
      </c>
      <c r="G2761" s="40"/>
      <c r="H2761" s="632" t="s">
        <v>1116</v>
      </c>
      <c r="I2761" s="260">
        <v>1</v>
      </c>
      <c r="J2761" s="260">
        <v>18724.508185845447</v>
      </c>
      <c r="K2761" s="618">
        <f t="shared" si="223"/>
        <v>18725</v>
      </c>
      <c r="L2761" s="39" t="s">
        <v>169</v>
      </c>
      <c r="M2761" s="39" t="s">
        <v>167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909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1438</v>
      </c>
      <c r="E2762" s="191">
        <v>40907</v>
      </c>
      <c r="F2762" s="40" t="s">
        <v>1415</v>
      </c>
      <c r="G2762" s="40"/>
      <c r="H2762" s="632" t="s">
        <v>1116</v>
      </c>
      <c r="I2762" s="260">
        <v>7</v>
      </c>
      <c r="J2762" s="260">
        <v>16741.365328702585</v>
      </c>
      <c r="K2762" s="618">
        <f t="shared" si="223"/>
        <v>117190</v>
      </c>
      <c r="L2762" s="39" t="s">
        <v>169</v>
      </c>
      <c r="M2762" s="39" t="s">
        <v>167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909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1438</v>
      </c>
      <c r="E2763" s="191">
        <v>40907</v>
      </c>
      <c r="F2763" s="40" t="s">
        <v>1388</v>
      </c>
      <c r="G2763" s="40"/>
      <c r="H2763" s="632" t="s">
        <v>1116</v>
      </c>
      <c r="I2763" s="260">
        <v>20</v>
      </c>
      <c r="J2763" s="260">
        <v>21576.458185845444</v>
      </c>
      <c r="K2763" s="618">
        <f t="shared" si="223"/>
        <v>431529</v>
      </c>
      <c r="L2763" s="39" t="s">
        <v>169</v>
      </c>
      <c r="M2763" s="39" t="s">
        <v>167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909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1438</v>
      </c>
      <c r="E2764" s="191">
        <v>40907</v>
      </c>
      <c r="F2764" s="40" t="s">
        <v>1416</v>
      </c>
      <c r="G2764" s="40"/>
      <c r="H2764" s="632" t="s">
        <v>1116</v>
      </c>
      <c r="I2764" s="260">
        <v>10</v>
      </c>
      <c r="J2764" s="260">
        <v>18672.408185845445</v>
      </c>
      <c r="K2764" s="618">
        <f t="shared" si="223"/>
        <v>186724</v>
      </c>
      <c r="L2764" s="39" t="s">
        <v>169</v>
      </c>
      <c r="M2764" s="39" t="s">
        <v>167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909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1438</v>
      </c>
      <c r="E2765" s="191">
        <v>40907</v>
      </c>
      <c r="F2765" s="40" t="s">
        <v>1334</v>
      </c>
      <c r="G2765" s="40"/>
      <c r="H2765" s="632" t="s">
        <v>1116</v>
      </c>
      <c r="I2765" s="260">
        <v>2</v>
      </c>
      <c r="J2765" s="260">
        <v>16741.008185845443</v>
      </c>
      <c r="K2765" s="618">
        <f t="shared" si="223"/>
        <v>33482</v>
      </c>
      <c r="L2765" s="39" t="s">
        <v>169</v>
      </c>
      <c r="M2765" s="39" t="s">
        <v>167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909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1439</v>
      </c>
      <c r="E2766" s="191">
        <v>40907</v>
      </c>
      <c r="F2766" s="40" t="s">
        <v>1388</v>
      </c>
      <c r="G2766" s="40"/>
      <c r="H2766" s="632" t="s">
        <v>1116</v>
      </c>
      <c r="I2766" s="260">
        <v>108</v>
      </c>
      <c r="J2766" s="260">
        <v>17929.498926586184</v>
      </c>
      <c r="K2766" s="618">
        <f t="shared" si="223"/>
        <v>1936386</v>
      </c>
      <c r="L2766" s="39" t="s">
        <v>169</v>
      </c>
      <c r="M2766" s="39" t="s">
        <v>167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909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1439</v>
      </c>
      <c r="E2767" s="191">
        <v>40907</v>
      </c>
      <c r="F2767" s="40" t="s">
        <v>1415</v>
      </c>
      <c r="G2767" s="40"/>
      <c r="H2767" s="632" t="s">
        <v>1116</v>
      </c>
      <c r="I2767" s="260">
        <v>2</v>
      </c>
      <c r="J2767" s="260">
        <v>16741.008185845443</v>
      </c>
      <c r="K2767" s="618">
        <f t="shared" si="223"/>
        <v>33482</v>
      </c>
      <c r="L2767" s="39" t="s">
        <v>169</v>
      </c>
      <c r="M2767" s="39" t="s">
        <v>167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909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1439</v>
      </c>
      <c r="E2768" s="191">
        <v>40907</v>
      </c>
      <c r="F2768" s="40" t="s">
        <v>1418</v>
      </c>
      <c r="G2768" s="40"/>
      <c r="H2768" s="632" t="s">
        <v>1116</v>
      </c>
      <c r="I2768" s="260">
        <v>3</v>
      </c>
      <c r="J2768" s="260">
        <v>9918.5081858454414</v>
      </c>
      <c r="K2768" s="618">
        <f t="shared" si="223"/>
        <v>29756</v>
      </c>
      <c r="L2768" s="39" t="s">
        <v>169</v>
      </c>
      <c r="M2768" s="39" t="s">
        <v>167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909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1439</v>
      </c>
      <c r="E2769" s="191">
        <v>40907</v>
      </c>
      <c r="F2769" s="40" t="s">
        <v>1419</v>
      </c>
      <c r="G2769" s="40"/>
      <c r="H2769" s="632" t="s">
        <v>1116</v>
      </c>
      <c r="I2769" s="260">
        <v>2</v>
      </c>
      <c r="J2769" s="260">
        <v>15252.508185845443</v>
      </c>
      <c r="K2769" s="618">
        <f t="shared" si="223"/>
        <v>30505</v>
      </c>
      <c r="L2769" s="39" t="s">
        <v>169</v>
      </c>
      <c r="M2769" s="39" t="s">
        <v>167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909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1439</v>
      </c>
      <c r="E2770" s="191">
        <v>40907</v>
      </c>
      <c r="F2770" s="40" t="s">
        <v>1333</v>
      </c>
      <c r="G2770" s="40"/>
      <c r="H2770" s="632" t="s">
        <v>1116</v>
      </c>
      <c r="I2770" s="260">
        <v>4</v>
      </c>
      <c r="J2770" s="260">
        <v>10012.008185845443</v>
      </c>
      <c r="K2770" s="618">
        <f t="shared" si="223"/>
        <v>40048</v>
      </c>
      <c r="L2770" s="39" t="s">
        <v>169</v>
      </c>
      <c r="M2770" s="39" t="s">
        <v>167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909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1439</v>
      </c>
      <c r="E2771" s="191">
        <v>40907</v>
      </c>
      <c r="F2771" s="40" t="s">
        <v>1336</v>
      </c>
      <c r="G2771" s="40"/>
      <c r="H2771" s="632" t="s">
        <v>1116</v>
      </c>
      <c r="I2771" s="260">
        <v>2</v>
      </c>
      <c r="J2771" s="260">
        <v>14753.508185845443</v>
      </c>
      <c r="K2771" s="618">
        <f t="shared" si="223"/>
        <v>29507</v>
      </c>
      <c r="L2771" s="39" t="s">
        <v>169</v>
      </c>
      <c r="M2771" s="39" t="s">
        <v>167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909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1439</v>
      </c>
      <c r="E2772" s="191">
        <v>40907</v>
      </c>
      <c r="F2772" s="40" t="s">
        <v>1420</v>
      </c>
      <c r="G2772" s="40"/>
      <c r="H2772" s="632" t="s">
        <v>1116</v>
      </c>
      <c r="I2772" s="260">
        <v>1</v>
      </c>
      <c r="J2772" s="260">
        <v>14753.508185845443</v>
      </c>
      <c r="K2772" s="618">
        <f t="shared" si="223"/>
        <v>14754</v>
      </c>
      <c r="L2772" s="39" t="s">
        <v>169</v>
      </c>
      <c r="M2772" s="39" t="s">
        <v>167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909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1439</v>
      </c>
      <c r="E2773" s="191">
        <v>40907</v>
      </c>
      <c r="F2773" s="40" t="s">
        <v>1411</v>
      </c>
      <c r="G2773" s="40"/>
      <c r="H2773" s="632" t="s">
        <v>1116</v>
      </c>
      <c r="I2773" s="260">
        <v>1</v>
      </c>
      <c r="J2773" s="260">
        <v>16741.508185845443</v>
      </c>
      <c r="K2773" s="618">
        <f t="shared" si="223"/>
        <v>16742</v>
      </c>
      <c r="L2773" s="39" t="s">
        <v>169</v>
      </c>
      <c r="M2773" s="39" t="s">
        <v>167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909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1439</v>
      </c>
      <c r="E2774" s="191">
        <v>40907</v>
      </c>
      <c r="F2774" s="40" t="s">
        <v>1421</v>
      </c>
      <c r="G2774" s="40"/>
      <c r="H2774" s="632" t="s">
        <v>1116</v>
      </c>
      <c r="I2774" s="260">
        <v>2</v>
      </c>
      <c r="J2774" s="260">
        <v>14753.508185845443</v>
      </c>
      <c r="K2774" s="618">
        <f t="shared" si="223"/>
        <v>29507</v>
      </c>
      <c r="L2774" s="39" t="s">
        <v>169</v>
      </c>
      <c r="M2774" s="39" t="s">
        <v>167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909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1440</v>
      </c>
      <c r="E2775" s="191">
        <v>40907</v>
      </c>
      <c r="F2775" s="40" t="s">
        <v>767</v>
      </c>
      <c r="G2775" s="40"/>
      <c r="H2775" s="632" t="s">
        <v>1116</v>
      </c>
      <c r="I2775" s="260">
        <v>1</v>
      </c>
      <c r="J2775" s="260">
        <v>14753.508185845443</v>
      </c>
      <c r="K2775" s="618">
        <f t="shared" si="223"/>
        <v>14754</v>
      </c>
      <c r="L2775" s="39" t="s">
        <v>169</v>
      </c>
      <c r="M2775" s="39" t="s">
        <v>167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909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1440</v>
      </c>
      <c r="E2776" s="191">
        <v>40907</v>
      </c>
      <c r="F2776" s="40" t="s">
        <v>1422</v>
      </c>
      <c r="G2776" s="40"/>
      <c r="H2776" s="632" t="s">
        <v>1116</v>
      </c>
      <c r="I2776" s="260">
        <v>1</v>
      </c>
      <c r="J2776" s="260">
        <v>16741.508185845443</v>
      </c>
      <c r="K2776" s="618">
        <f t="shared" si="223"/>
        <v>16742</v>
      </c>
      <c r="L2776" s="39" t="s">
        <v>169</v>
      </c>
      <c r="M2776" s="39" t="s">
        <v>167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909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1440</v>
      </c>
      <c r="E2777" s="191">
        <v>40907</v>
      </c>
      <c r="F2777" s="40" t="s">
        <v>1423</v>
      </c>
      <c r="G2777" s="40"/>
      <c r="H2777" s="632" t="s">
        <v>1116</v>
      </c>
      <c r="I2777" s="260">
        <v>1</v>
      </c>
      <c r="J2777" s="260">
        <v>14753.508185845443</v>
      </c>
      <c r="K2777" s="618">
        <f t="shared" si="223"/>
        <v>14754</v>
      </c>
      <c r="L2777" s="39" t="s">
        <v>169</v>
      </c>
      <c r="M2777" s="39" t="s">
        <v>167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909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1440</v>
      </c>
      <c r="E2778" s="191">
        <v>40907</v>
      </c>
      <c r="F2778" s="40" t="s">
        <v>1424</v>
      </c>
      <c r="G2778" s="40"/>
      <c r="H2778" s="632" t="s">
        <v>1116</v>
      </c>
      <c r="I2778" s="260">
        <v>1</v>
      </c>
      <c r="J2778" s="260">
        <v>17737.508185845447</v>
      </c>
      <c r="K2778" s="618">
        <f t="shared" si="223"/>
        <v>17738</v>
      </c>
      <c r="L2778" s="39" t="s">
        <v>169</v>
      </c>
      <c r="M2778" s="39" t="s">
        <v>167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909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1440</v>
      </c>
      <c r="E2779" s="191">
        <v>40907</v>
      </c>
      <c r="F2779" s="40" t="s">
        <v>1384</v>
      </c>
      <c r="G2779" s="40"/>
      <c r="H2779" s="632" t="s">
        <v>1116</v>
      </c>
      <c r="I2779" s="260">
        <v>11</v>
      </c>
      <c r="J2779" s="260">
        <v>14753.508185845443</v>
      </c>
      <c r="K2779" s="618">
        <f t="shared" si="223"/>
        <v>162289</v>
      </c>
      <c r="L2779" s="39" t="s">
        <v>169</v>
      </c>
      <c r="M2779" s="39" t="s">
        <v>167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909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1440</v>
      </c>
      <c r="E2780" s="191">
        <v>40907</v>
      </c>
      <c r="F2780" s="40" t="s">
        <v>1385</v>
      </c>
      <c r="G2780" s="40"/>
      <c r="H2780" s="632" t="s">
        <v>1116</v>
      </c>
      <c r="I2780" s="260">
        <v>260</v>
      </c>
      <c r="J2780" s="260">
        <v>17929.508185845447</v>
      </c>
      <c r="K2780" s="618">
        <f t="shared" si="223"/>
        <v>4661672</v>
      </c>
      <c r="L2780" s="39" t="s">
        <v>169</v>
      </c>
      <c r="M2780" s="39" t="s">
        <v>167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909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1440</v>
      </c>
      <c r="E2781" s="191">
        <v>40907</v>
      </c>
      <c r="F2781" s="40" t="s">
        <v>1353</v>
      </c>
      <c r="G2781" s="40"/>
      <c r="H2781" s="632" t="s">
        <v>1116</v>
      </c>
      <c r="I2781" s="260">
        <v>50</v>
      </c>
      <c r="J2781" s="260">
        <v>16741.508185845443</v>
      </c>
      <c r="K2781" s="618">
        <f t="shared" si="223"/>
        <v>837075</v>
      </c>
      <c r="L2781" s="39" t="s">
        <v>169</v>
      </c>
      <c r="M2781" s="39" t="s">
        <v>167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909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1441</v>
      </c>
      <c r="E2782" s="191">
        <v>40907</v>
      </c>
      <c r="F2782" s="40" t="s">
        <v>1355</v>
      </c>
      <c r="G2782" s="40"/>
      <c r="H2782" s="632" t="s">
        <v>1116</v>
      </c>
      <c r="I2782" s="260">
        <v>100</v>
      </c>
      <c r="J2782" s="260">
        <v>17929.508185845443</v>
      </c>
      <c r="K2782" s="618">
        <f t="shared" ref="K2782:K2813" si="225">ROUND(I2782*J2782,0)</f>
        <v>1792951</v>
      </c>
      <c r="L2782" s="39" t="s">
        <v>169</v>
      </c>
      <c r="M2782" s="39" t="s">
        <v>167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909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1441</v>
      </c>
      <c r="E2783" s="191">
        <v>40907</v>
      </c>
      <c r="F2783" s="40" t="s">
        <v>1356</v>
      </c>
      <c r="G2783" s="40"/>
      <c r="H2783" s="632" t="s">
        <v>1116</v>
      </c>
      <c r="I2783" s="260">
        <v>50</v>
      </c>
      <c r="J2783" s="260">
        <v>17737.508185845443</v>
      </c>
      <c r="K2783" s="618">
        <f t="shared" si="225"/>
        <v>886875</v>
      </c>
      <c r="L2783" s="39" t="s">
        <v>169</v>
      </c>
      <c r="M2783" s="39" t="s">
        <v>167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909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1441</v>
      </c>
      <c r="E2784" s="191">
        <v>40907</v>
      </c>
      <c r="F2784" s="40" t="s">
        <v>1357</v>
      </c>
      <c r="G2784" s="40"/>
      <c r="H2784" s="632" t="s">
        <v>1116</v>
      </c>
      <c r="I2784" s="260">
        <v>190</v>
      </c>
      <c r="J2784" s="260">
        <v>17929.508185845443</v>
      </c>
      <c r="K2784" s="618">
        <f t="shared" si="225"/>
        <v>3406607</v>
      </c>
      <c r="L2784" s="39" t="s">
        <v>169</v>
      </c>
      <c r="M2784" s="39" t="s">
        <v>167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909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1441</v>
      </c>
      <c r="E2785" s="191">
        <v>40907</v>
      </c>
      <c r="F2785" s="40" t="s">
        <v>1358</v>
      </c>
      <c r="G2785" s="40"/>
      <c r="H2785" s="632" t="s">
        <v>1116</v>
      </c>
      <c r="I2785" s="260">
        <v>130</v>
      </c>
      <c r="J2785" s="260">
        <v>17929.508185845447</v>
      </c>
      <c r="K2785" s="618">
        <f t="shared" si="225"/>
        <v>2330836</v>
      </c>
      <c r="L2785" s="39" t="s">
        <v>169</v>
      </c>
      <c r="M2785" s="39" t="s">
        <v>167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909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1441</v>
      </c>
      <c r="E2786" s="191">
        <v>40907</v>
      </c>
      <c r="F2786" s="40" t="s">
        <v>1359</v>
      </c>
      <c r="G2786" s="40"/>
      <c r="H2786" s="632" t="s">
        <v>1116</v>
      </c>
      <c r="I2786" s="260">
        <v>110</v>
      </c>
      <c r="J2786" s="260">
        <v>17929.508185845443</v>
      </c>
      <c r="K2786" s="618">
        <f t="shared" si="225"/>
        <v>1972246</v>
      </c>
      <c r="L2786" s="39" t="s">
        <v>169</v>
      </c>
      <c r="M2786" s="39" t="s">
        <v>167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909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1441</v>
      </c>
      <c r="E2787" s="191">
        <v>40907</v>
      </c>
      <c r="F2787" s="40" t="s">
        <v>1426</v>
      </c>
      <c r="G2787" s="40"/>
      <c r="H2787" s="632" t="s">
        <v>1116</v>
      </c>
      <c r="I2787" s="260">
        <v>12</v>
      </c>
      <c r="J2787" s="260">
        <v>17737.508185845443</v>
      </c>
      <c r="K2787" s="618">
        <f t="shared" si="225"/>
        <v>212850</v>
      </c>
      <c r="L2787" s="39" t="s">
        <v>169</v>
      </c>
      <c r="M2787" s="39" t="s">
        <v>167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909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1003</v>
      </c>
      <c r="E2788" s="191">
        <v>40907</v>
      </c>
      <c r="F2788" s="192" t="s">
        <v>1406</v>
      </c>
      <c r="G2788" s="502" t="s">
        <v>1407</v>
      </c>
      <c r="H2788" s="193" t="s">
        <v>787</v>
      </c>
      <c r="I2788" s="260">
        <v>392</v>
      </c>
      <c r="J2788" s="260">
        <v>8026.0056348250355</v>
      </c>
      <c r="K2788" s="881">
        <f t="shared" si="225"/>
        <v>3146194</v>
      </c>
      <c r="L2788" s="869" t="s">
        <v>179</v>
      </c>
      <c r="M2788" s="869" t="s">
        <v>169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909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1004</v>
      </c>
      <c r="E2789" s="191">
        <v>40907</v>
      </c>
      <c r="F2789" s="192" t="s">
        <v>1408</v>
      </c>
      <c r="G2789" s="502" t="s">
        <v>657</v>
      </c>
      <c r="H2789" s="193" t="s">
        <v>756</v>
      </c>
      <c r="I2789" s="260">
        <v>65</v>
      </c>
      <c r="J2789" s="260">
        <v>17737.492801230059</v>
      </c>
      <c r="K2789" s="881">
        <f t="shared" si="225"/>
        <v>1152937</v>
      </c>
      <c r="L2789" s="869" t="s">
        <v>179</v>
      </c>
      <c r="M2789" s="869" t="s">
        <v>169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909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1004</v>
      </c>
      <c r="E2790" s="191">
        <v>40907</v>
      </c>
      <c r="F2790" s="192" t="s">
        <v>1409</v>
      </c>
      <c r="G2790" s="502" t="s">
        <v>657</v>
      </c>
      <c r="H2790" s="193" t="s">
        <v>756</v>
      </c>
      <c r="I2790" s="260">
        <v>10</v>
      </c>
      <c r="J2790" s="260">
        <v>18725.408185845445</v>
      </c>
      <c r="K2790" s="881">
        <f t="shared" si="225"/>
        <v>187254</v>
      </c>
      <c r="L2790" s="869" t="s">
        <v>179</v>
      </c>
      <c r="M2790" s="869" t="s">
        <v>169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909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1004</v>
      </c>
      <c r="E2791" s="191">
        <v>40907</v>
      </c>
      <c r="F2791" s="192" t="s">
        <v>1410</v>
      </c>
      <c r="G2791" s="502" t="s">
        <v>657</v>
      </c>
      <c r="H2791" s="193" t="s">
        <v>756</v>
      </c>
      <c r="I2791" s="260">
        <v>106</v>
      </c>
      <c r="J2791" s="260">
        <v>17929.49875188318</v>
      </c>
      <c r="K2791" s="881">
        <f t="shared" si="225"/>
        <v>1900527</v>
      </c>
      <c r="L2791" s="869" t="s">
        <v>179</v>
      </c>
      <c r="M2791" s="869" t="s">
        <v>169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909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1004</v>
      </c>
      <c r="E2792" s="191">
        <v>40907</v>
      </c>
      <c r="F2792" s="192" t="s">
        <v>1411</v>
      </c>
      <c r="G2792" s="502" t="s">
        <v>657</v>
      </c>
      <c r="H2792" s="193" t="s">
        <v>756</v>
      </c>
      <c r="I2792" s="260">
        <v>76</v>
      </c>
      <c r="J2792" s="260">
        <v>14753.495027950701</v>
      </c>
      <c r="K2792" s="881">
        <f t="shared" si="225"/>
        <v>1121266</v>
      </c>
      <c r="L2792" s="869" t="s">
        <v>179</v>
      </c>
      <c r="M2792" s="869" t="s">
        <v>169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909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1004</v>
      </c>
      <c r="E2793" s="191">
        <v>40907</v>
      </c>
      <c r="F2793" s="192" t="s">
        <v>1388</v>
      </c>
      <c r="G2793" s="502" t="s">
        <v>657</v>
      </c>
      <c r="H2793" s="193" t="s">
        <v>756</v>
      </c>
      <c r="I2793" s="260">
        <v>208</v>
      </c>
      <c r="J2793" s="260">
        <v>17929.503378153135</v>
      </c>
      <c r="K2793" s="881">
        <f t="shared" si="225"/>
        <v>3729337</v>
      </c>
      <c r="L2793" s="869" t="s">
        <v>179</v>
      </c>
      <c r="M2793" s="869" t="s">
        <v>169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909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1004</v>
      </c>
      <c r="E2794" s="191">
        <v>40907</v>
      </c>
      <c r="F2794" s="192" t="s">
        <v>1412</v>
      </c>
      <c r="G2794" s="502" t="s">
        <v>657</v>
      </c>
      <c r="H2794" s="193" t="s">
        <v>756</v>
      </c>
      <c r="I2794" s="260">
        <v>1</v>
      </c>
      <c r="J2794" s="260">
        <v>9917.5081858454432</v>
      </c>
      <c r="K2794" s="881">
        <f t="shared" si="225"/>
        <v>9918</v>
      </c>
      <c r="L2794" s="869" t="s">
        <v>179</v>
      </c>
      <c r="M2794" s="869" t="s">
        <v>169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909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1004</v>
      </c>
      <c r="E2795" s="191">
        <v>40907</v>
      </c>
      <c r="F2795" s="192" t="s">
        <v>1413</v>
      </c>
      <c r="G2795" s="502" t="s">
        <v>657</v>
      </c>
      <c r="H2795" s="193" t="s">
        <v>756</v>
      </c>
      <c r="I2795" s="260">
        <v>12</v>
      </c>
      <c r="J2795" s="260">
        <v>12257.758185845443</v>
      </c>
      <c r="K2795" s="881">
        <f t="shared" si="225"/>
        <v>147093</v>
      </c>
      <c r="L2795" s="869" t="s">
        <v>179</v>
      </c>
      <c r="M2795" s="869" t="s">
        <v>169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909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1004</v>
      </c>
      <c r="E2796" s="191">
        <v>40907</v>
      </c>
      <c r="F2796" s="192" t="s">
        <v>956</v>
      </c>
      <c r="G2796" s="502" t="s">
        <v>657</v>
      </c>
      <c r="H2796" s="193" t="s">
        <v>756</v>
      </c>
      <c r="I2796" s="260">
        <v>91</v>
      </c>
      <c r="J2796" s="260">
        <v>11252.497196834454</v>
      </c>
      <c r="K2796" s="881">
        <f t="shared" si="225"/>
        <v>1023977</v>
      </c>
      <c r="L2796" s="869" t="s">
        <v>179</v>
      </c>
      <c r="M2796" s="869" t="s">
        <v>169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909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1004</v>
      </c>
      <c r="E2797" s="191">
        <v>40907</v>
      </c>
      <c r="F2797" s="192" t="s">
        <v>1414</v>
      </c>
      <c r="G2797" s="502" t="s">
        <v>657</v>
      </c>
      <c r="H2797" s="193" t="s">
        <v>756</v>
      </c>
      <c r="I2797" s="260">
        <v>1140</v>
      </c>
      <c r="J2797" s="260">
        <v>1770.0125718103548</v>
      </c>
      <c r="K2797" s="881">
        <f t="shared" si="225"/>
        <v>2017814</v>
      </c>
      <c r="L2797" s="869" t="s">
        <v>179</v>
      </c>
      <c r="M2797" s="869" t="s">
        <v>169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909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1004</v>
      </c>
      <c r="E2798" s="191">
        <v>40907</v>
      </c>
      <c r="F2798" s="192" t="s">
        <v>1405</v>
      </c>
      <c r="G2798" s="502" t="s">
        <v>657</v>
      </c>
      <c r="H2798" s="193" t="s">
        <v>756</v>
      </c>
      <c r="I2798" s="260">
        <v>1140</v>
      </c>
      <c r="J2798" s="260">
        <v>1770.0125718103548</v>
      </c>
      <c r="K2798" s="881">
        <f t="shared" si="225"/>
        <v>2017814</v>
      </c>
      <c r="L2798" s="869" t="s">
        <v>179</v>
      </c>
      <c r="M2798" s="869" t="s">
        <v>169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909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1004</v>
      </c>
      <c r="E2799" s="191">
        <v>40907</v>
      </c>
      <c r="F2799" s="192" t="s">
        <v>1383</v>
      </c>
      <c r="G2799" s="502" t="s">
        <v>657</v>
      </c>
      <c r="H2799" s="193" t="s">
        <v>756</v>
      </c>
      <c r="I2799" s="260">
        <v>1</v>
      </c>
      <c r="J2799" s="260">
        <v>18724.508185845447</v>
      </c>
      <c r="K2799" s="881">
        <f t="shared" si="225"/>
        <v>18725</v>
      </c>
      <c r="L2799" s="869" t="s">
        <v>179</v>
      </c>
      <c r="M2799" s="869" t="s">
        <v>169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909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1004</v>
      </c>
      <c r="E2800" s="191">
        <v>40907</v>
      </c>
      <c r="F2800" s="192" t="s">
        <v>1415</v>
      </c>
      <c r="G2800" s="502" t="s">
        <v>657</v>
      </c>
      <c r="H2800" s="193" t="s">
        <v>756</v>
      </c>
      <c r="I2800" s="260">
        <v>7</v>
      </c>
      <c r="J2800" s="260">
        <v>16741.365328702585</v>
      </c>
      <c r="K2800" s="881">
        <f t="shared" si="225"/>
        <v>117190</v>
      </c>
      <c r="L2800" s="869" t="s">
        <v>179</v>
      </c>
      <c r="M2800" s="869" t="s">
        <v>169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909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1004</v>
      </c>
      <c r="E2801" s="191">
        <v>40907</v>
      </c>
      <c r="F2801" s="192" t="s">
        <v>1388</v>
      </c>
      <c r="G2801" s="502" t="s">
        <v>657</v>
      </c>
      <c r="H2801" s="193" t="s">
        <v>756</v>
      </c>
      <c r="I2801" s="260">
        <v>20</v>
      </c>
      <c r="J2801" s="260">
        <v>21576.458185845444</v>
      </c>
      <c r="K2801" s="881">
        <f t="shared" si="225"/>
        <v>431529</v>
      </c>
      <c r="L2801" s="869" t="s">
        <v>179</v>
      </c>
      <c r="M2801" s="869" t="s">
        <v>169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909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1004</v>
      </c>
      <c r="E2802" s="191">
        <v>40907</v>
      </c>
      <c r="F2802" s="192" t="s">
        <v>1416</v>
      </c>
      <c r="G2802" s="502" t="s">
        <v>657</v>
      </c>
      <c r="H2802" s="193" t="s">
        <v>756</v>
      </c>
      <c r="I2802" s="260">
        <v>10</v>
      </c>
      <c r="J2802" s="260">
        <v>18672.408185845445</v>
      </c>
      <c r="K2802" s="881">
        <f t="shared" si="225"/>
        <v>186724</v>
      </c>
      <c r="L2802" s="869" t="s">
        <v>179</v>
      </c>
      <c r="M2802" s="869" t="s">
        <v>169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909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1005</v>
      </c>
      <c r="E2803" s="191">
        <v>40907</v>
      </c>
      <c r="F2803" s="192" t="s">
        <v>1334</v>
      </c>
      <c r="G2803" s="502" t="s">
        <v>1417</v>
      </c>
      <c r="H2803" s="193" t="s">
        <v>756</v>
      </c>
      <c r="I2803" s="260">
        <v>2</v>
      </c>
      <c r="J2803" s="260">
        <v>16741.008185845443</v>
      </c>
      <c r="K2803" s="881">
        <f t="shared" si="225"/>
        <v>33482</v>
      </c>
      <c r="L2803" s="869" t="s">
        <v>179</v>
      </c>
      <c r="M2803" s="869" t="s">
        <v>169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909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1005</v>
      </c>
      <c r="E2804" s="191">
        <v>40907</v>
      </c>
      <c r="F2804" s="192" t="s">
        <v>1388</v>
      </c>
      <c r="G2804" s="502" t="s">
        <v>1417</v>
      </c>
      <c r="H2804" s="193" t="s">
        <v>756</v>
      </c>
      <c r="I2804" s="260">
        <v>108</v>
      </c>
      <c r="J2804" s="260">
        <v>17929.498926586184</v>
      </c>
      <c r="K2804" s="881">
        <f t="shared" si="225"/>
        <v>1936386</v>
      </c>
      <c r="L2804" s="869" t="s">
        <v>179</v>
      </c>
      <c r="M2804" s="869" t="s">
        <v>169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909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1005</v>
      </c>
      <c r="E2805" s="191">
        <v>40907</v>
      </c>
      <c r="F2805" s="192" t="s">
        <v>1415</v>
      </c>
      <c r="G2805" s="502" t="s">
        <v>1417</v>
      </c>
      <c r="H2805" s="193" t="s">
        <v>756</v>
      </c>
      <c r="I2805" s="260">
        <v>2</v>
      </c>
      <c r="J2805" s="260">
        <v>16741.008185845443</v>
      </c>
      <c r="K2805" s="881">
        <f t="shared" si="225"/>
        <v>33482</v>
      </c>
      <c r="L2805" s="869" t="s">
        <v>179</v>
      </c>
      <c r="M2805" s="869" t="s">
        <v>169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909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1005</v>
      </c>
      <c r="E2806" s="191">
        <v>40907</v>
      </c>
      <c r="F2806" s="192" t="s">
        <v>1418</v>
      </c>
      <c r="G2806" s="502" t="s">
        <v>1417</v>
      </c>
      <c r="H2806" s="193" t="s">
        <v>756</v>
      </c>
      <c r="I2806" s="260">
        <v>3</v>
      </c>
      <c r="J2806" s="260">
        <v>9918.5081858454414</v>
      </c>
      <c r="K2806" s="881">
        <f t="shared" si="225"/>
        <v>29756</v>
      </c>
      <c r="L2806" s="869" t="s">
        <v>179</v>
      </c>
      <c r="M2806" s="869" t="s">
        <v>169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909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1005</v>
      </c>
      <c r="E2807" s="191">
        <v>40907</v>
      </c>
      <c r="F2807" s="192" t="s">
        <v>1419</v>
      </c>
      <c r="G2807" s="502" t="s">
        <v>1417</v>
      </c>
      <c r="H2807" s="193" t="s">
        <v>756</v>
      </c>
      <c r="I2807" s="260">
        <v>2</v>
      </c>
      <c r="J2807" s="260">
        <v>15252.508185845443</v>
      </c>
      <c r="K2807" s="881">
        <f t="shared" si="225"/>
        <v>30505</v>
      </c>
      <c r="L2807" s="869" t="s">
        <v>179</v>
      </c>
      <c r="M2807" s="869" t="s">
        <v>169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909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1005</v>
      </c>
      <c r="E2808" s="191">
        <v>40907</v>
      </c>
      <c r="F2808" s="192" t="s">
        <v>1333</v>
      </c>
      <c r="G2808" s="502" t="s">
        <v>1417</v>
      </c>
      <c r="H2808" s="193" t="s">
        <v>756</v>
      </c>
      <c r="I2808" s="260">
        <v>4</v>
      </c>
      <c r="J2808" s="260">
        <v>10012.008185845443</v>
      </c>
      <c r="K2808" s="881">
        <f t="shared" si="225"/>
        <v>40048</v>
      </c>
      <c r="L2808" s="869" t="s">
        <v>179</v>
      </c>
      <c r="M2808" s="869" t="s">
        <v>169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909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1005</v>
      </c>
      <c r="E2809" s="191">
        <v>40907</v>
      </c>
      <c r="F2809" s="192" t="s">
        <v>1336</v>
      </c>
      <c r="G2809" s="502" t="s">
        <v>1417</v>
      </c>
      <c r="H2809" s="193" t="s">
        <v>756</v>
      </c>
      <c r="I2809" s="260">
        <v>2</v>
      </c>
      <c r="J2809" s="260">
        <v>14753.508185845443</v>
      </c>
      <c r="K2809" s="881">
        <f t="shared" si="225"/>
        <v>29507</v>
      </c>
      <c r="L2809" s="869" t="s">
        <v>179</v>
      </c>
      <c r="M2809" s="869" t="s">
        <v>169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909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1005</v>
      </c>
      <c r="E2810" s="191">
        <v>40907</v>
      </c>
      <c r="F2810" s="192" t="s">
        <v>1420</v>
      </c>
      <c r="G2810" s="502" t="s">
        <v>1417</v>
      </c>
      <c r="H2810" s="193" t="s">
        <v>756</v>
      </c>
      <c r="I2810" s="260">
        <v>1</v>
      </c>
      <c r="J2810" s="260">
        <v>14753.508185845443</v>
      </c>
      <c r="K2810" s="881">
        <f t="shared" si="225"/>
        <v>14754</v>
      </c>
      <c r="L2810" s="869" t="s">
        <v>179</v>
      </c>
      <c r="M2810" s="869" t="s">
        <v>169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909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1005</v>
      </c>
      <c r="E2811" s="191">
        <v>40907</v>
      </c>
      <c r="F2811" s="192" t="s">
        <v>1411</v>
      </c>
      <c r="G2811" s="502" t="s">
        <v>1417</v>
      </c>
      <c r="H2811" s="193" t="s">
        <v>756</v>
      </c>
      <c r="I2811" s="260">
        <v>1</v>
      </c>
      <c r="J2811" s="260">
        <v>16741.508185845443</v>
      </c>
      <c r="K2811" s="881">
        <f t="shared" si="225"/>
        <v>16742</v>
      </c>
      <c r="L2811" s="869" t="s">
        <v>179</v>
      </c>
      <c r="M2811" s="869" t="s">
        <v>169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909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1005</v>
      </c>
      <c r="E2812" s="191">
        <v>40907</v>
      </c>
      <c r="F2812" s="192" t="s">
        <v>1421</v>
      </c>
      <c r="G2812" s="502" t="s">
        <v>1417</v>
      </c>
      <c r="H2812" s="193" t="s">
        <v>756</v>
      </c>
      <c r="I2812" s="260">
        <v>2</v>
      </c>
      <c r="J2812" s="260">
        <v>14753.508185845443</v>
      </c>
      <c r="K2812" s="881">
        <f t="shared" si="225"/>
        <v>29507</v>
      </c>
      <c r="L2812" s="869" t="s">
        <v>179</v>
      </c>
      <c r="M2812" s="869" t="s">
        <v>169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909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1005</v>
      </c>
      <c r="E2813" s="191">
        <v>40907</v>
      </c>
      <c r="F2813" s="192" t="s">
        <v>767</v>
      </c>
      <c r="G2813" s="502" t="s">
        <v>1417</v>
      </c>
      <c r="H2813" s="193" t="s">
        <v>756</v>
      </c>
      <c r="I2813" s="260">
        <v>1</v>
      </c>
      <c r="J2813" s="260">
        <v>14753.508185845443</v>
      </c>
      <c r="K2813" s="881">
        <f t="shared" si="225"/>
        <v>14754</v>
      </c>
      <c r="L2813" s="869" t="s">
        <v>179</v>
      </c>
      <c r="M2813" s="869" t="s">
        <v>169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909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1005</v>
      </c>
      <c r="E2814" s="191">
        <v>40907</v>
      </c>
      <c r="F2814" s="192" t="s">
        <v>1422</v>
      </c>
      <c r="G2814" s="502" t="s">
        <v>1417</v>
      </c>
      <c r="H2814" s="193" t="s">
        <v>756</v>
      </c>
      <c r="I2814" s="260">
        <v>1</v>
      </c>
      <c r="J2814" s="260">
        <v>16741.508185845443</v>
      </c>
      <c r="K2814" s="881">
        <f t="shared" ref="K2814:K2825" si="228">ROUND(I2814*J2814,0)</f>
        <v>16742</v>
      </c>
      <c r="L2814" s="869" t="s">
        <v>179</v>
      </c>
      <c r="M2814" s="869" t="s">
        <v>169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909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1005</v>
      </c>
      <c r="E2815" s="191">
        <v>40907</v>
      </c>
      <c r="F2815" s="192" t="s">
        <v>1423</v>
      </c>
      <c r="G2815" s="502" t="s">
        <v>1417</v>
      </c>
      <c r="H2815" s="193" t="s">
        <v>756</v>
      </c>
      <c r="I2815" s="260">
        <v>1</v>
      </c>
      <c r="J2815" s="260">
        <v>14753.508185845443</v>
      </c>
      <c r="K2815" s="881">
        <f t="shared" si="228"/>
        <v>14754</v>
      </c>
      <c r="L2815" s="869" t="s">
        <v>179</v>
      </c>
      <c r="M2815" s="869" t="s">
        <v>169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909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1005</v>
      </c>
      <c r="E2816" s="191">
        <v>40907</v>
      </c>
      <c r="F2816" s="192" t="s">
        <v>1424</v>
      </c>
      <c r="G2816" s="502" t="s">
        <v>1417</v>
      </c>
      <c r="H2816" s="193" t="s">
        <v>756</v>
      </c>
      <c r="I2816" s="260">
        <v>1</v>
      </c>
      <c r="J2816" s="260">
        <v>17737.508185845447</v>
      </c>
      <c r="K2816" s="881">
        <f t="shared" si="228"/>
        <v>17738</v>
      </c>
      <c r="L2816" s="869" t="s">
        <v>179</v>
      </c>
      <c r="M2816" s="869" t="s">
        <v>169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909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1005</v>
      </c>
      <c r="E2817" s="191">
        <v>40907</v>
      </c>
      <c r="F2817" s="192" t="s">
        <v>1384</v>
      </c>
      <c r="G2817" s="502" t="s">
        <v>1417</v>
      </c>
      <c r="H2817" s="193" t="s">
        <v>756</v>
      </c>
      <c r="I2817" s="260">
        <v>11</v>
      </c>
      <c r="J2817" s="260">
        <v>14753.508185845443</v>
      </c>
      <c r="K2817" s="881">
        <f t="shared" si="228"/>
        <v>162289</v>
      </c>
      <c r="L2817" s="869" t="s">
        <v>179</v>
      </c>
      <c r="M2817" s="869" t="s">
        <v>169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909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1005</v>
      </c>
      <c r="E2818" s="191">
        <v>40907</v>
      </c>
      <c r="F2818" s="192" t="s">
        <v>1385</v>
      </c>
      <c r="G2818" s="502" t="s">
        <v>1417</v>
      </c>
      <c r="H2818" s="193" t="s">
        <v>756</v>
      </c>
      <c r="I2818" s="260">
        <v>260</v>
      </c>
      <c r="J2818" s="260">
        <v>17929.508185845447</v>
      </c>
      <c r="K2818" s="881">
        <f t="shared" si="228"/>
        <v>4661672</v>
      </c>
      <c r="L2818" s="869" t="s">
        <v>179</v>
      </c>
      <c r="M2818" s="869" t="s">
        <v>169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909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1006</v>
      </c>
      <c r="E2819" s="191">
        <v>40907</v>
      </c>
      <c r="F2819" s="192" t="s">
        <v>1353</v>
      </c>
      <c r="G2819" s="502" t="s">
        <v>1425</v>
      </c>
      <c r="H2819" s="193" t="s">
        <v>758</v>
      </c>
      <c r="I2819" s="260">
        <v>50</v>
      </c>
      <c r="J2819" s="260">
        <v>16741.508185845443</v>
      </c>
      <c r="K2819" s="881">
        <f t="shared" si="228"/>
        <v>837075</v>
      </c>
      <c r="L2819" s="869" t="s">
        <v>179</v>
      </c>
      <c r="M2819" s="869" t="s">
        <v>169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909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1006</v>
      </c>
      <c r="E2820" s="191">
        <v>40907</v>
      </c>
      <c r="F2820" s="192" t="s">
        <v>1355</v>
      </c>
      <c r="G2820" s="502" t="s">
        <v>1425</v>
      </c>
      <c r="H2820" s="193" t="s">
        <v>758</v>
      </c>
      <c r="I2820" s="260">
        <v>100</v>
      </c>
      <c r="J2820" s="260">
        <v>17929.508185845443</v>
      </c>
      <c r="K2820" s="881">
        <f t="shared" si="228"/>
        <v>1792951</v>
      </c>
      <c r="L2820" s="869" t="s">
        <v>179</v>
      </c>
      <c r="M2820" s="869" t="s">
        <v>169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909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1006</v>
      </c>
      <c r="E2821" s="191">
        <v>40907</v>
      </c>
      <c r="F2821" s="192" t="s">
        <v>1356</v>
      </c>
      <c r="G2821" s="502" t="s">
        <v>1425</v>
      </c>
      <c r="H2821" s="193" t="s">
        <v>758</v>
      </c>
      <c r="I2821" s="260">
        <v>50</v>
      </c>
      <c r="J2821" s="260">
        <v>17737.508185845443</v>
      </c>
      <c r="K2821" s="881">
        <f t="shared" si="228"/>
        <v>886875</v>
      </c>
      <c r="L2821" s="869" t="s">
        <v>179</v>
      </c>
      <c r="M2821" s="869" t="s">
        <v>169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909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1006</v>
      </c>
      <c r="E2822" s="191">
        <v>40907</v>
      </c>
      <c r="F2822" s="192" t="s">
        <v>1357</v>
      </c>
      <c r="G2822" s="502" t="s">
        <v>1425</v>
      </c>
      <c r="H2822" s="193" t="s">
        <v>758</v>
      </c>
      <c r="I2822" s="260">
        <v>190</v>
      </c>
      <c r="J2822" s="260">
        <v>17929.508185845443</v>
      </c>
      <c r="K2822" s="881">
        <f t="shared" si="228"/>
        <v>3406607</v>
      </c>
      <c r="L2822" s="869" t="s">
        <v>179</v>
      </c>
      <c r="M2822" s="869" t="s">
        <v>169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909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1006</v>
      </c>
      <c r="E2823" s="191">
        <v>40907</v>
      </c>
      <c r="F2823" s="192" t="s">
        <v>1358</v>
      </c>
      <c r="G2823" s="502" t="s">
        <v>1425</v>
      </c>
      <c r="H2823" s="193" t="s">
        <v>758</v>
      </c>
      <c r="I2823" s="260">
        <v>130</v>
      </c>
      <c r="J2823" s="260">
        <v>17929.508185845447</v>
      </c>
      <c r="K2823" s="881">
        <f t="shared" si="228"/>
        <v>2330836</v>
      </c>
      <c r="L2823" s="869" t="s">
        <v>179</v>
      </c>
      <c r="M2823" s="869" t="s">
        <v>169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909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1006</v>
      </c>
      <c r="E2824" s="191">
        <v>40907</v>
      </c>
      <c r="F2824" s="192" t="s">
        <v>1359</v>
      </c>
      <c r="G2824" s="502" t="s">
        <v>1425</v>
      </c>
      <c r="H2824" s="193" t="s">
        <v>758</v>
      </c>
      <c r="I2824" s="260">
        <v>110</v>
      </c>
      <c r="J2824" s="260">
        <v>17929.508185845443</v>
      </c>
      <c r="K2824" s="881">
        <f t="shared" si="228"/>
        <v>1972246</v>
      </c>
      <c r="L2824" s="869" t="s">
        <v>179</v>
      </c>
      <c r="M2824" s="869" t="s">
        <v>169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909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1006</v>
      </c>
      <c r="E2825" s="191">
        <v>40907</v>
      </c>
      <c r="F2825" s="192" t="s">
        <v>1426</v>
      </c>
      <c r="G2825" s="502" t="s">
        <v>1425</v>
      </c>
      <c r="H2825" s="193" t="s">
        <v>758</v>
      </c>
      <c r="I2825" s="260">
        <v>12</v>
      </c>
      <c r="J2825" s="260">
        <v>17737.508185845443</v>
      </c>
      <c r="K2825" s="881">
        <f t="shared" si="228"/>
        <v>212850</v>
      </c>
      <c r="L2825" s="869" t="s">
        <v>179</v>
      </c>
      <c r="M2825" s="869" t="s">
        <v>169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909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7">
        <v>40908</v>
      </c>
      <c r="D2826" s="727" t="s">
        <v>360</v>
      </c>
      <c r="E2826" s="847">
        <v>40908</v>
      </c>
      <c r="F2826" s="728" t="s">
        <v>971</v>
      </c>
      <c r="G2826" s="729"/>
      <c r="H2826" s="632"/>
      <c r="I2826" s="498"/>
      <c r="J2826" s="498"/>
      <c r="K2826" s="730">
        <v>6329945</v>
      </c>
      <c r="L2826" s="731" t="s">
        <v>83</v>
      </c>
      <c r="M2826" s="731" t="s">
        <v>278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909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7">
        <v>40908</v>
      </c>
      <c r="D2827" s="727" t="s">
        <v>360</v>
      </c>
      <c r="E2827" s="847">
        <v>40908</v>
      </c>
      <c r="F2827" s="728" t="s">
        <v>809</v>
      </c>
      <c r="G2827" s="729"/>
      <c r="H2827" s="632"/>
      <c r="I2827" s="498"/>
      <c r="J2827" s="498"/>
      <c r="K2827" s="618">
        <v>6081110</v>
      </c>
      <c r="L2827" s="731" t="s">
        <v>167</v>
      </c>
      <c r="M2827" s="731" t="s">
        <v>278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909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7">
        <v>40908</v>
      </c>
      <c r="D2828" s="727" t="s">
        <v>696</v>
      </c>
      <c r="E2828" s="847">
        <v>40908</v>
      </c>
      <c r="F2828" s="728" t="s">
        <v>1244</v>
      </c>
      <c r="G2828" s="729"/>
      <c r="H2828" s="632" t="s">
        <v>386</v>
      </c>
      <c r="I2828" s="498"/>
      <c r="J2828" s="498"/>
      <c r="K2828" s="730">
        <v>12411055</v>
      </c>
      <c r="L2828" s="731" t="s">
        <v>278</v>
      </c>
      <c r="M2828" s="731" t="s">
        <v>47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909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727</v>
      </c>
      <c r="E2829" s="191">
        <v>40908</v>
      </c>
      <c r="F2829" s="192" t="s">
        <v>678</v>
      </c>
      <c r="G2829" s="502" t="s">
        <v>1371</v>
      </c>
      <c r="H2829" s="193" t="s">
        <v>670</v>
      </c>
      <c r="I2829" s="260">
        <v>1700</v>
      </c>
      <c r="J2829" s="260">
        <v>13455</v>
      </c>
      <c r="K2829" s="618">
        <v>22873500</v>
      </c>
      <c r="L2829" s="194" t="s">
        <v>159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909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727</v>
      </c>
      <c r="E2830" s="191">
        <v>40908</v>
      </c>
      <c r="F2830" s="192" t="s">
        <v>679</v>
      </c>
      <c r="G2830" s="502" t="s">
        <v>1371</v>
      </c>
      <c r="H2830" s="193" t="s">
        <v>670</v>
      </c>
      <c r="I2830" s="260">
        <v>2500</v>
      </c>
      <c r="J2830" s="260">
        <v>16631</v>
      </c>
      <c r="K2830" s="618">
        <v>41577500</v>
      </c>
      <c r="L2830" s="194" t="s">
        <v>159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909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727</v>
      </c>
      <c r="E2831" s="191">
        <v>40908</v>
      </c>
      <c r="F2831" s="192" t="s">
        <v>1310</v>
      </c>
      <c r="G2831" s="502" t="s">
        <v>1371</v>
      </c>
      <c r="H2831" s="193" t="s">
        <v>670</v>
      </c>
      <c r="I2831" s="260"/>
      <c r="J2831" s="260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909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360</v>
      </c>
      <c r="E2832" s="191">
        <v>40908</v>
      </c>
      <c r="F2832" s="913" t="s">
        <v>1459</v>
      </c>
      <c r="G2832" s="40"/>
      <c r="H2832" s="44"/>
      <c r="I2832" s="260"/>
      <c r="J2832" s="260"/>
      <c r="K2832" s="38">
        <v>22244468</v>
      </c>
      <c r="L2832" s="39" t="s">
        <v>89</v>
      </c>
      <c r="M2832" s="39" t="s">
        <v>61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909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60"/>
      <c r="J2833" s="260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909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60"/>
      <c r="J2834" s="260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909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60"/>
      <c r="J2835" s="260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909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60"/>
      <c r="J2836" s="260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909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60"/>
      <c r="J2837" s="260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909"/>
    </row>
    <row r="2839" spans="1:27">
      <c r="J2839" s="872"/>
    </row>
    <row r="2846" spans="1:27">
      <c r="H2846" s="871"/>
    </row>
    <row r="2847" spans="1:27">
      <c r="K2847" s="497">
        <f>SUBTOTAL(9,K10:K2837)</f>
        <v>13712852413</v>
      </c>
    </row>
  </sheetData>
  <autoFilter ref="A9:AD2837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2" customWidth="1"/>
    <col min="2" max="2" width="9.28515625" style="642" customWidth="1"/>
    <col min="3" max="3" width="10" style="642" customWidth="1"/>
    <col min="4" max="4" width="41.42578125" style="642" customWidth="1"/>
    <col min="5" max="5" width="6" style="642" customWidth="1"/>
    <col min="6" max="6" width="7.85546875" style="642" customWidth="1"/>
    <col min="7" max="7" width="8.5703125" style="642" customWidth="1"/>
    <col min="8" max="8" width="13.85546875" style="642" customWidth="1"/>
    <col min="9" max="9" width="14.140625" style="642" customWidth="1"/>
    <col min="10" max="11" width="9.140625" style="642"/>
    <col min="12" max="12" width="3.5703125" style="642" customWidth="1"/>
    <col min="13" max="256" width="9.140625" style="642"/>
    <col min="257" max="257" width="13" style="642" customWidth="1"/>
    <col min="258" max="258" width="9.140625" style="642"/>
    <col min="259" max="259" width="13" style="642" customWidth="1"/>
    <col min="260" max="260" width="29.7109375" style="642" customWidth="1"/>
    <col min="261" max="261" width="7.7109375" style="642" customWidth="1"/>
    <col min="262" max="262" width="6" style="642" customWidth="1"/>
    <col min="263" max="263" width="11.5703125" style="642" customWidth="1"/>
    <col min="264" max="264" width="13.42578125" style="642" customWidth="1"/>
    <col min="265" max="265" width="13.85546875" style="642" customWidth="1"/>
    <col min="266" max="512" width="9.140625" style="642"/>
    <col min="513" max="513" width="13" style="642" customWidth="1"/>
    <col min="514" max="514" width="9.140625" style="642"/>
    <col min="515" max="515" width="13" style="642" customWidth="1"/>
    <col min="516" max="516" width="29.7109375" style="642" customWidth="1"/>
    <col min="517" max="517" width="7.7109375" style="642" customWidth="1"/>
    <col min="518" max="518" width="6" style="642" customWidth="1"/>
    <col min="519" max="519" width="11.5703125" style="642" customWidth="1"/>
    <col min="520" max="520" width="13.42578125" style="642" customWidth="1"/>
    <col min="521" max="521" width="13.85546875" style="642" customWidth="1"/>
    <col min="522" max="768" width="9.140625" style="642"/>
    <col min="769" max="769" width="13" style="642" customWidth="1"/>
    <col min="770" max="770" width="9.140625" style="642"/>
    <col min="771" max="771" width="13" style="642" customWidth="1"/>
    <col min="772" max="772" width="29.7109375" style="642" customWidth="1"/>
    <col min="773" max="773" width="7.7109375" style="642" customWidth="1"/>
    <col min="774" max="774" width="6" style="642" customWidth="1"/>
    <col min="775" max="775" width="11.5703125" style="642" customWidth="1"/>
    <col min="776" max="776" width="13.42578125" style="642" customWidth="1"/>
    <col min="777" max="777" width="13.85546875" style="642" customWidth="1"/>
    <col min="778" max="1024" width="9.140625" style="642"/>
    <col min="1025" max="1025" width="13" style="642" customWidth="1"/>
    <col min="1026" max="1026" width="9.140625" style="642"/>
    <col min="1027" max="1027" width="13" style="642" customWidth="1"/>
    <col min="1028" max="1028" width="29.7109375" style="642" customWidth="1"/>
    <col min="1029" max="1029" width="7.7109375" style="642" customWidth="1"/>
    <col min="1030" max="1030" width="6" style="642" customWidth="1"/>
    <col min="1031" max="1031" width="11.5703125" style="642" customWidth="1"/>
    <col min="1032" max="1032" width="13.42578125" style="642" customWidth="1"/>
    <col min="1033" max="1033" width="13.85546875" style="642" customWidth="1"/>
    <col min="1034" max="1280" width="9.140625" style="642"/>
    <col min="1281" max="1281" width="13" style="642" customWidth="1"/>
    <col min="1282" max="1282" width="9.140625" style="642"/>
    <col min="1283" max="1283" width="13" style="642" customWidth="1"/>
    <col min="1284" max="1284" width="29.7109375" style="642" customWidth="1"/>
    <col min="1285" max="1285" width="7.7109375" style="642" customWidth="1"/>
    <col min="1286" max="1286" width="6" style="642" customWidth="1"/>
    <col min="1287" max="1287" width="11.5703125" style="642" customWidth="1"/>
    <col min="1288" max="1288" width="13.42578125" style="642" customWidth="1"/>
    <col min="1289" max="1289" width="13.85546875" style="642" customWidth="1"/>
    <col min="1290" max="1536" width="9.140625" style="642"/>
    <col min="1537" max="1537" width="13" style="642" customWidth="1"/>
    <col min="1538" max="1538" width="9.140625" style="642"/>
    <col min="1539" max="1539" width="13" style="642" customWidth="1"/>
    <col min="1540" max="1540" width="29.7109375" style="642" customWidth="1"/>
    <col min="1541" max="1541" width="7.7109375" style="642" customWidth="1"/>
    <col min="1542" max="1542" width="6" style="642" customWidth="1"/>
    <col min="1543" max="1543" width="11.5703125" style="642" customWidth="1"/>
    <col min="1544" max="1544" width="13.42578125" style="642" customWidth="1"/>
    <col min="1545" max="1545" width="13.85546875" style="642" customWidth="1"/>
    <col min="1546" max="1792" width="9.140625" style="642"/>
    <col min="1793" max="1793" width="13" style="642" customWidth="1"/>
    <col min="1794" max="1794" width="9.140625" style="642"/>
    <col min="1795" max="1795" width="13" style="642" customWidth="1"/>
    <col min="1796" max="1796" width="29.7109375" style="642" customWidth="1"/>
    <col min="1797" max="1797" width="7.7109375" style="642" customWidth="1"/>
    <col min="1798" max="1798" width="6" style="642" customWidth="1"/>
    <col min="1799" max="1799" width="11.5703125" style="642" customWidth="1"/>
    <col min="1800" max="1800" width="13.42578125" style="642" customWidth="1"/>
    <col min="1801" max="1801" width="13.85546875" style="642" customWidth="1"/>
    <col min="1802" max="2048" width="9.140625" style="642"/>
    <col min="2049" max="2049" width="13" style="642" customWidth="1"/>
    <col min="2050" max="2050" width="9.140625" style="642"/>
    <col min="2051" max="2051" width="13" style="642" customWidth="1"/>
    <col min="2052" max="2052" width="29.7109375" style="642" customWidth="1"/>
    <col min="2053" max="2053" width="7.7109375" style="642" customWidth="1"/>
    <col min="2054" max="2054" width="6" style="642" customWidth="1"/>
    <col min="2055" max="2055" width="11.5703125" style="642" customWidth="1"/>
    <col min="2056" max="2056" width="13.42578125" style="642" customWidth="1"/>
    <col min="2057" max="2057" width="13.85546875" style="642" customWidth="1"/>
    <col min="2058" max="2304" width="9.140625" style="642"/>
    <col min="2305" max="2305" width="13" style="642" customWidth="1"/>
    <col min="2306" max="2306" width="9.140625" style="642"/>
    <col min="2307" max="2307" width="13" style="642" customWidth="1"/>
    <col min="2308" max="2308" width="29.7109375" style="642" customWidth="1"/>
    <col min="2309" max="2309" width="7.7109375" style="642" customWidth="1"/>
    <col min="2310" max="2310" width="6" style="642" customWidth="1"/>
    <col min="2311" max="2311" width="11.5703125" style="642" customWidth="1"/>
    <col min="2312" max="2312" width="13.42578125" style="642" customWidth="1"/>
    <col min="2313" max="2313" width="13.85546875" style="642" customWidth="1"/>
    <col min="2314" max="2560" width="9.140625" style="642"/>
    <col min="2561" max="2561" width="13" style="642" customWidth="1"/>
    <col min="2562" max="2562" width="9.140625" style="642"/>
    <col min="2563" max="2563" width="13" style="642" customWidth="1"/>
    <col min="2564" max="2564" width="29.7109375" style="642" customWidth="1"/>
    <col min="2565" max="2565" width="7.7109375" style="642" customWidth="1"/>
    <col min="2566" max="2566" width="6" style="642" customWidth="1"/>
    <col min="2567" max="2567" width="11.5703125" style="642" customWidth="1"/>
    <col min="2568" max="2568" width="13.42578125" style="642" customWidth="1"/>
    <col min="2569" max="2569" width="13.85546875" style="642" customWidth="1"/>
    <col min="2570" max="2816" width="9.140625" style="642"/>
    <col min="2817" max="2817" width="13" style="642" customWidth="1"/>
    <col min="2818" max="2818" width="9.140625" style="642"/>
    <col min="2819" max="2819" width="13" style="642" customWidth="1"/>
    <col min="2820" max="2820" width="29.7109375" style="642" customWidth="1"/>
    <col min="2821" max="2821" width="7.7109375" style="642" customWidth="1"/>
    <col min="2822" max="2822" width="6" style="642" customWidth="1"/>
    <col min="2823" max="2823" width="11.5703125" style="642" customWidth="1"/>
    <col min="2824" max="2824" width="13.42578125" style="642" customWidth="1"/>
    <col min="2825" max="2825" width="13.85546875" style="642" customWidth="1"/>
    <col min="2826" max="3072" width="9.140625" style="642"/>
    <col min="3073" max="3073" width="13" style="642" customWidth="1"/>
    <col min="3074" max="3074" width="9.140625" style="642"/>
    <col min="3075" max="3075" width="13" style="642" customWidth="1"/>
    <col min="3076" max="3076" width="29.7109375" style="642" customWidth="1"/>
    <col min="3077" max="3077" width="7.7109375" style="642" customWidth="1"/>
    <col min="3078" max="3078" width="6" style="642" customWidth="1"/>
    <col min="3079" max="3079" width="11.5703125" style="642" customWidth="1"/>
    <col min="3080" max="3080" width="13.42578125" style="642" customWidth="1"/>
    <col min="3081" max="3081" width="13.85546875" style="642" customWidth="1"/>
    <col min="3082" max="3328" width="9.140625" style="642"/>
    <col min="3329" max="3329" width="13" style="642" customWidth="1"/>
    <col min="3330" max="3330" width="9.140625" style="642"/>
    <col min="3331" max="3331" width="13" style="642" customWidth="1"/>
    <col min="3332" max="3332" width="29.7109375" style="642" customWidth="1"/>
    <col min="3333" max="3333" width="7.7109375" style="642" customWidth="1"/>
    <col min="3334" max="3334" width="6" style="642" customWidth="1"/>
    <col min="3335" max="3335" width="11.5703125" style="642" customWidth="1"/>
    <col min="3336" max="3336" width="13.42578125" style="642" customWidth="1"/>
    <col min="3337" max="3337" width="13.85546875" style="642" customWidth="1"/>
    <col min="3338" max="3584" width="9.140625" style="642"/>
    <col min="3585" max="3585" width="13" style="642" customWidth="1"/>
    <col min="3586" max="3586" width="9.140625" style="642"/>
    <col min="3587" max="3587" width="13" style="642" customWidth="1"/>
    <col min="3588" max="3588" width="29.7109375" style="642" customWidth="1"/>
    <col min="3589" max="3589" width="7.7109375" style="642" customWidth="1"/>
    <col min="3590" max="3590" width="6" style="642" customWidth="1"/>
    <col min="3591" max="3591" width="11.5703125" style="642" customWidth="1"/>
    <col min="3592" max="3592" width="13.42578125" style="642" customWidth="1"/>
    <col min="3593" max="3593" width="13.85546875" style="642" customWidth="1"/>
    <col min="3594" max="3840" width="9.140625" style="642"/>
    <col min="3841" max="3841" width="13" style="642" customWidth="1"/>
    <col min="3842" max="3842" width="9.140625" style="642"/>
    <col min="3843" max="3843" width="13" style="642" customWidth="1"/>
    <col min="3844" max="3844" width="29.7109375" style="642" customWidth="1"/>
    <col min="3845" max="3845" width="7.7109375" style="642" customWidth="1"/>
    <col min="3846" max="3846" width="6" style="642" customWidth="1"/>
    <col min="3847" max="3847" width="11.5703125" style="642" customWidth="1"/>
    <col min="3848" max="3848" width="13.42578125" style="642" customWidth="1"/>
    <col min="3849" max="3849" width="13.85546875" style="642" customWidth="1"/>
    <col min="3850" max="4096" width="9.140625" style="642"/>
    <col min="4097" max="4097" width="13" style="642" customWidth="1"/>
    <col min="4098" max="4098" width="9.140625" style="642"/>
    <col min="4099" max="4099" width="13" style="642" customWidth="1"/>
    <col min="4100" max="4100" width="29.7109375" style="642" customWidth="1"/>
    <col min="4101" max="4101" width="7.7109375" style="642" customWidth="1"/>
    <col min="4102" max="4102" width="6" style="642" customWidth="1"/>
    <col min="4103" max="4103" width="11.5703125" style="642" customWidth="1"/>
    <col min="4104" max="4104" width="13.42578125" style="642" customWidth="1"/>
    <col min="4105" max="4105" width="13.85546875" style="642" customWidth="1"/>
    <col min="4106" max="4352" width="9.140625" style="642"/>
    <col min="4353" max="4353" width="13" style="642" customWidth="1"/>
    <col min="4354" max="4354" width="9.140625" style="642"/>
    <col min="4355" max="4355" width="13" style="642" customWidth="1"/>
    <col min="4356" max="4356" width="29.7109375" style="642" customWidth="1"/>
    <col min="4357" max="4357" width="7.7109375" style="642" customWidth="1"/>
    <col min="4358" max="4358" width="6" style="642" customWidth="1"/>
    <col min="4359" max="4359" width="11.5703125" style="642" customWidth="1"/>
    <col min="4360" max="4360" width="13.42578125" style="642" customWidth="1"/>
    <col min="4361" max="4361" width="13.85546875" style="642" customWidth="1"/>
    <col min="4362" max="4608" width="9.140625" style="642"/>
    <col min="4609" max="4609" width="13" style="642" customWidth="1"/>
    <col min="4610" max="4610" width="9.140625" style="642"/>
    <col min="4611" max="4611" width="13" style="642" customWidth="1"/>
    <col min="4612" max="4612" width="29.7109375" style="642" customWidth="1"/>
    <col min="4613" max="4613" width="7.7109375" style="642" customWidth="1"/>
    <col min="4614" max="4614" width="6" style="642" customWidth="1"/>
    <col min="4615" max="4615" width="11.5703125" style="642" customWidth="1"/>
    <col min="4616" max="4616" width="13.42578125" style="642" customWidth="1"/>
    <col min="4617" max="4617" width="13.85546875" style="642" customWidth="1"/>
    <col min="4618" max="4864" width="9.140625" style="642"/>
    <col min="4865" max="4865" width="13" style="642" customWidth="1"/>
    <col min="4866" max="4866" width="9.140625" style="642"/>
    <col min="4867" max="4867" width="13" style="642" customWidth="1"/>
    <col min="4868" max="4868" width="29.7109375" style="642" customWidth="1"/>
    <col min="4869" max="4869" width="7.7109375" style="642" customWidth="1"/>
    <col min="4870" max="4870" width="6" style="642" customWidth="1"/>
    <col min="4871" max="4871" width="11.5703125" style="642" customWidth="1"/>
    <col min="4872" max="4872" width="13.42578125" style="642" customWidth="1"/>
    <col min="4873" max="4873" width="13.85546875" style="642" customWidth="1"/>
    <col min="4874" max="5120" width="9.140625" style="642"/>
    <col min="5121" max="5121" width="13" style="642" customWidth="1"/>
    <col min="5122" max="5122" width="9.140625" style="642"/>
    <col min="5123" max="5123" width="13" style="642" customWidth="1"/>
    <col min="5124" max="5124" width="29.7109375" style="642" customWidth="1"/>
    <col min="5125" max="5125" width="7.7109375" style="642" customWidth="1"/>
    <col min="5126" max="5126" width="6" style="642" customWidth="1"/>
    <col min="5127" max="5127" width="11.5703125" style="642" customWidth="1"/>
    <col min="5128" max="5128" width="13.42578125" style="642" customWidth="1"/>
    <col min="5129" max="5129" width="13.85546875" style="642" customWidth="1"/>
    <col min="5130" max="5376" width="9.140625" style="642"/>
    <col min="5377" max="5377" width="13" style="642" customWidth="1"/>
    <col min="5378" max="5378" width="9.140625" style="642"/>
    <col min="5379" max="5379" width="13" style="642" customWidth="1"/>
    <col min="5380" max="5380" width="29.7109375" style="642" customWidth="1"/>
    <col min="5381" max="5381" width="7.7109375" style="642" customWidth="1"/>
    <col min="5382" max="5382" width="6" style="642" customWidth="1"/>
    <col min="5383" max="5383" width="11.5703125" style="642" customWidth="1"/>
    <col min="5384" max="5384" width="13.42578125" style="642" customWidth="1"/>
    <col min="5385" max="5385" width="13.85546875" style="642" customWidth="1"/>
    <col min="5386" max="5632" width="9.140625" style="642"/>
    <col min="5633" max="5633" width="13" style="642" customWidth="1"/>
    <col min="5634" max="5634" width="9.140625" style="642"/>
    <col min="5635" max="5635" width="13" style="642" customWidth="1"/>
    <col min="5636" max="5636" width="29.7109375" style="642" customWidth="1"/>
    <col min="5637" max="5637" width="7.7109375" style="642" customWidth="1"/>
    <col min="5638" max="5638" width="6" style="642" customWidth="1"/>
    <col min="5639" max="5639" width="11.5703125" style="642" customWidth="1"/>
    <col min="5640" max="5640" width="13.42578125" style="642" customWidth="1"/>
    <col min="5641" max="5641" width="13.85546875" style="642" customWidth="1"/>
    <col min="5642" max="5888" width="9.140625" style="642"/>
    <col min="5889" max="5889" width="13" style="642" customWidth="1"/>
    <col min="5890" max="5890" width="9.140625" style="642"/>
    <col min="5891" max="5891" width="13" style="642" customWidth="1"/>
    <col min="5892" max="5892" width="29.7109375" style="642" customWidth="1"/>
    <col min="5893" max="5893" width="7.7109375" style="642" customWidth="1"/>
    <col min="5894" max="5894" width="6" style="642" customWidth="1"/>
    <col min="5895" max="5895" width="11.5703125" style="642" customWidth="1"/>
    <col min="5896" max="5896" width="13.42578125" style="642" customWidth="1"/>
    <col min="5897" max="5897" width="13.85546875" style="642" customWidth="1"/>
    <col min="5898" max="6144" width="9.140625" style="642"/>
    <col min="6145" max="6145" width="13" style="642" customWidth="1"/>
    <col min="6146" max="6146" width="9.140625" style="642"/>
    <col min="6147" max="6147" width="13" style="642" customWidth="1"/>
    <col min="6148" max="6148" width="29.7109375" style="642" customWidth="1"/>
    <col min="6149" max="6149" width="7.7109375" style="642" customWidth="1"/>
    <col min="6150" max="6150" width="6" style="642" customWidth="1"/>
    <col min="6151" max="6151" width="11.5703125" style="642" customWidth="1"/>
    <col min="6152" max="6152" width="13.42578125" style="642" customWidth="1"/>
    <col min="6153" max="6153" width="13.85546875" style="642" customWidth="1"/>
    <col min="6154" max="6400" width="9.140625" style="642"/>
    <col min="6401" max="6401" width="13" style="642" customWidth="1"/>
    <col min="6402" max="6402" width="9.140625" style="642"/>
    <col min="6403" max="6403" width="13" style="642" customWidth="1"/>
    <col min="6404" max="6404" width="29.7109375" style="642" customWidth="1"/>
    <col min="6405" max="6405" width="7.7109375" style="642" customWidth="1"/>
    <col min="6406" max="6406" width="6" style="642" customWidth="1"/>
    <col min="6407" max="6407" width="11.5703125" style="642" customWidth="1"/>
    <col min="6408" max="6408" width="13.42578125" style="642" customWidth="1"/>
    <col min="6409" max="6409" width="13.85546875" style="642" customWidth="1"/>
    <col min="6410" max="6656" width="9.140625" style="642"/>
    <col min="6657" max="6657" width="13" style="642" customWidth="1"/>
    <col min="6658" max="6658" width="9.140625" style="642"/>
    <col min="6659" max="6659" width="13" style="642" customWidth="1"/>
    <col min="6660" max="6660" width="29.7109375" style="642" customWidth="1"/>
    <col min="6661" max="6661" width="7.7109375" style="642" customWidth="1"/>
    <col min="6662" max="6662" width="6" style="642" customWidth="1"/>
    <col min="6663" max="6663" width="11.5703125" style="642" customWidth="1"/>
    <col min="6664" max="6664" width="13.42578125" style="642" customWidth="1"/>
    <col min="6665" max="6665" width="13.85546875" style="642" customWidth="1"/>
    <col min="6666" max="6912" width="9.140625" style="642"/>
    <col min="6913" max="6913" width="13" style="642" customWidth="1"/>
    <col min="6914" max="6914" width="9.140625" style="642"/>
    <col min="6915" max="6915" width="13" style="642" customWidth="1"/>
    <col min="6916" max="6916" width="29.7109375" style="642" customWidth="1"/>
    <col min="6917" max="6917" width="7.7109375" style="642" customWidth="1"/>
    <col min="6918" max="6918" width="6" style="642" customWidth="1"/>
    <col min="6919" max="6919" width="11.5703125" style="642" customWidth="1"/>
    <col min="6920" max="6920" width="13.42578125" style="642" customWidth="1"/>
    <col min="6921" max="6921" width="13.85546875" style="642" customWidth="1"/>
    <col min="6922" max="7168" width="9.140625" style="642"/>
    <col min="7169" max="7169" width="13" style="642" customWidth="1"/>
    <col min="7170" max="7170" width="9.140625" style="642"/>
    <col min="7171" max="7171" width="13" style="642" customWidth="1"/>
    <col min="7172" max="7172" width="29.7109375" style="642" customWidth="1"/>
    <col min="7173" max="7173" width="7.7109375" style="642" customWidth="1"/>
    <col min="7174" max="7174" width="6" style="642" customWidth="1"/>
    <col min="7175" max="7175" width="11.5703125" style="642" customWidth="1"/>
    <col min="7176" max="7176" width="13.42578125" style="642" customWidth="1"/>
    <col min="7177" max="7177" width="13.85546875" style="642" customWidth="1"/>
    <col min="7178" max="7424" width="9.140625" style="642"/>
    <col min="7425" max="7425" width="13" style="642" customWidth="1"/>
    <col min="7426" max="7426" width="9.140625" style="642"/>
    <col min="7427" max="7427" width="13" style="642" customWidth="1"/>
    <col min="7428" max="7428" width="29.7109375" style="642" customWidth="1"/>
    <col min="7429" max="7429" width="7.7109375" style="642" customWidth="1"/>
    <col min="7430" max="7430" width="6" style="642" customWidth="1"/>
    <col min="7431" max="7431" width="11.5703125" style="642" customWidth="1"/>
    <col min="7432" max="7432" width="13.42578125" style="642" customWidth="1"/>
    <col min="7433" max="7433" width="13.85546875" style="642" customWidth="1"/>
    <col min="7434" max="7680" width="9.140625" style="642"/>
    <col min="7681" max="7681" width="13" style="642" customWidth="1"/>
    <col min="7682" max="7682" width="9.140625" style="642"/>
    <col min="7683" max="7683" width="13" style="642" customWidth="1"/>
    <col min="7684" max="7684" width="29.7109375" style="642" customWidth="1"/>
    <col min="7685" max="7685" width="7.7109375" style="642" customWidth="1"/>
    <col min="7686" max="7686" width="6" style="642" customWidth="1"/>
    <col min="7687" max="7687" width="11.5703125" style="642" customWidth="1"/>
    <col min="7688" max="7688" width="13.42578125" style="642" customWidth="1"/>
    <col min="7689" max="7689" width="13.85546875" style="642" customWidth="1"/>
    <col min="7690" max="7936" width="9.140625" style="642"/>
    <col min="7937" max="7937" width="13" style="642" customWidth="1"/>
    <col min="7938" max="7938" width="9.140625" style="642"/>
    <col min="7939" max="7939" width="13" style="642" customWidth="1"/>
    <col min="7940" max="7940" width="29.7109375" style="642" customWidth="1"/>
    <col min="7941" max="7941" width="7.7109375" style="642" customWidth="1"/>
    <col min="7942" max="7942" width="6" style="642" customWidth="1"/>
    <col min="7943" max="7943" width="11.5703125" style="642" customWidth="1"/>
    <col min="7944" max="7944" width="13.42578125" style="642" customWidth="1"/>
    <col min="7945" max="7945" width="13.85546875" style="642" customWidth="1"/>
    <col min="7946" max="8192" width="9.140625" style="642"/>
    <col min="8193" max="8193" width="13" style="642" customWidth="1"/>
    <col min="8194" max="8194" width="9.140625" style="642"/>
    <col min="8195" max="8195" width="13" style="642" customWidth="1"/>
    <col min="8196" max="8196" width="29.7109375" style="642" customWidth="1"/>
    <col min="8197" max="8197" width="7.7109375" style="642" customWidth="1"/>
    <col min="8198" max="8198" width="6" style="642" customWidth="1"/>
    <col min="8199" max="8199" width="11.5703125" style="642" customWidth="1"/>
    <col min="8200" max="8200" width="13.42578125" style="642" customWidth="1"/>
    <col min="8201" max="8201" width="13.85546875" style="642" customWidth="1"/>
    <col min="8202" max="8448" width="9.140625" style="642"/>
    <col min="8449" max="8449" width="13" style="642" customWidth="1"/>
    <col min="8450" max="8450" width="9.140625" style="642"/>
    <col min="8451" max="8451" width="13" style="642" customWidth="1"/>
    <col min="8452" max="8452" width="29.7109375" style="642" customWidth="1"/>
    <col min="8453" max="8453" width="7.7109375" style="642" customWidth="1"/>
    <col min="8454" max="8454" width="6" style="642" customWidth="1"/>
    <col min="8455" max="8455" width="11.5703125" style="642" customWidth="1"/>
    <col min="8456" max="8456" width="13.42578125" style="642" customWidth="1"/>
    <col min="8457" max="8457" width="13.85546875" style="642" customWidth="1"/>
    <col min="8458" max="8704" width="9.140625" style="642"/>
    <col min="8705" max="8705" width="13" style="642" customWidth="1"/>
    <col min="8706" max="8706" width="9.140625" style="642"/>
    <col min="8707" max="8707" width="13" style="642" customWidth="1"/>
    <col min="8708" max="8708" width="29.7109375" style="642" customWidth="1"/>
    <col min="8709" max="8709" width="7.7109375" style="642" customWidth="1"/>
    <col min="8710" max="8710" width="6" style="642" customWidth="1"/>
    <col min="8711" max="8711" width="11.5703125" style="642" customWidth="1"/>
    <col min="8712" max="8712" width="13.42578125" style="642" customWidth="1"/>
    <col min="8713" max="8713" width="13.85546875" style="642" customWidth="1"/>
    <col min="8714" max="8960" width="9.140625" style="642"/>
    <col min="8961" max="8961" width="13" style="642" customWidth="1"/>
    <col min="8962" max="8962" width="9.140625" style="642"/>
    <col min="8963" max="8963" width="13" style="642" customWidth="1"/>
    <col min="8964" max="8964" width="29.7109375" style="642" customWidth="1"/>
    <col min="8965" max="8965" width="7.7109375" style="642" customWidth="1"/>
    <col min="8966" max="8966" width="6" style="642" customWidth="1"/>
    <col min="8967" max="8967" width="11.5703125" style="642" customWidth="1"/>
    <col min="8968" max="8968" width="13.42578125" style="642" customWidth="1"/>
    <col min="8969" max="8969" width="13.85546875" style="642" customWidth="1"/>
    <col min="8970" max="9216" width="9.140625" style="642"/>
    <col min="9217" max="9217" width="13" style="642" customWidth="1"/>
    <col min="9218" max="9218" width="9.140625" style="642"/>
    <col min="9219" max="9219" width="13" style="642" customWidth="1"/>
    <col min="9220" max="9220" width="29.7109375" style="642" customWidth="1"/>
    <col min="9221" max="9221" width="7.7109375" style="642" customWidth="1"/>
    <col min="9222" max="9222" width="6" style="642" customWidth="1"/>
    <col min="9223" max="9223" width="11.5703125" style="642" customWidth="1"/>
    <col min="9224" max="9224" width="13.42578125" style="642" customWidth="1"/>
    <col min="9225" max="9225" width="13.85546875" style="642" customWidth="1"/>
    <col min="9226" max="9472" width="9.140625" style="642"/>
    <col min="9473" max="9473" width="13" style="642" customWidth="1"/>
    <col min="9474" max="9474" width="9.140625" style="642"/>
    <col min="9475" max="9475" width="13" style="642" customWidth="1"/>
    <col min="9476" max="9476" width="29.7109375" style="642" customWidth="1"/>
    <col min="9477" max="9477" width="7.7109375" style="642" customWidth="1"/>
    <col min="9478" max="9478" width="6" style="642" customWidth="1"/>
    <col min="9479" max="9479" width="11.5703125" style="642" customWidth="1"/>
    <col min="9480" max="9480" width="13.42578125" style="642" customWidth="1"/>
    <col min="9481" max="9481" width="13.85546875" style="642" customWidth="1"/>
    <col min="9482" max="9728" width="9.140625" style="642"/>
    <col min="9729" max="9729" width="13" style="642" customWidth="1"/>
    <col min="9730" max="9730" width="9.140625" style="642"/>
    <col min="9731" max="9731" width="13" style="642" customWidth="1"/>
    <col min="9732" max="9732" width="29.7109375" style="642" customWidth="1"/>
    <col min="9733" max="9733" width="7.7109375" style="642" customWidth="1"/>
    <col min="9734" max="9734" width="6" style="642" customWidth="1"/>
    <col min="9735" max="9735" width="11.5703125" style="642" customWidth="1"/>
    <col min="9736" max="9736" width="13.42578125" style="642" customWidth="1"/>
    <col min="9737" max="9737" width="13.85546875" style="642" customWidth="1"/>
    <col min="9738" max="9984" width="9.140625" style="642"/>
    <col min="9985" max="9985" width="13" style="642" customWidth="1"/>
    <col min="9986" max="9986" width="9.140625" style="642"/>
    <col min="9987" max="9987" width="13" style="642" customWidth="1"/>
    <col min="9988" max="9988" width="29.7109375" style="642" customWidth="1"/>
    <col min="9989" max="9989" width="7.7109375" style="642" customWidth="1"/>
    <col min="9990" max="9990" width="6" style="642" customWidth="1"/>
    <col min="9991" max="9991" width="11.5703125" style="642" customWidth="1"/>
    <col min="9992" max="9992" width="13.42578125" style="642" customWidth="1"/>
    <col min="9993" max="9993" width="13.85546875" style="642" customWidth="1"/>
    <col min="9994" max="10240" width="9.140625" style="642"/>
    <col min="10241" max="10241" width="13" style="642" customWidth="1"/>
    <col min="10242" max="10242" width="9.140625" style="642"/>
    <col min="10243" max="10243" width="13" style="642" customWidth="1"/>
    <col min="10244" max="10244" width="29.7109375" style="642" customWidth="1"/>
    <col min="10245" max="10245" width="7.7109375" style="642" customWidth="1"/>
    <col min="10246" max="10246" width="6" style="642" customWidth="1"/>
    <col min="10247" max="10247" width="11.5703125" style="642" customWidth="1"/>
    <col min="10248" max="10248" width="13.42578125" style="642" customWidth="1"/>
    <col min="10249" max="10249" width="13.85546875" style="642" customWidth="1"/>
    <col min="10250" max="10496" width="9.140625" style="642"/>
    <col min="10497" max="10497" width="13" style="642" customWidth="1"/>
    <col min="10498" max="10498" width="9.140625" style="642"/>
    <col min="10499" max="10499" width="13" style="642" customWidth="1"/>
    <col min="10500" max="10500" width="29.7109375" style="642" customWidth="1"/>
    <col min="10501" max="10501" width="7.7109375" style="642" customWidth="1"/>
    <col min="10502" max="10502" width="6" style="642" customWidth="1"/>
    <col min="10503" max="10503" width="11.5703125" style="642" customWidth="1"/>
    <col min="10504" max="10504" width="13.42578125" style="642" customWidth="1"/>
    <col min="10505" max="10505" width="13.85546875" style="642" customWidth="1"/>
    <col min="10506" max="10752" width="9.140625" style="642"/>
    <col min="10753" max="10753" width="13" style="642" customWidth="1"/>
    <col min="10754" max="10754" width="9.140625" style="642"/>
    <col min="10755" max="10755" width="13" style="642" customWidth="1"/>
    <col min="10756" max="10756" width="29.7109375" style="642" customWidth="1"/>
    <col min="10757" max="10757" width="7.7109375" style="642" customWidth="1"/>
    <col min="10758" max="10758" width="6" style="642" customWidth="1"/>
    <col min="10759" max="10759" width="11.5703125" style="642" customWidth="1"/>
    <col min="10760" max="10760" width="13.42578125" style="642" customWidth="1"/>
    <col min="10761" max="10761" width="13.85546875" style="642" customWidth="1"/>
    <col min="10762" max="11008" width="9.140625" style="642"/>
    <col min="11009" max="11009" width="13" style="642" customWidth="1"/>
    <col min="11010" max="11010" width="9.140625" style="642"/>
    <col min="11011" max="11011" width="13" style="642" customWidth="1"/>
    <col min="11012" max="11012" width="29.7109375" style="642" customWidth="1"/>
    <col min="11013" max="11013" width="7.7109375" style="642" customWidth="1"/>
    <col min="11014" max="11014" width="6" style="642" customWidth="1"/>
    <col min="11015" max="11015" width="11.5703125" style="642" customWidth="1"/>
    <col min="11016" max="11016" width="13.42578125" style="642" customWidth="1"/>
    <col min="11017" max="11017" width="13.85546875" style="642" customWidth="1"/>
    <col min="11018" max="11264" width="9.140625" style="642"/>
    <col min="11265" max="11265" width="13" style="642" customWidth="1"/>
    <col min="11266" max="11266" width="9.140625" style="642"/>
    <col min="11267" max="11267" width="13" style="642" customWidth="1"/>
    <col min="11268" max="11268" width="29.7109375" style="642" customWidth="1"/>
    <col min="11269" max="11269" width="7.7109375" style="642" customWidth="1"/>
    <col min="11270" max="11270" width="6" style="642" customWidth="1"/>
    <col min="11271" max="11271" width="11.5703125" style="642" customWidth="1"/>
    <col min="11272" max="11272" width="13.42578125" style="642" customWidth="1"/>
    <col min="11273" max="11273" width="13.85546875" style="642" customWidth="1"/>
    <col min="11274" max="11520" width="9.140625" style="642"/>
    <col min="11521" max="11521" width="13" style="642" customWidth="1"/>
    <col min="11522" max="11522" width="9.140625" style="642"/>
    <col min="11523" max="11523" width="13" style="642" customWidth="1"/>
    <col min="11524" max="11524" width="29.7109375" style="642" customWidth="1"/>
    <col min="11525" max="11525" width="7.7109375" style="642" customWidth="1"/>
    <col min="11526" max="11526" width="6" style="642" customWidth="1"/>
    <col min="11527" max="11527" width="11.5703125" style="642" customWidth="1"/>
    <col min="11528" max="11528" width="13.42578125" style="642" customWidth="1"/>
    <col min="11529" max="11529" width="13.85546875" style="642" customWidth="1"/>
    <col min="11530" max="11776" width="9.140625" style="642"/>
    <col min="11777" max="11777" width="13" style="642" customWidth="1"/>
    <col min="11778" max="11778" width="9.140625" style="642"/>
    <col min="11779" max="11779" width="13" style="642" customWidth="1"/>
    <col min="11780" max="11780" width="29.7109375" style="642" customWidth="1"/>
    <col min="11781" max="11781" width="7.7109375" style="642" customWidth="1"/>
    <col min="11782" max="11782" width="6" style="642" customWidth="1"/>
    <col min="11783" max="11783" width="11.5703125" style="642" customWidth="1"/>
    <col min="11784" max="11784" width="13.42578125" style="642" customWidth="1"/>
    <col min="11785" max="11785" width="13.85546875" style="642" customWidth="1"/>
    <col min="11786" max="12032" width="9.140625" style="642"/>
    <col min="12033" max="12033" width="13" style="642" customWidth="1"/>
    <col min="12034" max="12034" width="9.140625" style="642"/>
    <col min="12035" max="12035" width="13" style="642" customWidth="1"/>
    <col min="12036" max="12036" width="29.7109375" style="642" customWidth="1"/>
    <col min="12037" max="12037" width="7.7109375" style="642" customWidth="1"/>
    <col min="12038" max="12038" width="6" style="642" customWidth="1"/>
    <col min="12039" max="12039" width="11.5703125" style="642" customWidth="1"/>
    <col min="12040" max="12040" width="13.42578125" style="642" customWidth="1"/>
    <col min="12041" max="12041" width="13.85546875" style="642" customWidth="1"/>
    <col min="12042" max="12288" width="9.140625" style="642"/>
    <col min="12289" max="12289" width="13" style="642" customWidth="1"/>
    <col min="12290" max="12290" width="9.140625" style="642"/>
    <col min="12291" max="12291" width="13" style="642" customWidth="1"/>
    <col min="12292" max="12292" width="29.7109375" style="642" customWidth="1"/>
    <col min="12293" max="12293" width="7.7109375" style="642" customWidth="1"/>
    <col min="12294" max="12294" width="6" style="642" customWidth="1"/>
    <col min="12295" max="12295" width="11.5703125" style="642" customWidth="1"/>
    <col min="12296" max="12296" width="13.42578125" style="642" customWidth="1"/>
    <col min="12297" max="12297" width="13.85546875" style="642" customWidth="1"/>
    <col min="12298" max="12544" width="9.140625" style="642"/>
    <col min="12545" max="12545" width="13" style="642" customWidth="1"/>
    <col min="12546" max="12546" width="9.140625" style="642"/>
    <col min="12547" max="12547" width="13" style="642" customWidth="1"/>
    <col min="12548" max="12548" width="29.7109375" style="642" customWidth="1"/>
    <col min="12549" max="12549" width="7.7109375" style="642" customWidth="1"/>
    <col min="12550" max="12550" width="6" style="642" customWidth="1"/>
    <col min="12551" max="12551" width="11.5703125" style="642" customWidth="1"/>
    <col min="12552" max="12552" width="13.42578125" style="642" customWidth="1"/>
    <col min="12553" max="12553" width="13.85546875" style="642" customWidth="1"/>
    <col min="12554" max="12800" width="9.140625" style="642"/>
    <col min="12801" max="12801" width="13" style="642" customWidth="1"/>
    <col min="12802" max="12802" width="9.140625" style="642"/>
    <col min="12803" max="12803" width="13" style="642" customWidth="1"/>
    <col min="12804" max="12804" width="29.7109375" style="642" customWidth="1"/>
    <col min="12805" max="12805" width="7.7109375" style="642" customWidth="1"/>
    <col min="12806" max="12806" width="6" style="642" customWidth="1"/>
    <col min="12807" max="12807" width="11.5703125" style="642" customWidth="1"/>
    <col min="12808" max="12808" width="13.42578125" style="642" customWidth="1"/>
    <col min="12809" max="12809" width="13.85546875" style="642" customWidth="1"/>
    <col min="12810" max="13056" width="9.140625" style="642"/>
    <col min="13057" max="13057" width="13" style="642" customWidth="1"/>
    <col min="13058" max="13058" width="9.140625" style="642"/>
    <col min="13059" max="13059" width="13" style="642" customWidth="1"/>
    <col min="13060" max="13060" width="29.7109375" style="642" customWidth="1"/>
    <col min="13061" max="13061" width="7.7109375" style="642" customWidth="1"/>
    <col min="13062" max="13062" width="6" style="642" customWidth="1"/>
    <col min="13063" max="13063" width="11.5703125" style="642" customWidth="1"/>
    <col min="13064" max="13064" width="13.42578125" style="642" customWidth="1"/>
    <col min="13065" max="13065" width="13.85546875" style="642" customWidth="1"/>
    <col min="13066" max="13312" width="9.140625" style="642"/>
    <col min="13313" max="13313" width="13" style="642" customWidth="1"/>
    <col min="13314" max="13314" width="9.140625" style="642"/>
    <col min="13315" max="13315" width="13" style="642" customWidth="1"/>
    <col min="13316" max="13316" width="29.7109375" style="642" customWidth="1"/>
    <col min="13317" max="13317" width="7.7109375" style="642" customWidth="1"/>
    <col min="13318" max="13318" width="6" style="642" customWidth="1"/>
    <col min="13319" max="13319" width="11.5703125" style="642" customWidth="1"/>
    <col min="13320" max="13320" width="13.42578125" style="642" customWidth="1"/>
    <col min="13321" max="13321" width="13.85546875" style="642" customWidth="1"/>
    <col min="13322" max="13568" width="9.140625" style="642"/>
    <col min="13569" max="13569" width="13" style="642" customWidth="1"/>
    <col min="13570" max="13570" width="9.140625" style="642"/>
    <col min="13571" max="13571" width="13" style="642" customWidth="1"/>
    <col min="13572" max="13572" width="29.7109375" style="642" customWidth="1"/>
    <col min="13573" max="13573" width="7.7109375" style="642" customWidth="1"/>
    <col min="13574" max="13574" width="6" style="642" customWidth="1"/>
    <col min="13575" max="13575" width="11.5703125" style="642" customWidth="1"/>
    <col min="13576" max="13576" width="13.42578125" style="642" customWidth="1"/>
    <col min="13577" max="13577" width="13.85546875" style="642" customWidth="1"/>
    <col min="13578" max="13824" width="9.140625" style="642"/>
    <col min="13825" max="13825" width="13" style="642" customWidth="1"/>
    <col min="13826" max="13826" width="9.140625" style="642"/>
    <col min="13827" max="13827" width="13" style="642" customWidth="1"/>
    <col min="13828" max="13828" width="29.7109375" style="642" customWidth="1"/>
    <col min="13829" max="13829" width="7.7109375" style="642" customWidth="1"/>
    <col min="13830" max="13830" width="6" style="642" customWidth="1"/>
    <col min="13831" max="13831" width="11.5703125" style="642" customWidth="1"/>
    <col min="13832" max="13832" width="13.42578125" style="642" customWidth="1"/>
    <col min="13833" max="13833" width="13.85546875" style="642" customWidth="1"/>
    <col min="13834" max="14080" width="9.140625" style="642"/>
    <col min="14081" max="14081" width="13" style="642" customWidth="1"/>
    <col min="14082" max="14082" width="9.140625" style="642"/>
    <col min="14083" max="14083" width="13" style="642" customWidth="1"/>
    <col min="14084" max="14084" width="29.7109375" style="642" customWidth="1"/>
    <col min="14085" max="14085" width="7.7109375" style="642" customWidth="1"/>
    <col min="14086" max="14086" width="6" style="642" customWidth="1"/>
    <col min="14087" max="14087" width="11.5703125" style="642" customWidth="1"/>
    <col min="14088" max="14088" width="13.42578125" style="642" customWidth="1"/>
    <col min="14089" max="14089" width="13.85546875" style="642" customWidth="1"/>
    <col min="14090" max="14336" width="9.140625" style="642"/>
    <col min="14337" max="14337" width="13" style="642" customWidth="1"/>
    <col min="14338" max="14338" width="9.140625" style="642"/>
    <col min="14339" max="14339" width="13" style="642" customWidth="1"/>
    <col min="14340" max="14340" width="29.7109375" style="642" customWidth="1"/>
    <col min="14341" max="14341" width="7.7109375" style="642" customWidth="1"/>
    <col min="14342" max="14342" width="6" style="642" customWidth="1"/>
    <col min="14343" max="14343" width="11.5703125" style="642" customWidth="1"/>
    <col min="14344" max="14344" width="13.42578125" style="642" customWidth="1"/>
    <col min="14345" max="14345" width="13.85546875" style="642" customWidth="1"/>
    <col min="14346" max="14592" width="9.140625" style="642"/>
    <col min="14593" max="14593" width="13" style="642" customWidth="1"/>
    <col min="14594" max="14594" width="9.140625" style="642"/>
    <col min="14595" max="14595" width="13" style="642" customWidth="1"/>
    <col min="14596" max="14596" width="29.7109375" style="642" customWidth="1"/>
    <col min="14597" max="14597" width="7.7109375" style="642" customWidth="1"/>
    <col min="14598" max="14598" width="6" style="642" customWidth="1"/>
    <col min="14599" max="14599" width="11.5703125" style="642" customWidth="1"/>
    <col min="14600" max="14600" width="13.42578125" style="642" customWidth="1"/>
    <col min="14601" max="14601" width="13.85546875" style="642" customWidth="1"/>
    <col min="14602" max="14848" width="9.140625" style="642"/>
    <col min="14849" max="14849" width="13" style="642" customWidth="1"/>
    <col min="14850" max="14850" width="9.140625" style="642"/>
    <col min="14851" max="14851" width="13" style="642" customWidth="1"/>
    <col min="14852" max="14852" width="29.7109375" style="642" customWidth="1"/>
    <col min="14853" max="14853" width="7.7109375" style="642" customWidth="1"/>
    <col min="14854" max="14854" width="6" style="642" customWidth="1"/>
    <col min="14855" max="14855" width="11.5703125" style="642" customWidth="1"/>
    <col min="14856" max="14856" width="13.42578125" style="642" customWidth="1"/>
    <col min="14857" max="14857" width="13.85546875" style="642" customWidth="1"/>
    <col min="14858" max="15104" width="9.140625" style="642"/>
    <col min="15105" max="15105" width="13" style="642" customWidth="1"/>
    <col min="15106" max="15106" width="9.140625" style="642"/>
    <col min="15107" max="15107" width="13" style="642" customWidth="1"/>
    <col min="15108" max="15108" width="29.7109375" style="642" customWidth="1"/>
    <col min="15109" max="15109" width="7.7109375" style="642" customWidth="1"/>
    <col min="15110" max="15110" width="6" style="642" customWidth="1"/>
    <col min="15111" max="15111" width="11.5703125" style="642" customWidth="1"/>
    <col min="15112" max="15112" width="13.42578125" style="642" customWidth="1"/>
    <col min="15113" max="15113" width="13.85546875" style="642" customWidth="1"/>
    <col min="15114" max="15360" width="9.140625" style="642"/>
    <col min="15361" max="15361" width="13" style="642" customWidth="1"/>
    <col min="15362" max="15362" width="9.140625" style="642"/>
    <col min="15363" max="15363" width="13" style="642" customWidth="1"/>
    <col min="15364" max="15364" width="29.7109375" style="642" customWidth="1"/>
    <col min="15365" max="15365" width="7.7109375" style="642" customWidth="1"/>
    <col min="15366" max="15366" width="6" style="642" customWidth="1"/>
    <col min="15367" max="15367" width="11.5703125" style="642" customWidth="1"/>
    <col min="15368" max="15368" width="13.42578125" style="642" customWidth="1"/>
    <col min="15369" max="15369" width="13.85546875" style="642" customWidth="1"/>
    <col min="15370" max="15616" width="9.140625" style="642"/>
    <col min="15617" max="15617" width="13" style="642" customWidth="1"/>
    <col min="15618" max="15618" width="9.140625" style="642"/>
    <col min="15619" max="15619" width="13" style="642" customWidth="1"/>
    <col min="15620" max="15620" width="29.7109375" style="642" customWidth="1"/>
    <col min="15621" max="15621" width="7.7109375" style="642" customWidth="1"/>
    <col min="15622" max="15622" width="6" style="642" customWidth="1"/>
    <col min="15623" max="15623" width="11.5703125" style="642" customWidth="1"/>
    <col min="15624" max="15624" width="13.42578125" style="642" customWidth="1"/>
    <col min="15625" max="15625" width="13.85546875" style="642" customWidth="1"/>
    <col min="15626" max="15872" width="9.140625" style="642"/>
    <col min="15873" max="15873" width="13" style="642" customWidth="1"/>
    <col min="15874" max="15874" width="9.140625" style="642"/>
    <col min="15875" max="15875" width="13" style="642" customWidth="1"/>
    <col min="15876" max="15876" width="29.7109375" style="642" customWidth="1"/>
    <col min="15877" max="15877" width="7.7109375" style="642" customWidth="1"/>
    <col min="15878" max="15878" width="6" style="642" customWidth="1"/>
    <col min="15879" max="15879" width="11.5703125" style="642" customWidth="1"/>
    <col min="15880" max="15880" width="13.42578125" style="642" customWidth="1"/>
    <col min="15881" max="15881" width="13.85546875" style="642" customWidth="1"/>
    <col min="15882" max="16128" width="9.140625" style="642"/>
    <col min="16129" max="16129" width="13" style="642" customWidth="1"/>
    <col min="16130" max="16130" width="9.140625" style="642"/>
    <col min="16131" max="16131" width="13" style="642" customWidth="1"/>
    <col min="16132" max="16132" width="29.7109375" style="642" customWidth="1"/>
    <col min="16133" max="16133" width="7.7109375" style="642" customWidth="1"/>
    <col min="16134" max="16134" width="6" style="642" customWidth="1"/>
    <col min="16135" max="16135" width="11.5703125" style="642" customWidth="1"/>
    <col min="16136" max="16136" width="13.42578125" style="642" customWidth="1"/>
    <col min="16137" max="16137" width="13.85546875" style="642" customWidth="1"/>
    <col min="16138" max="16384" width="9.140625" style="642"/>
  </cols>
  <sheetData>
    <row r="1" spans="1:14">
      <c r="A1" s="641" t="str">
        <f>TH!A1</f>
        <v>Đơn vị: CÔNG TY TNHH SX TM KIM DUNG PHÁT</v>
      </c>
      <c r="F1" s="981" t="s">
        <v>371</v>
      </c>
      <c r="G1" s="981"/>
      <c r="H1" s="981"/>
      <c r="I1" s="981"/>
    </row>
    <row r="2" spans="1:14">
      <c r="A2" s="642" t="str">
        <f>TH!A2</f>
        <v>Địa chỉ: 1A227/1 Ấp 1, Phạm Văn Hai, Bình Chánh, TPHCM</v>
      </c>
      <c r="F2" s="98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0"/>
      <c r="H2" s="980"/>
      <c r="I2" s="980"/>
    </row>
    <row r="3" spans="1:14">
      <c r="F3" s="980"/>
      <c r="G3" s="980"/>
      <c r="H3" s="980"/>
      <c r="I3" s="980"/>
    </row>
    <row r="4" spans="1:14">
      <c r="H4" s="643"/>
      <c r="I4" s="643"/>
    </row>
    <row r="5" spans="1:14" ht="26.25" customHeight="1">
      <c r="B5" s="644"/>
      <c r="C5" s="644"/>
      <c r="D5" s="645" t="s">
        <v>372</v>
      </c>
      <c r="E5" s="644"/>
      <c r="F5" s="644"/>
      <c r="G5" s="644"/>
      <c r="H5" s="644"/>
      <c r="I5" s="644"/>
      <c r="J5" s="644"/>
      <c r="K5" s="644"/>
    </row>
    <row r="6" spans="1:14">
      <c r="B6" s="646"/>
      <c r="C6" s="646"/>
      <c r="D6" s="647" t="str">
        <f ca="1">$K$9&amp;"   -   Năm:  " &amp;YEAR(A11)</f>
        <v>Quý III   -   Năm:  2011</v>
      </c>
      <c r="E6" s="646"/>
      <c r="F6" s="646"/>
      <c r="G6" s="646"/>
      <c r="H6" s="646"/>
      <c r="I6" s="646"/>
      <c r="J6" s="646"/>
      <c r="K6" s="646"/>
    </row>
    <row r="7" spans="1:14">
      <c r="A7" s="648"/>
      <c r="B7" s="648"/>
      <c r="C7" s="648"/>
      <c r="D7" s="648"/>
      <c r="E7" s="648"/>
      <c r="F7" s="648"/>
      <c r="G7" s="648"/>
      <c r="H7" s="984" t="s">
        <v>123</v>
      </c>
      <c r="I7" s="984"/>
      <c r="J7" s="648"/>
      <c r="K7" s="648"/>
      <c r="M7" s="983" t="s">
        <v>352</v>
      </c>
      <c r="N7" s="983"/>
    </row>
    <row r="8" spans="1:14" s="915" customFormat="1" ht="23.25" customHeight="1" thickBot="1">
      <c r="A8" s="974" t="s">
        <v>373</v>
      </c>
      <c r="B8" s="976" t="s">
        <v>1</v>
      </c>
      <c r="C8" s="977"/>
      <c r="D8" s="978" t="s">
        <v>0</v>
      </c>
      <c r="E8" s="974" t="s">
        <v>374</v>
      </c>
      <c r="F8" s="982" t="s">
        <v>94</v>
      </c>
      <c r="G8" s="982"/>
      <c r="H8" s="976" t="s">
        <v>21</v>
      </c>
      <c r="I8" s="977"/>
      <c r="J8" s="914"/>
      <c r="K8" s="914"/>
      <c r="M8" s="916">
        <f>IF(K9="Quý I",1,IF(K9="Quý II",4,IF(K9="Quý III",7,IF(K9="Quý IV",10,""))))</f>
        <v>7</v>
      </c>
      <c r="N8" s="916">
        <f>IF(K9="Quý I",3,IF(K9="Quý II",6,IF(K9="Quý III",9,IF(K9="Quý IV",12,""))))</f>
        <v>9</v>
      </c>
    </row>
    <row r="9" spans="1:14" s="915" customFormat="1" ht="28.5" customHeight="1" thickBot="1">
      <c r="A9" s="975"/>
      <c r="B9" s="917" t="s">
        <v>15</v>
      </c>
      <c r="C9" s="917" t="s">
        <v>32</v>
      </c>
      <c r="D9" s="979"/>
      <c r="E9" s="975"/>
      <c r="F9" s="918" t="s">
        <v>22</v>
      </c>
      <c r="G9" s="918" t="s">
        <v>23</v>
      </c>
      <c r="H9" s="917" t="s">
        <v>375</v>
      </c>
      <c r="I9" s="917" t="s">
        <v>23</v>
      </c>
      <c r="K9" s="762" t="s">
        <v>1103</v>
      </c>
    </row>
    <row r="10" spans="1:14" s="915" customFormat="1" ht="21" customHeight="1">
      <c r="A10" s="919"/>
      <c r="B10" s="919"/>
      <c r="C10" s="919"/>
      <c r="D10" s="920" t="s">
        <v>378</v>
      </c>
      <c r="E10" s="921"/>
      <c r="F10" s="919"/>
      <c r="G10" s="919"/>
      <c r="H10" s="922">
        <f>SUMIF(_M,"&lt;"&amp;$M$8,TH)</f>
        <v>5516962815</v>
      </c>
      <c r="I10" s="922">
        <f>SUMIF(_M,"&lt;"&amp;$M$8,TH)</f>
        <v>5516962815</v>
      </c>
    </row>
    <row r="11" spans="1:14" s="915" customFormat="1" ht="21" customHeight="1">
      <c r="A11" s="923">
        <f ca="1">IF(ROWS($1:1)&gt;COUNT(Dong6),"",OFFSET(TH!C$1,SMALL(Dong6,ROWS($1:1)),))</f>
        <v>40725</v>
      </c>
      <c r="B11" s="924" t="str">
        <f ca="1">IF(ROWS($1:1)&gt;COUNT(Dong6),"",OFFSET(TH!D$1,SMALL(Dong6,ROWS($1:1)),))</f>
        <v>CTGS</v>
      </c>
      <c r="C11" s="923">
        <f ca="1">IF(ROWS($1:1)&gt;COUNT(Dong6),"",OFFSET(TH!E$1,SMALL(Dong6,ROWS($1:1)),))</f>
        <v>40725</v>
      </c>
      <c r="D11" s="925" t="str">
        <f ca="1">IF(ROWS($1:1)&gt;COUNT(Dong6),"",OFFSET(TH!F$1,SMALL(Dong6,ROWS($1:1)),))</f>
        <v>Trích khấu hao TSCĐ Hữu hình</v>
      </c>
      <c r="E11" s="924">
        <f t="shared" ref="E11:E40" ca="1" si="0">IF(D11&lt;&gt;"",ROW()-10,"")</f>
        <v>1</v>
      </c>
      <c r="F11" s="926" t="str">
        <f ca="1">IF(ROWS($1:1)&gt;COUNT(Dong6),"",OFFSET(TH!L$1,SMALL(Dong6,ROWS($1:1)),))</f>
        <v>154</v>
      </c>
      <c r="G11" s="926" t="str">
        <f ca="1">IF(ROWS($1:1)&gt;COUNT(Dong6),"",OFFSET(TH!M$1,SMALL(Dong6,ROWS($1:1)),))</f>
        <v>2141</v>
      </c>
      <c r="H11" s="747">
        <f ca="1">IF(ROWS($1:1)&gt;COUNT(Dong6),"",OFFSET(TH!K$1,SMALL(Dong6,ROWS($1:1)),))</f>
        <v>18250000</v>
      </c>
      <c r="I11" s="747">
        <f ca="1">IF(ROWS($1:1)&gt;COUNT(Dong6),"",OFFSET(TH!K$1,SMALL(Dong6,ROWS($1:1)),))</f>
        <v>18250000</v>
      </c>
    </row>
    <row r="12" spans="1:14" s="915" customFormat="1" ht="21" customHeight="1">
      <c r="A12" s="923">
        <f ca="1">IF(ROWS($1:2)&gt;COUNT(Dong6),"",OFFSET(TH!C$1,SMALL(Dong6,ROWS($1:2)),))</f>
        <v>40725</v>
      </c>
      <c r="B12" s="924" t="str">
        <f ca="1">IF(ROWS($1:2)&gt;COUNT(Dong6),"",OFFSET(TH!D$1,SMALL(Dong6,ROWS($1:2)),))</f>
        <v>CTGS</v>
      </c>
      <c r="C12" s="923">
        <f ca="1">IF(ROWS($1:2)&gt;COUNT(Dong6),"",OFFSET(TH!E$1,SMALL(Dong6,ROWS($1:2)),))</f>
        <v>40725</v>
      </c>
      <c r="D12" s="925" t="str">
        <f ca="1">IF(ROWS($1:2)&gt;COUNT(Dong6),"",OFFSET(TH!F$1,SMALL(Dong6,ROWS($1:2)),))</f>
        <v>Phân bổ chi phí trả trước ngắn hạn</v>
      </c>
      <c r="E12" s="924">
        <f t="shared" ca="1" si="0"/>
        <v>2</v>
      </c>
      <c r="F12" s="926" t="str">
        <f ca="1">IF(ROWS($1:2)&gt;COUNT(Dong6),"",OFFSET(TH!L$1,SMALL(Dong6,ROWS($1:2)),))</f>
        <v>154</v>
      </c>
      <c r="G12" s="926" t="str">
        <f ca="1">IF(ROWS($1:2)&gt;COUNT(Dong6),"",OFFSET(TH!M$1,SMALL(Dong6,ROWS($1:2)),))</f>
        <v>142</v>
      </c>
      <c r="H12" s="747">
        <f ca="1">IF(ROWS($1:2)&gt;COUNT(Dong6),"",OFFSET(TH!K$1,SMALL(Dong6,ROWS($1:2)),))</f>
        <v>3164845</v>
      </c>
      <c r="I12" s="747">
        <f ca="1">IF(ROWS($1:2)&gt;COUNT(Dong6),"",OFFSET(TH!K$1,SMALL(Dong6,ROWS($1:2)),))</f>
        <v>3164845</v>
      </c>
    </row>
    <row r="13" spans="1:14" s="915" customFormat="1" ht="21" customHeight="1">
      <c r="A13" s="923">
        <f ca="1">IF(ROWS($1:3)&gt;COUNT(Dong6),"",OFFSET(TH!C$1,SMALL(Dong6,ROWS($1:3)),))</f>
        <v>40725</v>
      </c>
      <c r="B13" s="924" t="str">
        <f ca="1">IF(ROWS($1:3)&gt;COUNT(Dong6),"",OFFSET(TH!D$1,SMALL(Dong6,ROWS($1:3)),))</f>
        <v>VL/X01</v>
      </c>
      <c r="C13" s="923">
        <f ca="1">IF(ROWS($1:3)&gt;COUNT(Dong6),"",OFFSET(TH!E$1,SMALL(Dong6,ROWS($1:3)),))</f>
        <v>40725</v>
      </c>
      <c r="D13" s="925" t="str">
        <f ca="1">IF(ROWS($1:3)&gt;COUNT(Dong6),"",OFFSET(TH!F$1,SMALL(Dong6,ROWS($1:3)),))</f>
        <v>Kẽm đóng bao bì</v>
      </c>
      <c r="E13" s="924">
        <f t="shared" ca="1" si="0"/>
        <v>3</v>
      </c>
      <c r="F13" s="926" t="str">
        <f ca="1">IF(ROWS($1:3)&gt;COUNT(Dong6),"",OFFSET(TH!L$1,SMALL(Dong6,ROWS($1:3)),))</f>
        <v>154</v>
      </c>
      <c r="G13" s="926" t="str">
        <f ca="1">IF(ROWS($1:3)&gt;COUNT(Dong6),"",OFFSET(TH!M$1,SMALL(Dong6,ROWS($1:3)),))</f>
        <v>1522</v>
      </c>
      <c r="H13" s="747">
        <f ca="1">IF(ROWS($1:3)&gt;COUNT(Dong6),"",OFFSET(TH!K$1,SMALL(Dong6,ROWS($1:3)),))</f>
        <v>1175000</v>
      </c>
      <c r="I13" s="747">
        <f ca="1">IF(ROWS($1:3)&gt;COUNT(Dong6),"",OFFSET(TH!K$1,SMALL(Dong6,ROWS($1:3)),))</f>
        <v>1175000</v>
      </c>
    </row>
    <row r="14" spans="1:14" s="915" customFormat="1" ht="21" customHeight="1">
      <c r="A14" s="923">
        <f ca="1">IF(ROWS($1:4)&gt;COUNT(Dong6),"",OFFSET(TH!C$1,SMALL(Dong6,ROWS($1:4)),))</f>
        <v>40725</v>
      </c>
      <c r="B14" s="924" t="str">
        <f ca="1">IF(ROWS($1:4)&gt;COUNT(Dong6),"",OFFSET(TH!D$1,SMALL(Dong6,ROWS($1:4)),))</f>
        <v>VL/X01</v>
      </c>
      <c r="C14" s="923">
        <f ca="1">IF(ROWS($1:4)&gt;COUNT(Dong6),"",OFFSET(TH!E$1,SMALL(Dong6,ROWS($1:4)),))</f>
        <v>40725</v>
      </c>
      <c r="D14" s="925" t="str">
        <f ca="1">IF(ROWS($1:4)&gt;COUNT(Dong6),"",OFFSET(TH!F$1,SMALL(Dong6,ROWS($1:4)),))</f>
        <v>Dây nylon</v>
      </c>
      <c r="E14" s="924">
        <f t="shared" ca="1" si="0"/>
        <v>4</v>
      </c>
      <c r="F14" s="926" t="str">
        <f ca="1">IF(ROWS($1:4)&gt;COUNT(Dong6),"",OFFSET(TH!L$1,SMALL(Dong6,ROWS($1:4)),))</f>
        <v>154</v>
      </c>
      <c r="G14" s="926" t="str">
        <f ca="1">IF(ROWS($1:4)&gt;COUNT(Dong6),"",OFFSET(TH!M$1,SMALL(Dong6,ROWS($1:4)),))</f>
        <v>1522</v>
      </c>
      <c r="H14" s="747">
        <f ca="1">IF(ROWS($1:4)&gt;COUNT(Dong6),"",OFFSET(TH!K$1,SMALL(Dong6,ROWS($1:4)),))</f>
        <v>1176000</v>
      </c>
      <c r="I14" s="747">
        <f ca="1">IF(ROWS($1:4)&gt;COUNT(Dong6),"",OFFSET(TH!K$1,SMALL(Dong6,ROWS($1:4)),))</f>
        <v>1176000</v>
      </c>
    </row>
    <row r="15" spans="1:14" s="915" customFormat="1" ht="21" customHeight="1">
      <c r="A15" s="923">
        <f ca="1">IF(ROWS($1:5)&gt;COUNT(Dong6),"",OFFSET(TH!C$1,SMALL(Dong6,ROWS($1:5)),))</f>
        <v>40725</v>
      </c>
      <c r="B15" s="924" t="str">
        <f ca="1">IF(ROWS($1:5)&gt;COUNT(Dong6),"",OFFSET(TH!D$1,SMALL(Dong6,ROWS($1:5)),))</f>
        <v>VL/X01</v>
      </c>
      <c r="C15" s="923">
        <f ca="1">IF(ROWS($1:5)&gt;COUNT(Dong6),"",OFFSET(TH!E$1,SMALL(Dong6,ROWS($1:5)),))</f>
        <v>40725</v>
      </c>
      <c r="D15" s="925" t="str">
        <f ca="1">IF(ROWS($1:5)&gt;COUNT(Dong6),"",OFFSET(TH!F$1,SMALL(Dong6,ROWS($1:5)),))</f>
        <v>Bản in cao su</v>
      </c>
      <c r="E15" s="924">
        <f t="shared" ca="1" si="0"/>
        <v>5</v>
      </c>
      <c r="F15" s="926" t="str">
        <f ca="1">IF(ROWS($1:5)&gt;COUNT(Dong6),"",OFFSET(TH!L$1,SMALL(Dong6,ROWS($1:5)),))</f>
        <v>154</v>
      </c>
      <c r="G15" s="926" t="str">
        <f ca="1">IF(ROWS($1:5)&gt;COUNT(Dong6),"",OFFSET(TH!M$1,SMALL(Dong6,ROWS($1:5)),))</f>
        <v>1522</v>
      </c>
      <c r="H15" s="747">
        <f ca="1">IF(ROWS($1:5)&gt;COUNT(Dong6),"",OFFSET(TH!K$1,SMALL(Dong6,ROWS($1:5)),))</f>
        <v>1410970</v>
      </c>
      <c r="I15" s="747">
        <f ca="1">IF(ROWS($1:5)&gt;COUNT(Dong6),"",OFFSET(TH!K$1,SMALL(Dong6,ROWS($1:5)),))</f>
        <v>1410970</v>
      </c>
    </row>
    <row r="16" spans="1:14" s="915" customFormat="1" ht="21" customHeight="1">
      <c r="A16" s="923">
        <f ca="1">IF(ROWS($1:6)&gt;COUNT(Dong6),"",OFFSET(TH!C$1,SMALL(Dong6,ROWS($1:6)),))</f>
        <v>40729</v>
      </c>
      <c r="B16" s="924" t="str">
        <f ca="1">IF(ROWS($1:6)&gt;COUNT(Dong6),"",OFFSET(TH!D$1,SMALL(Dong6,ROWS($1:6)),))</f>
        <v>C01</v>
      </c>
      <c r="C16" s="923">
        <f ca="1">IF(ROWS($1:6)&gt;COUNT(Dong6),"",OFFSET(TH!E$1,SMALL(Dong6,ROWS($1:6)),))</f>
        <v>40729</v>
      </c>
      <c r="D16" s="925" t="str">
        <f ca="1">IF(ROWS($1:6)&gt;COUNT(Dong6),"",OFFSET(TH!F$1,SMALL(Dong6,ROWS($1:6)),))</f>
        <v>Mực in VFLEX 6529 Blue</v>
      </c>
      <c r="E16" s="924">
        <f t="shared" ca="1" si="0"/>
        <v>6</v>
      </c>
      <c r="F16" s="926" t="str">
        <f ca="1">IF(ROWS($1:6)&gt;COUNT(Dong6),"",OFFSET(TH!L$1,SMALL(Dong6,ROWS($1:6)),))</f>
        <v>154</v>
      </c>
      <c r="G16" s="926" t="str">
        <f ca="1">IF(ROWS($1:6)&gt;COUNT(Dong6),"",OFFSET(TH!M$1,SMALL(Dong6,ROWS($1:6)),))</f>
        <v>1111</v>
      </c>
      <c r="H16" s="747">
        <f ca="1">IF(ROWS($1:6)&gt;COUNT(Dong6),"",OFFSET(TH!K$1,SMALL(Dong6,ROWS($1:6)),))</f>
        <v>2680000</v>
      </c>
      <c r="I16" s="747">
        <f ca="1">IF(ROWS($1:6)&gt;COUNT(Dong6),"",OFFSET(TH!K$1,SMALL(Dong6,ROWS($1:6)),))</f>
        <v>2680000</v>
      </c>
    </row>
    <row r="17" spans="1:9" s="915" customFormat="1" ht="21" customHeight="1">
      <c r="A17" s="923">
        <f ca="1">IF(ROWS($1:7)&gt;COUNT(Dong6),"",OFFSET(TH!C$1,SMALL(Dong6,ROWS($1:7)),))</f>
        <v>40729</v>
      </c>
      <c r="B17" s="924" t="str">
        <f ca="1">IF(ROWS($1:7)&gt;COUNT(Dong6),"",OFFSET(TH!D$1,SMALL(Dong6,ROWS($1:7)),))</f>
        <v>C01</v>
      </c>
      <c r="C17" s="923">
        <f ca="1">IF(ROWS($1:7)&gt;COUNT(Dong6),"",OFFSET(TH!E$1,SMALL(Dong6,ROWS($1:7)),))</f>
        <v>40729</v>
      </c>
      <c r="D17" s="925" t="str">
        <f ca="1">IF(ROWS($1:7)&gt;COUNT(Dong6),"",OFFSET(TH!F$1,SMALL(Dong6,ROWS($1:7)),))</f>
        <v>VAT Mực in VFLEX 6529 Blue</v>
      </c>
      <c r="E17" s="924">
        <f t="shared" ca="1" si="0"/>
        <v>7</v>
      </c>
      <c r="F17" s="926" t="str">
        <f ca="1">IF(ROWS($1:7)&gt;COUNT(Dong6),"",OFFSET(TH!L$1,SMALL(Dong6,ROWS($1:7)),))</f>
        <v>1331</v>
      </c>
      <c r="G17" s="926" t="str">
        <f ca="1">IF(ROWS($1:7)&gt;COUNT(Dong6),"",OFFSET(TH!M$1,SMALL(Dong6,ROWS($1:7)),))</f>
        <v>1111</v>
      </c>
      <c r="H17" s="747">
        <f ca="1">IF(ROWS($1:7)&gt;COUNT(Dong6),"",OFFSET(TH!K$1,SMALL(Dong6,ROWS($1:7)),))</f>
        <v>268000</v>
      </c>
      <c r="I17" s="747">
        <f ca="1">IF(ROWS($1:7)&gt;COUNT(Dong6),"",OFFSET(TH!K$1,SMALL(Dong6,ROWS($1:7)),))</f>
        <v>268000</v>
      </c>
    </row>
    <row r="18" spans="1:9" s="915" customFormat="1" ht="21" customHeight="1">
      <c r="A18" s="923">
        <f ca="1">IF(ROWS($1:8)&gt;COUNT(Dong6),"",OFFSET(TH!C$1,SMALL(Dong6,ROWS($1:8)),))</f>
        <v>40729</v>
      </c>
      <c r="B18" s="924" t="str">
        <f ca="1">IF(ROWS($1:8)&gt;COUNT(Dong6),"",OFFSET(TH!D$1,SMALL(Dong6,ROWS($1:8)),))</f>
        <v>NL/X01</v>
      </c>
      <c r="C18" s="923">
        <f ca="1">IF(ROWS($1:8)&gt;COUNT(Dong6),"",OFFSET(TH!E$1,SMALL(Dong6,ROWS($1:8)),))</f>
        <v>40729</v>
      </c>
      <c r="D18" s="925" t="str">
        <f ca="1">IF(ROWS($1:8)&gt;COUNT(Dong6),"",OFFSET(TH!F$1,SMALL(Dong6,ROWS($1:8)),))</f>
        <v>Giấy tấm 1V+2X ( 1540x542)</v>
      </c>
      <c r="E18" s="924">
        <f t="shared" ca="1" si="0"/>
        <v>8</v>
      </c>
      <c r="F18" s="926" t="str">
        <f ca="1">IF(ROWS($1:8)&gt;COUNT(Dong6),"",OFFSET(TH!L$1,SMALL(Dong6,ROWS($1:8)),))</f>
        <v>154</v>
      </c>
      <c r="G18" s="926" t="str">
        <f ca="1">IF(ROWS($1:8)&gt;COUNT(Dong6),"",OFFSET(TH!M$1,SMALL(Dong6,ROWS($1:8)),))</f>
        <v>1521</v>
      </c>
      <c r="H18" s="747">
        <f ca="1">IF(ROWS($1:8)&gt;COUNT(Dong6),"",OFFSET(TH!K$1,SMALL(Dong6,ROWS($1:8)),))</f>
        <v>747224</v>
      </c>
      <c r="I18" s="747">
        <f ca="1">IF(ROWS($1:8)&gt;COUNT(Dong6),"",OFFSET(TH!K$1,SMALL(Dong6,ROWS($1:8)),))</f>
        <v>747224</v>
      </c>
    </row>
    <row r="19" spans="1:9" s="915" customFormat="1" ht="21" customHeight="1">
      <c r="A19" s="923">
        <f ca="1">IF(ROWS($1:9)&gt;COUNT(Dong6),"",OFFSET(TH!C$1,SMALL(Dong6,ROWS($1:9)),))</f>
        <v>40729</v>
      </c>
      <c r="B19" s="924" t="str">
        <f ca="1">IF(ROWS($1:9)&gt;COUNT(Dong6),"",OFFSET(TH!D$1,SMALL(Dong6,ROWS($1:9)),))</f>
        <v>NL/X01</v>
      </c>
      <c r="C19" s="923">
        <f ca="1">IF(ROWS($1:9)&gt;COUNT(Dong6),"",OFFSET(TH!E$1,SMALL(Dong6,ROWS($1:9)),))</f>
        <v>40729</v>
      </c>
      <c r="D19" s="925" t="str">
        <f ca="1">IF(ROWS($1:9)&gt;COUNT(Dong6),"",OFFSET(TH!F$1,SMALL(Dong6,ROWS($1:9)),))</f>
        <v>Giấy carton 7L ( 110x146)</v>
      </c>
      <c r="E19" s="924">
        <f t="shared" ca="1" si="0"/>
        <v>9</v>
      </c>
      <c r="F19" s="926" t="str">
        <f ca="1">IF(ROWS($1:9)&gt;COUNT(Dong6),"",OFFSET(TH!L$1,SMALL(Dong6,ROWS($1:9)),))</f>
        <v>154</v>
      </c>
      <c r="G19" s="926" t="str">
        <f ca="1">IF(ROWS($1:9)&gt;COUNT(Dong6),"",OFFSET(TH!M$1,SMALL(Dong6,ROWS($1:9)),))</f>
        <v>1521</v>
      </c>
      <c r="H19" s="747">
        <f ca="1">IF(ROWS($1:9)&gt;COUNT(Dong6),"",OFFSET(TH!K$1,SMALL(Dong6,ROWS($1:9)),))</f>
        <v>10949708</v>
      </c>
      <c r="I19" s="747">
        <f ca="1">IF(ROWS($1:9)&gt;COUNT(Dong6),"",OFFSET(TH!K$1,SMALL(Dong6,ROWS($1:9)),))</f>
        <v>10949708</v>
      </c>
    </row>
    <row r="20" spans="1:9" s="915" customFormat="1" ht="21" customHeight="1">
      <c r="A20" s="923">
        <f ca="1">IF(ROWS($1:10)&gt;COUNT(Dong6),"",OFFSET(TH!C$1,SMALL(Dong6,ROWS($1:10)),))</f>
        <v>40729</v>
      </c>
      <c r="B20" s="924" t="str">
        <f ca="1">IF(ROWS($1:10)&gt;COUNT(Dong6),"",OFFSET(TH!D$1,SMALL(Dong6,ROWS($1:10)),))</f>
        <v>NL/X01</v>
      </c>
      <c r="C20" s="923">
        <f ca="1">IF(ROWS($1:10)&gt;COUNT(Dong6),"",OFFSET(TH!E$1,SMALL(Dong6,ROWS($1:10)),))</f>
        <v>40729</v>
      </c>
      <c r="D20" s="925" t="str">
        <f ca="1">IF(ROWS($1:10)&gt;COUNT(Dong6),"",OFFSET(TH!F$1,SMALL(Dong6,ROWS($1:10)),))</f>
        <v>Giấy tấm ND+5X+V ( 105x226)</v>
      </c>
      <c r="E20" s="924">
        <f t="shared" ca="1" si="0"/>
        <v>10</v>
      </c>
      <c r="F20" s="926" t="str">
        <f ca="1">IF(ROWS($1:10)&gt;COUNT(Dong6),"",OFFSET(TH!L$1,SMALL(Dong6,ROWS($1:10)),))</f>
        <v>154</v>
      </c>
      <c r="G20" s="926" t="str">
        <f ca="1">IF(ROWS($1:10)&gt;COUNT(Dong6),"",OFFSET(TH!M$1,SMALL(Dong6,ROWS($1:10)),))</f>
        <v>1521</v>
      </c>
      <c r="H20" s="747">
        <f ca="1">IF(ROWS($1:10)&gt;COUNT(Dong6),"",OFFSET(TH!K$1,SMALL(Dong6,ROWS($1:10)),))</f>
        <v>428805</v>
      </c>
      <c r="I20" s="747">
        <f ca="1">IF(ROWS($1:10)&gt;COUNT(Dong6),"",OFFSET(TH!K$1,SMALL(Dong6,ROWS($1:10)),))</f>
        <v>428805</v>
      </c>
    </row>
    <row r="21" spans="1:9" s="915" customFormat="1" ht="21" customHeight="1">
      <c r="A21" s="923">
        <f ca="1">IF(ROWS($1:11)&gt;COUNT(Dong6),"",OFFSET(TH!C$1,SMALL(Dong6,ROWS($1:11)),))</f>
        <v>40729</v>
      </c>
      <c r="B21" s="924" t="str">
        <f ca="1">IF(ROWS($1:11)&gt;COUNT(Dong6),"",OFFSET(TH!D$1,SMALL(Dong6,ROWS($1:11)),))</f>
        <v>NL/X01</v>
      </c>
      <c r="C21" s="923">
        <f ca="1">IF(ROWS($1:11)&gt;COUNT(Dong6),"",OFFSET(TH!E$1,SMALL(Dong6,ROWS($1:11)),))</f>
        <v>40729</v>
      </c>
      <c r="D21" s="925" t="str">
        <f ca="1">IF(ROWS($1:11)&gt;COUNT(Dong6),"",OFFSET(TH!F$1,SMALL(Dong6,ROWS($1:11)),))</f>
        <v>Giấy tấm 1V+2X ( 1460x444)</v>
      </c>
      <c r="E21" s="924">
        <f t="shared" ca="1" si="0"/>
        <v>11</v>
      </c>
      <c r="F21" s="926" t="str">
        <f ca="1">IF(ROWS($1:11)&gt;COUNT(Dong6),"",OFFSET(TH!L$1,SMALL(Dong6,ROWS($1:11)),))</f>
        <v>154</v>
      </c>
      <c r="G21" s="926" t="str">
        <f ca="1">IF(ROWS($1:11)&gt;COUNT(Dong6),"",OFFSET(TH!M$1,SMALL(Dong6,ROWS($1:11)),))</f>
        <v>1521</v>
      </c>
      <c r="H21" s="747">
        <f ca="1">IF(ROWS($1:11)&gt;COUNT(Dong6),"",OFFSET(TH!K$1,SMALL(Dong6,ROWS($1:11)),))</f>
        <v>266940</v>
      </c>
      <c r="I21" s="747">
        <f ca="1">IF(ROWS($1:11)&gt;COUNT(Dong6),"",OFFSET(TH!K$1,SMALL(Dong6,ROWS($1:11)),))</f>
        <v>266940</v>
      </c>
    </row>
    <row r="22" spans="1:9" s="915" customFormat="1" ht="21" customHeight="1">
      <c r="A22" s="923">
        <f ca="1">IF(ROWS($1:12)&gt;COUNT(Dong6),"",OFFSET(TH!C$1,SMALL(Dong6,ROWS($1:12)),))</f>
        <v>40729</v>
      </c>
      <c r="B22" s="924" t="str">
        <f ca="1">IF(ROWS($1:12)&gt;COUNT(Dong6),"",OFFSET(TH!D$1,SMALL(Dong6,ROWS($1:12)),))</f>
        <v>NL/X01</v>
      </c>
      <c r="C22" s="923">
        <f ca="1">IF(ROWS($1:12)&gt;COUNT(Dong6),"",OFFSET(TH!E$1,SMALL(Dong6,ROWS($1:12)),))</f>
        <v>40729</v>
      </c>
      <c r="D22" s="925" t="str">
        <f ca="1">IF(ROWS($1:12)&gt;COUNT(Dong6),"",OFFSET(TH!F$1,SMALL(Dong6,ROWS($1:12)),))</f>
        <v>Giấy tấm 1V+2X ( 1460x444)</v>
      </c>
      <c r="E22" s="924">
        <f t="shared" ca="1" si="0"/>
        <v>12</v>
      </c>
      <c r="F22" s="926" t="str">
        <f ca="1">IF(ROWS($1:12)&gt;COUNT(Dong6),"",OFFSET(TH!L$1,SMALL(Dong6,ROWS($1:12)),))</f>
        <v>154</v>
      </c>
      <c r="G22" s="926" t="str">
        <f ca="1">IF(ROWS($1:12)&gt;COUNT(Dong6),"",OFFSET(TH!M$1,SMALL(Dong6,ROWS($1:12)),))</f>
        <v>1521</v>
      </c>
      <c r="H22" s="747">
        <f ca="1">IF(ROWS($1:12)&gt;COUNT(Dong6),"",OFFSET(TH!K$1,SMALL(Dong6,ROWS($1:12)),))</f>
        <v>266940</v>
      </c>
      <c r="I22" s="747">
        <f ca="1">IF(ROWS($1:12)&gt;COUNT(Dong6),"",OFFSET(TH!K$1,SMALL(Dong6,ROWS($1:12)),))</f>
        <v>266940</v>
      </c>
    </row>
    <row r="23" spans="1:9" s="915" customFormat="1" ht="21" customHeight="1">
      <c r="A23" s="923">
        <f ca="1">IF(ROWS($1:13)&gt;COUNT(Dong6),"",OFFSET(TH!C$1,SMALL(Dong6,ROWS($1:13)),))</f>
        <v>40729</v>
      </c>
      <c r="B23" s="924" t="str">
        <f ca="1">IF(ROWS($1:13)&gt;COUNT(Dong6),"",OFFSET(TH!D$1,SMALL(Dong6,ROWS($1:13)),))</f>
        <v>NL/X01</v>
      </c>
      <c r="C23" s="923">
        <f ca="1">IF(ROWS($1:13)&gt;COUNT(Dong6),"",OFFSET(TH!E$1,SMALL(Dong6,ROWS($1:13)),))</f>
        <v>40729</v>
      </c>
      <c r="D23" s="925" t="str">
        <f ca="1">IF(ROWS($1:13)&gt;COUNT(Dong6),"",OFFSET(TH!F$1,SMALL(Dong6,ROWS($1:13)),))</f>
        <v>Giấy tấm 1V+2X ( 1480x452)</v>
      </c>
      <c r="E23" s="924">
        <f t="shared" ca="1" si="0"/>
        <v>13</v>
      </c>
      <c r="F23" s="926" t="str">
        <f ca="1">IF(ROWS($1:13)&gt;COUNT(Dong6),"",OFFSET(TH!L$1,SMALL(Dong6,ROWS($1:13)),))</f>
        <v>154</v>
      </c>
      <c r="G23" s="926" t="str">
        <f ca="1">IF(ROWS($1:13)&gt;COUNT(Dong6),"",OFFSET(TH!M$1,SMALL(Dong6,ROWS($1:13)),))</f>
        <v>1521</v>
      </c>
      <c r="H23" s="747">
        <f ca="1">IF(ROWS($1:13)&gt;COUNT(Dong6),"",OFFSET(TH!K$1,SMALL(Dong6,ROWS($1:13)),))</f>
        <v>78064</v>
      </c>
      <c r="I23" s="747">
        <f ca="1">IF(ROWS($1:13)&gt;COUNT(Dong6),"",OFFSET(TH!K$1,SMALL(Dong6,ROWS($1:13)),))</f>
        <v>78064</v>
      </c>
    </row>
    <row r="24" spans="1:9" s="915" customFormat="1" ht="21" customHeight="1">
      <c r="A24" s="923">
        <f ca="1">IF(ROWS($1:14)&gt;COUNT(Dong6),"",OFFSET(TH!C$1,SMALL(Dong6,ROWS($1:14)),))</f>
        <v>40729</v>
      </c>
      <c r="B24" s="924" t="str">
        <f ca="1">IF(ROWS($1:14)&gt;COUNT(Dong6),"",OFFSET(TH!D$1,SMALL(Dong6,ROWS($1:14)),))</f>
        <v>NL/X01</v>
      </c>
      <c r="C24" s="923">
        <f ca="1">IF(ROWS($1:14)&gt;COUNT(Dong6),"",OFFSET(TH!E$1,SMALL(Dong6,ROWS($1:14)),))</f>
        <v>40729</v>
      </c>
      <c r="D24" s="925" t="str">
        <f ca="1">IF(ROWS($1:14)&gt;COUNT(Dong6),"",OFFSET(TH!F$1,SMALL(Dong6,ROWS($1:14)),))</f>
        <v>Giấy tấm 1V+2X ( 1460x444)</v>
      </c>
      <c r="E24" s="924">
        <f t="shared" ca="1" si="0"/>
        <v>14</v>
      </c>
      <c r="F24" s="926" t="str">
        <f ca="1">IF(ROWS($1:14)&gt;COUNT(Dong6),"",OFFSET(TH!L$1,SMALL(Dong6,ROWS($1:14)),))</f>
        <v>154</v>
      </c>
      <c r="G24" s="926" t="str">
        <f ca="1">IF(ROWS($1:14)&gt;COUNT(Dong6),"",OFFSET(TH!M$1,SMALL(Dong6,ROWS($1:14)),))</f>
        <v>1521</v>
      </c>
      <c r="H24" s="747">
        <f ca="1">IF(ROWS($1:14)&gt;COUNT(Dong6),"",OFFSET(TH!K$1,SMALL(Dong6,ROWS($1:14)),))</f>
        <v>444897</v>
      </c>
      <c r="I24" s="747">
        <f ca="1">IF(ROWS($1:14)&gt;COUNT(Dong6),"",OFFSET(TH!K$1,SMALL(Dong6,ROWS($1:14)),))</f>
        <v>444897</v>
      </c>
    </row>
    <row r="25" spans="1:9" s="915" customFormat="1" ht="21" customHeight="1">
      <c r="A25" s="923">
        <f ca="1">IF(ROWS($1:15)&gt;COUNT(Dong6),"",OFFSET(TH!C$1,SMALL(Dong6,ROWS($1:15)),))</f>
        <v>40729</v>
      </c>
      <c r="B25" s="924" t="str">
        <f ca="1">IF(ROWS($1:15)&gt;COUNT(Dong6),"",OFFSET(TH!D$1,SMALL(Dong6,ROWS($1:15)),))</f>
        <v>NL/X01</v>
      </c>
      <c r="C25" s="923">
        <f ca="1">IF(ROWS($1:15)&gt;COUNT(Dong6),"",OFFSET(TH!E$1,SMALL(Dong6,ROWS($1:15)),))</f>
        <v>40729</v>
      </c>
      <c r="D25" s="925" t="str">
        <f ca="1">IF(ROWS($1:15)&gt;COUNT(Dong6),"",OFFSET(TH!F$1,SMALL(Dong6,ROWS($1:15)),))</f>
        <v>Giấy tấm 1V+2X ( 1460x444)</v>
      </c>
      <c r="E25" s="924">
        <f t="shared" ca="1" si="0"/>
        <v>15</v>
      </c>
      <c r="F25" s="926" t="str">
        <f ca="1">IF(ROWS($1:15)&gt;COUNT(Dong6),"",OFFSET(TH!L$1,SMALL(Dong6,ROWS($1:15)),))</f>
        <v>154</v>
      </c>
      <c r="G25" s="926" t="str">
        <f ca="1">IF(ROWS($1:15)&gt;COUNT(Dong6),"",OFFSET(TH!M$1,SMALL(Dong6,ROWS($1:15)),))</f>
        <v>1521</v>
      </c>
      <c r="H25" s="747">
        <f ca="1">IF(ROWS($1:15)&gt;COUNT(Dong6),"",OFFSET(TH!K$1,SMALL(Dong6,ROWS($1:15)),))</f>
        <v>26694</v>
      </c>
      <c r="I25" s="747">
        <f ca="1">IF(ROWS($1:15)&gt;COUNT(Dong6),"",OFFSET(TH!K$1,SMALL(Dong6,ROWS($1:15)),))</f>
        <v>26694</v>
      </c>
    </row>
    <row r="26" spans="1:9" s="915" customFormat="1" ht="21" customHeight="1">
      <c r="A26" s="923">
        <f ca="1">IF(ROWS($1:16)&gt;COUNT(Dong6),"",OFFSET(TH!C$1,SMALL(Dong6,ROWS($1:16)),))</f>
        <v>40733</v>
      </c>
      <c r="B26" s="924" t="str">
        <f ca="1">IF(ROWS($1:16)&gt;COUNT(Dong6),"",OFFSET(TH!D$1,SMALL(Dong6,ROWS($1:16)),))</f>
        <v>NL/X02</v>
      </c>
      <c r="C26" s="923">
        <f ca="1">IF(ROWS($1:16)&gt;COUNT(Dong6),"",OFFSET(TH!E$1,SMALL(Dong6,ROWS($1:16)),))</f>
        <v>40733</v>
      </c>
      <c r="D26" s="925" t="str">
        <f ca="1">IF(ROWS($1:16)&gt;COUNT(Dong6),"",OFFSET(TH!F$1,SMALL(Dong6,ROWS($1:16)),))</f>
        <v>Giấy carton 7L ( 125x137)</v>
      </c>
      <c r="E26" s="924">
        <f t="shared" ca="1" si="0"/>
        <v>16</v>
      </c>
      <c r="F26" s="926" t="str">
        <f ca="1">IF(ROWS($1:16)&gt;COUNT(Dong6),"",OFFSET(TH!L$1,SMALL(Dong6,ROWS($1:16)),))</f>
        <v>154</v>
      </c>
      <c r="G26" s="926" t="str">
        <f ca="1">IF(ROWS($1:16)&gt;COUNT(Dong6),"",OFFSET(TH!M$1,SMALL(Dong6,ROWS($1:16)),))</f>
        <v>1521</v>
      </c>
      <c r="H26" s="747">
        <f ca="1">IF(ROWS($1:16)&gt;COUNT(Dong6),"",OFFSET(TH!K$1,SMALL(Dong6,ROWS($1:16)),))</f>
        <v>71925</v>
      </c>
      <c r="I26" s="747">
        <f ca="1">IF(ROWS($1:16)&gt;COUNT(Dong6),"",OFFSET(TH!K$1,SMALL(Dong6,ROWS($1:16)),))</f>
        <v>71925</v>
      </c>
    </row>
    <row r="27" spans="1:9" s="915" customFormat="1" ht="21" customHeight="1">
      <c r="A27" s="923">
        <f ca="1">IF(ROWS($1:17)&gt;COUNT(Dong6),"",OFFSET(TH!C$1,SMALL(Dong6,ROWS($1:17)),))</f>
        <v>40733</v>
      </c>
      <c r="B27" s="924" t="str">
        <f ca="1">IF(ROWS($1:17)&gt;COUNT(Dong6),"",OFFSET(TH!D$1,SMALL(Dong6,ROWS($1:17)),))</f>
        <v>NL/X02</v>
      </c>
      <c r="C27" s="923">
        <f ca="1">IF(ROWS($1:17)&gt;COUNT(Dong6),"",OFFSET(TH!E$1,SMALL(Dong6,ROWS($1:17)),))</f>
        <v>40733</v>
      </c>
      <c r="D27" s="925" t="str">
        <f ca="1">IF(ROWS($1:17)&gt;COUNT(Dong6),"",OFFSET(TH!F$1,SMALL(Dong6,ROWS($1:17)),))</f>
        <v>Giấy tấm 2V+3X ( 1000x1500)</v>
      </c>
      <c r="E27" s="924">
        <f t="shared" ca="1" si="0"/>
        <v>17</v>
      </c>
      <c r="F27" s="926" t="str">
        <f ca="1">IF(ROWS($1:17)&gt;COUNT(Dong6),"",OFFSET(TH!L$1,SMALL(Dong6,ROWS($1:17)),))</f>
        <v>154</v>
      </c>
      <c r="G27" s="926" t="str">
        <f ca="1">IF(ROWS($1:17)&gt;COUNT(Dong6),"",OFFSET(TH!M$1,SMALL(Dong6,ROWS($1:17)),))</f>
        <v>1521</v>
      </c>
      <c r="H27" s="747">
        <f ca="1">IF(ROWS($1:17)&gt;COUNT(Dong6),"",OFFSET(TH!K$1,SMALL(Dong6,ROWS($1:17)),))</f>
        <v>799900</v>
      </c>
      <c r="I27" s="747">
        <f ca="1">IF(ROWS($1:17)&gt;COUNT(Dong6),"",OFFSET(TH!K$1,SMALL(Dong6,ROWS($1:17)),))</f>
        <v>799900</v>
      </c>
    </row>
    <row r="28" spans="1:9" s="915" customFormat="1" ht="21" customHeight="1">
      <c r="A28" s="923">
        <f ca="1">IF(ROWS($1:18)&gt;COUNT(Dong6),"",OFFSET(TH!C$1,SMALL(Dong6,ROWS($1:18)),))</f>
        <v>40733</v>
      </c>
      <c r="B28" s="924" t="str">
        <f ca="1">IF(ROWS($1:18)&gt;COUNT(Dong6),"",OFFSET(TH!D$1,SMALL(Dong6,ROWS($1:18)),))</f>
        <v>NL/X02</v>
      </c>
      <c r="C28" s="923">
        <f ca="1">IF(ROWS($1:18)&gt;COUNT(Dong6),"",OFFSET(TH!E$1,SMALL(Dong6,ROWS($1:18)),))</f>
        <v>40733</v>
      </c>
      <c r="D28" s="925" t="str">
        <f ca="1">IF(ROWS($1:18)&gt;COUNT(Dong6),"",OFFSET(TH!F$1,SMALL(Dong6,ROWS($1:18)),))</f>
        <v>Giấy carton 7L ( 110x224)</v>
      </c>
      <c r="E28" s="924">
        <f t="shared" ca="1" si="0"/>
        <v>18</v>
      </c>
      <c r="F28" s="926" t="str">
        <f ca="1">IF(ROWS($1:18)&gt;COUNT(Dong6),"",OFFSET(TH!L$1,SMALL(Dong6,ROWS($1:18)),))</f>
        <v>154</v>
      </c>
      <c r="G28" s="926" t="str">
        <f ca="1">IF(ROWS($1:18)&gt;COUNT(Dong6),"",OFFSET(TH!M$1,SMALL(Dong6,ROWS($1:18)),))</f>
        <v>1521</v>
      </c>
      <c r="H28" s="747">
        <f ca="1">IF(ROWS($1:18)&gt;COUNT(Dong6),"",OFFSET(TH!K$1,SMALL(Dong6,ROWS($1:18)),))</f>
        <v>2166626</v>
      </c>
      <c r="I28" s="747">
        <f ca="1">IF(ROWS($1:18)&gt;COUNT(Dong6),"",OFFSET(TH!K$1,SMALL(Dong6,ROWS($1:18)),))</f>
        <v>2166626</v>
      </c>
    </row>
    <row r="29" spans="1:9" s="915" customFormat="1" ht="21" customHeight="1">
      <c r="A29" s="923">
        <f ca="1">IF(ROWS($1:19)&gt;COUNT(Dong6),"",OFFSET(TH!C$1,SMALL(Dong6,ROWS($1:19)),))</f>
        <v>40733</v>
      </c>
      <c r="B29" s="924" t="str">
        <f ca="1">IF(ROWS($1:19)&gt;COUNT(Dong6),"",OFFSET(TH!D$1,SMALL(Dong6,ROWS($1:19)),))</f>
        <v>NL/X02</v>
      </c>
      <c r="C29" s="923">
        <f ca="1">IF(ROWS($1:19)&gt;COUNT(Dong6),"",OFFSET(TH!E$1,SMALL(Dong6,ROWS($1:19)),))</f>
        <v>40733</v>
      </c>
      <c r="D29" s="925" t="str">
        <f ca="1">IF(ROWS($1:19)&gt;COUNT(Dong6),"",OFFSET(TH!F$1,SMALL(Dong6,ROWS($1:19)),))</f>
        <v>Giấy tấm 2V+1X ( 1600x1400)</v>
      </c>
      <c r="E29" s="924">
        <f t="shared" ca="1" si="0"/>
        <v>19</v>
      </c>
      <c r="F29" s="926" t="str">
        <f ca="1">IF(ROWS($1:19)&gt;COUNT(Dong6),"",OFFSET(TH!L$1,SMALL(Dong6,ROWS($1:19)),))</f>
        <v>154</v>
      </c>
      <c r="G29" s="926" t="str">
        <f ca="1">IF(ROWS($1:19)&gt;COUNT(Dong6),"",OFFSET(TH!M$1,SMALL(Dong6,ROWS($1:19)),))</f>
        <v>1521</v>
      </c>
      <c r="H29" s="747">
        <f ca="1">IF(ROWS($1:19)&gt;COUNT(Dong6),"",OFFSET(TH!K$1,SMALL(Dong6,ROWS($1:19)),))</f>
        <v>1342356</v>
      </c>
      <c r="I29" s="747">
        <f ca="1">IF(ROWS($1:19)&gt;COUNT(Dong6),"",OFFSET(TH!K$1,SMALL(Dong6,ROWS($1:19)),))</f>
        <v>1342356</v>
      </c>
    </row>
    <row r="30" spans="1:9" s="915" customFormat="1" ht="21" customHeight="1">
      <c r="A30" s="923">
        <f ca="1">IF(ROWS($1:20)&gt;COUNT(Dong6),"",OFFSET(TH!C$1,SMALL(Dong6,ROWS($1:20)),))</f>
        <v>40733</v>
      </c>
      <c r="B30" s="924" t="str">
        <f ca="1">IF(ROWS($1:20)&gt;COUNT(Dong6),"",OFFSET(TH!D$1,SMALL(Dong6,ROWS($1:20)),))</f>
        <v>NL/X02</v>
      </c>
      <c r="C30" s="923">
        <f ca="1">IF(ROWS($1:20)&gt;COUNT(Dong6),"",OFFSET(TH!E$1,SMALL(Dong6,ROWS($1:20)),))</f>
        <v>40733</v>
      </c>
      <c r="D30" s="925" t="str">
        <f ca="1">IF(ROWS($1:20)&gt;COUNT(Dong6),"",OFFSET(TH!F$1,SMALL(Dong6,ROWS($1:20)),))</f>
        <v>Giấy tấm 2V+1X ( 1600x1400)</v>
      </c>
      <c r="E30" s="924">
        <f t="shared" ca="1" si="0"/>
        <v>20</v>
      </c>
      <c r="F30" s="926" t="str">
        <f ca="1">IF(ROWS($1:20)&gt;COUNT(Dong6),"",OFFSET(TH!L$1,SMALL(Dong6,ROWS($1:20)),))</f>
        <v>154</v>
      </c>
      <c r="G30" s="926" t="str">
        <f ca="1">IF(ROWS($1:20)&gt;COUNT(Dong6),"",OFFSET(TH!M$1,SMALL(Dong6,ROWS($1:20)),))</f>
        <v>1521</v>
      </c>
      <c r="H30" s="747">
        <f ca="1">IF(ROWS($1:20)&gt;COUNT(Dong6),"",OFFSET(TH!K$1,SMALL(Dong6,ROWS($1:20)),))</f>
        <v>8087</v>
      </c>
      <c r="I30" s="747">
        <f ca="1">IF(ROWS($1:20)&gt;COUNT(Dong6),"",OFFSET(TH!K$1,SMALL(Dong6,ROWS($1:20)),))</f>
        <v>8087</v>
      </c>
    </row>
    <row r="31" spans="1:9" s="915" customFormat="1" ht="21" customHeight="1">
      <c r="A31" s="923">
        <f ca="1">IF(ROWS($1:21)&gt;COUNT(Dong6),"",OFFSET(TH!C$1,SMALL(Dong6,ROWS($1:21)),))</f>
        <v>40733</v>
      </c>
      <c r="B31" s="924" t="str">
        <f ca="1">IF(ROWS($1:21)&gt;COUNT(Dong6),"",OFFSET(TH!D$1,SMALL(Dong6,ROWS($1:21)),))</f>
        <v>NL/X02</v>
      </c>
      <c r="C31" s="923">
        <f ca="1">IF(ROWS($1:21)&gt;COUNT(Dong6),"",OFFSET(TH!E$1,SMALL(Dong6,ROWS($1:21)),))</f>
        <v>40733</v>
      </c>
      <c r="D31" s="925" t="str">
        <f ca="1">IF(ROWS($1:21)&gt;COUNT(Dong6),"",OFFSET(TH!F$1,SMALL(Dong6,ROWS($1:21)),))</f>
        <v>Giấy carton 7L ( 110x224)</v>
      </c>
      <c r="E31" s="924">
        <f t="shared" ca="1" si="0"/>
        <v>21</v>
      </c>
      <c r="F31" s="926" t="str">
        <f ca="1">IF(ROWS($1:21)&gt;COUNT(Dong6),"",OFFSET(TH!L$1,SMALL(Dong6,ROWS($1:21)),))</f>
        <v>154</v>
      </c>
      <c r="G31" s="926" t="str">
        <f ca="1">IF(ROWS($1:21)&gt;COUNT(Dong6),"",OFFSET(TH!M$1,SMALL(Dong6,ROWS($1:21)),))</f>
        <v>1521</v>
      </c>
      <c r="H31" s="747">
        <f ca="1">IF(ROWS($1:21)&gt;COUNT(Dong6),"",OFFSET(TH!K$1,SMALL(Dong6,ROWS($1:21)),))</f>
        <v>1432480</v>
      </c>
      <c r="I31" s="747">
        <f ca="1">IF(ROWS($1:21)&gt;COUNT(Dong6),"",OFFSET(TH!K$1,SMALL(Dong6,ROWS($1:21)),))</f>
        <v>1432480</v>
      </c>
    </row>
    <row r="32" spans="1:9" s="915" customFormat="1" ht="21" customHeight="1">
      <c r="A32" s="923">
        <f ca="1">IF(ROWS($1:22)&gt;COUNT(Dong6),"",OFFSET(TH!C$1,SMALL(Dong6,ROWS($1:22)),))</f>
        <v>40733</v>
      </c>
      <c r="B32" s="924" t="str">
        <f ca="1">IF(ROWS($1:22)&gt;COUNT(Dong6),"",OFFSET(TH!D$1,SMALL(Dong6,ROWS($1:22)),))</f>
        <v>NL/X02</v>
      </c>
      <c r="C32" s="923">
        <f ca="1">IF(ROWS($1:22)&gt;COUNT(Dong6),"",OFFSET(TH!E$1,SMALL(Dong6,ROWS($1:22)),))</f>
        <v>40733</v>
      </c>
      <c r="D32" s="925" t="str">
        <f ca="1">IF(ROWS($1:22)&gt;COUNT(Dong6),"",OFFSET(TH!F$1,SMALL(Dong6,ROWS($1:22)),))</f>
        <v>Giấy tấm ND+5X+V ( 95x224)</v>
      </c>
      <c r="E32" s="924">
        <f t="shared" ca="1" si="0"/>
        <v>22</v>
      </c>
      <c r="F32" s="926" t="str">
        <f ca="1">IF(ROWS($1:22)&gt;COUNT(Dong6),"",OFFSET(TH!L$1,SMALL(Dong6,ROWS($1:22)),))</f>
        <v>154</v>
      </c>
      <c r="G32" s="926" t="str">
        <f ca="1">IF(ROWS($1:22)&gt;COUNT(Dong6),"",OFFSET(TH!M$1,SMALL(Dong6,ROWS($1:22)),))</f>
        <v>1521</v>
      </c>
      <c r="H32" s="747">
        <f ca="1">IF(ROWS($1:22)&gt;COUNT(Dong6),"",OFFSET(TH!K$1,SMALL(Dong6,ROWS($1:22)),))</f>
        <v>2307162</v>
      </c>
      <c r="I32" s="747">
        <f ca="1">IF(ROWS($1:22)&gt;COUNT(Dong6),"",OFFSET(TH!K$1,SMALL(Dong6,ROWS($1:22)),))</f>
        <v>2307162</v>
      </c>
    </row>
    <row r="33" spans="1:9" s="915" customFormat="1" ht="21" customHeight="1">
      <c r="A33" s="923">
        <f ca="1">IF(ROWS($1:23)&gt;COUNT(Dong6),"",OFFSET(TH!C$1,SMALL(Dong6,ROWS($1:23)),))</f>
        <v>40733</v>
      </c>
      <c r="B33" s="924" t="str">
        <f ca="1">IF(ROWS($1:23)&gt;COUNT(Dong6),"",OFFSET(TH!D$1,SMALL(Dong6,ROWS($1:23)),))</f>
        <v>NL/X02</v>
      </c>
      <c r="C33" s="923">
        <f ca="1">IF(ROWS($1:23)&gt;COUNT(Dong6),"",OFFSET(TH!E$1,SMALL(Dong6,ROWS($1:23)),))</f>
        <v>40733</v>
      </c>
      <c r="D33" s="925" t="str">
        <f ca="1">IF(ROWS($1:23)&gt;COUNT(Dong6),"",OFFSET(TH!F$1,SMALL(Dong6,ROWS($1:23)),))</f>
        <v>Giấy tấm 2V+1X ( 1980x714)</v>
      </c>
      <c r="E33" s="924">
        <f t="shared" ca="1" si="0"/>
        <v>23</v>
      </c>
      <c r="F33" s="926" t="str">
        <f ca="1">IF(ROWS($1:23)&gt;COUNT(Dong6),"",OFFSET(TH!L$1,SMALL(Dong6,ROWS($1:23)),))</f>
        <v>154</v>
      </c>
      <c r="G33" s="926" t="str">
        <f ca="1">IF(ROWS($1:23)&gt;COUNT(Dong6),"",OFFSET(TH!M$1,SMALL(Dong6,ROWS($1:23)),))</f>
        <v>1521</v>
      </c>
      <c r="H33" s="747">
        <f ca="1">IF(ROWS($1:23)&gt;COUNT(Dong6),"",OFFSET(TH!K$1,SMALL(Dong6,ROWS($1:23)),))</f>
        <v>3233915</v>
      </c>
      <c r="I33" s="747">
        <f ca="1">IF(ROWS($1:23)&gt;COUNT(Dong6),"",OFFSET(TH!K$1,SMALL(Dong6,ROWS($1:23)),))</f>
        <v>3233915</v>
      </c>
    </row>
    <row r="34" spans="1:9" s="915" customFormat="1" ht="21" customHeight="1">
      <c r="A34" s="923">
        <f ca="1">IF(ROWS($1:24)&gt;COUNT(Dong6),"",OFFSET(TH!C$1,SMALL(Dong6,ROWS($1:24)),))</f>
        <v>40735</v>
      </c>
      <c r="B34" s="924" t="str">
        <f ca="1">IF(ROWS($1:24)&gt;COUNT(Dong6),"",OFFSET(TH!D$1,SMALL(Dong6,ROWS($1:24)),))</f>
        <v>GBC</v>
      </c>
      <c r="C34" s="923">
        <f ca="1">IF(ROWS($1:24)&gt;COUNT(Dong6),"",OFFSET(TH!E$1,SMALL(Dong6,ROWS($1:24)),))</f>
        <v>40735</v>
      </c>
      <c r="D34" s="925" t="str">
        <f ca="1">IF(ROWS($1:24)&gt;COUNT(Dong6),"",OFFSET(TH!F$1,SMALL(Dong6,ROWS($1:24)),))</f>
        <v>Thu tiền hàng</v>
      </c>
      <c r="E34" s="924">
        <f t="shared" ca="1" si="0"/>
        <v>24</v>
      </c>
      <c r="F34" s="926" t="str">
        <f ca="1">IF(ROWS($1:24)&gt;COUNT(Dong6),"",OFFSET(TH!L$1,SMALL(Dong6,ROWS($1:24)),))</f>
        <v>1121</v>
      </c>
      <c r="G34" s="926" t="str">
        <f ca="1">IF(ROWS($1:24)&gt;COUNT(Dong6),"",OFFSET(TH!M$1,SMALL(Dong6,ROWS($1:24)),))</f>
        <v>131</v>
      </c>
      <c r="H34" s="747">
        <f ca="1">IF(ROWS($1:24)&gt;COUNT(Dong6),"",OFFSET(TH!K$1,SMALL(Dong6,ROWS($1:24)),))</f>
        <v>109673711</v>
      </c>
      <c r="I34" s="747">
        <f ca="1">IF(ROWS($1:24)&gt;COUNT(Dong6),"",OFFSET(TH!K$1,SMALL(Dong6,ROWS($1:24)),))</f>
        <v>109673711</v>
      </c>
    </row>
    <row r="35" spans="1:9" s="915" customFormat="1" ht="21" customHeight="1">
      <c r="A35" s="923">
        <f ca="1">IF(ROWS($1:25)&gt;COUNT(Dong6),"",OFFSET(TH!C$1,SMALL(Dong6,ROWS($1:25)),))</f>
        <v>40736</v>
      </c>
      <c r="B35" s="924" t="str">
        <f ca="1">IF(ROWS($1:25)&gt;COUNT(Dong6),"",OFFSET(TH!D$1,SMALL(Dong6,ROWS($1:25)),))</f>
        <v>C02</v>
      </c>
      <c r="C35" s="923">
        <f ca="1">IF(ROWS($1:25)&gt;COUNT(Dong6),"",OFFSET(TH!E$1,SMALL(Dong6,ROWS($1:25)),))</f>
        <v>40736</v>
      </c>
      <c r="D35" s="925" t="str">
        <f ca="1">IF(ROWS($1:25)&gt;COUNT(Dong6),"",OFFSET(TH!F$1,SMALL(Dong6,ROWS($1:25)),))</f>
        <v>Nộp tiền mặt vào tài khoản</v>
      </c>
      <c r="E35" s="924">
        <f t="shared" ca="1" si="0"/>
        <v>25</v>
      </c>
      <c r="F35" s="926" t="str">
        <f ca="1">IF(ROWS($1:25)&gt;COUNT(Dong6),"",OFFSET(TH!L$1,SMALL(Dong6,ROWS($1:25)),))</f>
        <v>1121</v>
      </c>
      <c r="G35" s="926" t="str">
        <f ca="1">IF(ROWS($1:25)&gt;COUNT(Dong6),"",OFFSET(TH!M$1,SMALL(Dong6,ROWS($1:25)),))</f>
        <v>1111</v>
      </c>
      <c r="H35" s="747">
        <f ca="1">IF(ROWS($1:25)&gt;COUNT(Dong6),"",OFFSET(TH!K$1,SMALL(Dong6,ROWS($1:25)),))</f>
        <v>114504000</v>
      </c>
      <c r="I35" s="747">
        <f ca="1">IF(ROWS($1:25)&gt;COUNT(Dong6),"",OFFSET(TH!K$1,SMALL(Dong6,ROWS($1:25)),))</f>
        <v>114504000</v>
      </c>
    </row>
    <row r="36" spans="1:9" s="915" customFormat="1" ht="21" customHeight="1">
      <c r="A36" s="923">
        <f ca="1">IF(ROWS($1:26)&gt;COUNT(Dong6),"",OFFSET(TH!C$1,SMALL(Dong6,ROWS($1:26)),))</f>
        <v>40736</v>
      </c>
      <c r="B36" s="924" t="str">
        <f ca="1">IF(ROWS($1:26)&gt;COUNT(Dong6),"",OFFSET(TH!D$1,SMALL(Dong6,ROWS($1:26)),))</f>
        <v>GBN</v>
      </c>
      <c r="C36" s="923">
        <f ca="1">IF(ROWS($1:26)&gt;COUNT(Dong6),"",OFFSET(TH!E$1,SMALL(Dong6,ROWS($1:26)),))</f>
        <v>40736</v>
      </c>
      <c r="D36" s="925" t="str">
        <f ca="1">IF(ROWS($1:26)&gt;COUNT(Dong6),"",OFFSET(TH!F$1,SMALL(Dong6,ROWS($1:26)),))</f>
        <v>Thanh toán tiền hàng</v>
      </c>
      <c r="E36" s="924">
        <f t="shared" ca="1" si="0"/>
        <v>26</v>
      </c>
      <c r="F36" s="926" t="str">
        <f ca="1">IF(ROWS($1:26)&gt;COUNT(Dong6),"",OFFSET(TH!L$1,SMALL(Dong6,ROWS($1:26)),))</f>
        <v>331</v>
      </c>
      <c r="G36" s="926" t="str">
        <f ca="1">IF(ROWS($1:26)&gt;COUNT(Dong6),"",OFFSET(TH!M$1,SMALL(Dong6,ROWS($1:26)),))</f>
        <v>1121</v>
      </c>
      <c r="H36" s="747">
        <f ca="1">IF(ROWS($1:26)&gt;COUNT(Dong6),"",OFFSET(TH!K$1,SMALL(Dong6,ROWS($1:26)),))</f>
        <v>114504000</v>
      </c>
      <c r="I36" s="747">
        <f ca="1">IF(ROWS($1:26)&gt;COUNT(Dong6),"",OFFSET(TH!K$1,SMALL(Dong6,ROWS($1:26)),))</f>
        <v>114504000</v>
      </c>
    </row>
    <row r="37" spans="1:9" s="915" customFormat="1" ht="21" customHeight="1">
      <c r="A37" s="923">
        <f ca="1">IF(ROWS($1:27)&gt;COUNT(Dong6),"",OFFSET(TH!C$1,SMALL(Dong6,ROWS($1:27)),))</f>
        <v>40736</v>
      </c>
      <c r="B37" s="924" t="str">
        <f ca="1">IF(ROWS($1:27)&gt;COUNT(Dong6),"",OFFSET(TH!D$1,SMALL(Dong6,ROWS($1:27)),))</f>
        <v>GBN</v>
      </c>
      <c r="C37" s="923">
        <f ca="1">IF(ROWS($1:27)&gt;COUNT(Dong6),"",OFFSET(TH!E$1,SMALL(Dong6,ROWS($1:27)),))</f>
        <v>40736</v>
      </c>
      <c r="D37" s="925" t="str">
        <f ca="1">IF(ROWS($1:27)&gt;COUNT(Dong6),"",OFFSET(TH!F$1,SMALL(Dong6,ROWS($1:27)),))</f>
        <v>Thanh toán tiền hàng</v>
      </c>
      <c r="E37" s="924">
        <f t="shared" ca="1" si="0"/>
        <v>27</v>
      </c>
      <c r="F37" s="926" t="str">
        <f ca="1">IF(ROWS($1:27)&gt;COUNT(Dong6),"",OFFSET(TH!L$1,SMALL(Dong6,ROWS($1:27)),))</f>
        <v>331</v>
      </c>
      <c r="G37" s="926" t="str">
        <f ca="1">IF(ROWS($1:27)&gt;COUNT(Dong6),"",OFFSET(TH!M$1,SMALL(Dong6,ROWS($1:27)),))</f>
        <v>1121</v>
      </c>
      <c r="H37" s="747">
        <f ca="1">IF(ROWS($1:27)&gt;COUNT(Dong6),"",OFFSET(TH!K$1,SMALL(Dong6,ROWS($1:27)),))</f>
        <v>58400000</v>
      </c>
      <c r="I37" s="747">
        <f ca="1">IF(ROWS($1:27)&gt;COUNT(Dong6),"",OFFSET(TH!K$1,SMALL(Dong6,ROWS($1:27)),))</f>
        <v>58400000</v>
      </c>
    </row>
    <row r="38" spans="1:9" s="915" customFormat="1" ht="21" customHeight="1">
      <c r="A38" s="923">
        <f ca="1">IF(ROWS($1:28)&gt;COUNT(Dong6),"",OFFSET(TH!C$1,SMALL(Dong6,ROWS($1:28)),))</f>
        <v>40736</v>
      </c>
      <c r="B38" s="924" t="str">
        <f ca="1">IF(ROWS($1:28)&gt;COUNT(Dong6),"",OFFSET(TH!D$1,SMALL(Dong6,ROWS($1:28)),))</f>
        <v>GBN</v>
      </c>
      <c r="C38" s="923">
        <f ca="1">IF(ROWS($1:28)&gt;COUNT(Dong6),"",OFFSET(TH!E$1,SMALL(Dong6,ROWS($1:28)),))</f>
        <v>40736</v>
      </c>
      <c r="D38" s="925" t="str">
        <f ca="1">IF(ROWS($1:28)&gt;COUNT(Dong6),"",OFFSET(TH!F$1,SMALL(Dong6,ROWS($1:28)),))</f>
        <v>Phí KD</v>
      </c>
      <c r="E38" s="924">
        <f t="shared" ca="1" si="0"/>
        <v>28</v>
      </c>
      <c r="F38" s="926" t="str">
        <f ca="1">IF(ROWS($1:28)&gt;COUNT(Dong6),"",OFFSET(TH!L$1,SMALL(Dong6,ROWS($1:28)),))</f>
        <v>642</v>
      </c>
      <c r="G38" s="926" t="str">
        <f ca="1">IF(ROWS($1:28)&gt;COUNT(Dong6),"",OFFSET(TH!M$1,SMALL(Dong6,ROWS($1:28)),))</f>
        <v>1121</v>
      </c>
      <c r="H38" s="747">
        <f ca="1">IF(ROWS($1:28)&gt;COUNT(Dong6),"",OFFSET(TH!K$1,SMALL(Dong6,ROWS($1:28)),))</f>
        <v>18478</v>
      </c>
      <c r="I38" s="747">
        <f ca="1">IF(ROWS($1:28)&gt;COUNT(Dong6),"",OFFSET(TH!K$1,SMALL(Dong6,ROWS($1:28)),))</f>
        <v>18478</v>
      </c>
    </row>
    <row r="39" spans="1:9" s="915" customFormat="1" ht="21" customHeight="1">
      <c r="A39" s="923">
        <f ca="1">IF(ROWS($1:29)&gt;COUNT(Dong6),"",OFFSET(TH!C$1,SMALL(Dong6,ROWS($1:29)),))</f>
        <v>40736</v>
      </c>
      <c r="B39" s="924" t="str">
        <f ca="1">IF(ROWS($1:29)&gt;COUNT(Dong6),"",OFFSET(TH!D$1,SMALL(Dong6,ROWS($1:29)),))</f>
        <v>GBN</v>
      </c>
      <c r="C39" s="923">
        <f ca="1">IF(ROWS($1:29)&gt;COUNT(Dong6),"",OFFSET(TH!E$1,SMALL(Dong6,ROWS($1:29)),))</f>
        <v>40736</v>
      </c>
      <c r="D39" s="925" t="str">
        <f ca="1">IF(ROWS($1:29)&gt;COUNT(Dong6),"",OFFSET(TH!F$1,SMALL(Dong6,ROWS($1:29)),))</f>
        <v>Phí chuyển tiền</v>
      </c>
      <c r="E39" s="924">
        <f t="shared" ca="1" si="0"/>
        <v>29</v>
      </c>
      <c r="F39" s="926" t="str">
        <f ca="1">IF(ROWS($1:29)&gt;COUNT(Dong6),"",OFFSET(TH!L$1,SMALL(Dong6,ROWS($1:29)),))</f>
        <v>642</v>
      </c>
      <c r="G39" s="926" t="str">
        <f ca="1">IF(ROWS($1:29)&gt;COUNT(Dong6),"",OFFSET(TH!M$1,SMALL(Dong6,ROWS($1:29)),))</f>
        <v>1121</v>
      </c>
      <c r="H39" s="747">
        <f ca="1">IF(ROWS($1:29)&gt;COUNT(Dong6),"",OFFSET(TH!K$1,SMALL(Dong6,ROWS($1:29)),))</f>
        <v>10000</v>
      </c>
      <c r="I39" s="747">
        <f ca="1">IF(ROWS($1:29)&gt;COUNT(Dong6),"",OFFSET(TH!K$1,SMALL(Dong6,ROWS($1:29)),))</f>
        <v>10000</v>
      </c>
    </row>
    <row r="40" spans="1:9" s="915" customFormat="1" ht="21" customHeight="1">
      <c r="A40" s="923">
        <f ca="1">IF(ROWS($1:30)&gt;COUNT(Dong6),"",OFFSET(TH!C$1,SMALL(Dong6,ROWS($1:30)),))</f>
        <v>40737</v>
      </c>
      <c r="B40" s="924" t="str">
        <f ca="1">IF(ROWS($1:30)&gt;COUNT(Dong6),"",OFFSET(TH!D$1,SMALL(Dong6,ROWS($1:30)),))</f>
        <v>GBC</v>
      </c>
      <c r="C40" s="923">
        <f ca="1">IF(ROWS($1:30)&gt;COUNT(Dong6),"",OFFSET(TH!E$1,SMALL(Dong6,ROWS($1:30)),))</f>
        <v>40737</v>
      </c>
      <c r="D40" s="925" t="str">
        <f ca="1">IF(ROWS($1:30)&gt;COUNT(Dong6),"",OFFSET(TH!F$1,SMALL(Dong6,ROWS($1:30)),))</f>
        <v>Thu tiền hàng</v>
      </c>
      <c r="E40" s="924">
        <f t="shared" ca="1" si="0"/>
        <v>30</v>
      </c>
      <c r="F40" s="926" t="str">
        <f ca="1">IF(ROWS($1:30)&gt;COUNT(Dong6),"",OFFSET(TH!L$1,SMALL(Dong6,ROWS($1:30)),))</f>
        <v>1121</v>
      </c>
      <c r="G40" s="926" t="str">
        <f ca="1">IF(ROWS($1:30)&gt;COUNT(Dong6),"",OFFSET(TH!M$1,SMALL(Dong6,ROWS($1:30)),))</f>
        <v>131</v>
      </c>
      <c r="H40" s="747">
        <f ca="1">IF(ROWS($1:30)&gt;COUNT(Dong6),"",OFFSET(TH!K$1,SMALL(Dong6,ROWS($1:30)),))</f>
        <v>14691258</v>
      </c>
      <c r="I40" s="747">
        <f ca="1">IF(ROWS($1:30)&gt;COUNT(Dong6),"",OFFSET(TH!K$1,SMALL(Dong6,ROWS($1:30)),))</f>
        <v>14691258</v>
      </c>
    </row>
    <row r="41" spans="1:9" s="915" customFormat="1" ht="21" customHeight="1">
      <c r="A41" s="923">
        <f ca="1">IF(ROWS($1:31)&gt;COUNT(Dong6),"",OFFSET(TH!C$1,SMALL(Dong6,ROWS($1:31)),))</f>
        <v>40737</v>
      </c>
      <c r="B41" s="924" t="str">
        <f ca="1">IF(ROWS($1:31)&gt;COUNT(Dong6),"",OFFSET(TH!D$1,SMALL(Dong6,ROWS($1:31)),))</f>
        <v>NL/X03</v>
      </c>
      <c r="C41" s="923">
        <f ca="1">IF(ROWS($1:31)&gt;COUNT(Dong6),"",OFFSET(TH!E$1,SMALL(Dong6,ROWS($1:31)),))</f>
        <v>40737</v>
      </c>
      <c r="D41" s="925" t="str">
        <f ca="1">IF(ROWS($1:31)&gt;COUNT(Dong6),"",OFFSET(TH!F$1,SMALL(Dong6,ROWS($1:31)),))</f>
        <v>Giấy tấm 2V+3X ( 1490x634)</v>
      </c>
      <c r="E41" s="924">
        <f t="shared" ref="E41:E50" ca="1" si="1">IF(D41&lt;&gt;"",ROW()-10,"")</f>
        <v>31</v>
      </c>
      <c r="F41" s="926" t="str">
        <f ca="1">IF(ROWS($1:31)&gt;COUNT(Dong6),"",OFFSET(TH!L$1,SMALL(Dong6,ROWS($1:31)),))</f>
        <v>154</v>
      </c>
      <c r="G41" s="926" t="str">
        <f ca="1">IF(ROWS($1:31)&gt;COUNT(Dong6),"",OFFSET(TH!M$1,SMALL(Dong6,ROWS($1:31)),))</f>
        <v>1521</v>
      </c>
      <c r="H41" s="747">
        <f ca="1">IF(ROWS($1:31)&gt;COUNT(Dong6),"",OFFSET(TH!K$1,SMALL(Dong6,ROWS($1:31)),))</f>
        <v>848208</v>
      </c>
      <c r="I41" s="747">
        <f ca="1">IF(ROWS($1:31)&gt;COUNT(Dong6),"",OFFSET(TH!K$1,SMALL(Dong6,ROWS($1:31)),))</f>
        <v>848208</v>
      </c>
    </row>
    <row r="42" spans="1:9" s="915" customFormat="1" ht="21" customHeight="1">
      <c r="A42" s="923">
        <f ca="1">IF(ROWS($1:32)&gt;COUNT(Dong6),"",OFFSET(TH!C$1,SMALL(Dong6,ROWS($1:32)),))</f>
        <v>40737</v>
      </c>
      <c r="B42" s="924" t="str">
        <f ca="1">IF(ROWS($1:32)&gt;COUNT(Dong6),"",OFFSET(TH!D$1,SMALL(Dong6,ROWS($1:32)),))</f>
        <v>NL/X03</v>
      </c>
      <c r="C42" s="923">
        <f ca="1">IF(ROWS($1:32)&gt;COUNT(Dong6),"",OFFSET(TH!E$1,SMALL(Dong6,ROWS($1:32)),))</f>
        <v>40737</v>
      </c>
      <c r="D42" s="925" t="str">
        <f ca="1">IF(ROWS($1:32)&gt;COUNT(Dong6),"",OFFSET(TH!F$1,SMALL(Dong6,ROWS($1:32)),))</f>
        <v>Giấy tấm 2V+3X ( 1490x634)</v>
      </c>
      <c r="E42" s="924">
        <f t="shared" ca="1" si="1"/>
        <v>32</v>
      </c>
      <c r="F42" s="926" t="str">
        <f ca="1">IF(ROWS($1:32)&gt;COUNT(Dong6),"",OFFSET(TH!L$1,SMALL(Dong6,ROWS($1:32)),))</f>
        <v>154</v>
      </c>
      <c r="G42" s="926" t="str">
        <f ca="1">IF(ROWS($1:32)&gt;COUNT(Dong6),"",OFFSET(TH!M$1,SMALL(Dong6,ROWS($1:32)),))</f>
        <v>1521</v>
      </c>
      <c r="H42" s="747">
        <f ca="1">IF(ROWS($1:32)&gt;COUNT(Dong6),"",OFFSET(TH!K$1,SMALL(Dong6,ROWS($1:32)),))</f>
        <v>5172</v>
      </c>
      <c r="I42" s="747">
        <f ca="1">IF(ROWS($1:32)&gt;COUNT(Dong6),"",OFFSET(TH!K$1,SMALL(Dong6,ROWS($1:32)),))</f>
        <v>5172</v>
      </c>
    </row>
    <row r="43" spans="1:9" s="915" customFormat="1" ht="21" customHeight="1">
      <c r="A43" s="923">
        <f ca="1">IF(ROWS($1:33)&gt;COUNT(Dong6),"",OFFSET(TH!C$1,SMALL(Dong6,ROWS($1:33)),))</f>
        <v>40737</v>
      </c>
      <c r="B43" s="924" t="str">
        <f ca="1">IF(ROWS($1:33)&gt;COUNT(Dong6),"",OFFSET(TH!D$1,SMALL(Dong6,ROWS($1:33)),))</f>
        <v>NL/X03</v>
      </c>
      <c r="C43" s="923">
        <f ca="1">IF(ROWS($1:33)&gt;COUNT(Dong6),"",OFFSET(TH!E$1,SMALL(Dong6,ROWS($1:33)),))</f>
        <v>40737</v>
      </c>
      <c r="D43" s="925" t="str">
        <f ca="1">IF(ROWS($1:33)&gt;COUNT(Dong6),"",OFFSET(TH!F$1,SMALL(Dong6,ROWS($1:33)),))</f>
        <v>Giấy tấm 1V+2X ( 1460x444)</v>
      </c>
      <c r="E43" s="924">
        <f t="shared" ca="1" si="1"/>
        <v>33</v>
      </c>
      <c r="F43" s="926" t="str">
        <f ca="1">IF(ROWS($1:33)&gt;COUNT(Dong6),"",OFFSET(TH!L$1,SMALL(Dong6,ROWS($1:33)),))</f>
        <v>154</v>
      </c>
      <c r="G43" s="926" t="str">
        <f ca="1">IF(ROWS($1:33)&gt;COUNT(Dong6),"",OFFSET(TH!M$1,SMALL(Dong6,ROWS($1:33)),))</f>
        <v>1521</v>
      </c>
      <c r="H43" s="747">
        <f ca="1">IF(ROWS($1:33)&gt;COUNT(Dong6),"",OFFSET(TH!K$1,SMALL(Dong6,ROWS($1:33)),))</f>
        <v>2225</v>
      </c>
      <c r="I43" s="747">
        <f ca="1">IF(ROWS($1:33)&gt;COUNT(Dong6),"",OFFSET(TH!K$1,SMALL(Dong6,ROWS($1:33)),))</f>
        <v>2225</v>
      </c>
    </row>
    <row r="44" spans="1:9" s="915" customFormat="1" ht="21" customHeight="1">
      <c r="A44" s="923">
        <f ca="1">IF(ROWS($1:34)&gt;COUNT(Dong6),"",OFFSET(TH!C$1,SMALL(Dong6,ROWS($1:34)),))</f>
        <v>40737</v>
      </c>
      <c r="B44" s="924" t="str">
        <f ca="1">IF(ROWS($1:34)&gt;COUNT(Dong6),"",OFFSET(TH!D$1,SMALL(Dong6,ROWS($1:34)),))</f>
        <v>NL/X03</v>
      </c>
      <c r="C44" s="923">
        <f ca="1">IF(ROWS($1:34)&gt;COUNT(Dong6),"",OFFSET(TH!E$1,SMALL(Dong6,ROWS($1:34)),))</f>
        <v>40737</v>
      </c>
      <c r="D44" s="925" t="str">
        <f ca="1">IF(ROWS($1:34)&gt;COUNT(Dong6),"",OFFSET(TH!F$1,SMALL(Dong6,ROWS($1:34)),))</f>
        <v>Giấy tấm 1V+2X ( 1460x444)</v>
      </c>
      <c r="E44" s="924">
        <f t="shared" ca="1" si="1"/>
        <v>34</v>
      </c>
      <c r="F44" s="926" t="str">
        <f ca="1">IF(ROWS($1:34)&gt;COUNT(Dong6),"",OFFSET(TH!L$1,SMALL(Dong6,ROWS($1:34)),))</f>
        <v>154</v>
      </c>
      <c r="G44" s="926" t="str">
        <f ca="1">IF(ROWS($1:34)&gt;COUNT(Dong6),"",OFFSET(TH!M$1,SMALL(Dong6,ROWS($1:34)),))</f>
        <v>1521</v>
      </c>
      <c r="H44" s="747">
        <f ca="1">IF(ROWS($1:34)&gt;COUNT(Dong6),"",OFFSET(TH!K$1,SMALL(Dong6,ROWS($1:34)),))</f>
        <v>4449</v>
      </c>
      <c r="I44" s="747">
        <f ca="1">IF(ROWS($1:34)&gt;COUNT(Dong6),"",OFFSET(TH!K$1,SMALL(Dong6,ROWS($1:34)),))</f>
        <v>4449</v>
      </c>
    </row>
    <row r="45" spans="1:9" s="915" customFormat="1" ht="21" customHeight="1">
      <c r="A45" s="923">
        <f ca="1">IF(ROWS($1:35)&gt;COUNT(Dong6),"",OFFSET(TH!C$1,SMALL(Dong6,ROWS($1:35)),))</f>
        <v>40737</v>
      </c>
      <c r="B45" s="924" t="str">
        <f ca="1">IF(ROWS($1:35)&gt;COUNT(Dong6),"",OFFSET(TH!D$1,SMALL(Dong6,ROWS($1:35)),))</f>
        <v>NL/X03</v>
      </c>
      <c r="C45" s="923">
        <f ca="1">IF(ROWS($1:35)&gt;COUNT(Dong6),"",OFFSET(TH!E$1,SMALL(Dong6,ROWS($1:35)),))</f>
        <v>40737</v>
      </c>
      <c r="D45" s="925" t="str">
        <f ca="1">IF(ROWS($1:35)&gt;COUNT(Dong6),"",OFFSET(TH!F$1,SMALL(Dong6,ROWS($1:35)),))</f>
        <v>Giấy tấm ND+2X.150 ( 163x115)</v>
      </c>
      <c r="E45" s="924">
        <f t="shared" ca="1" si="1"/>
        <v>35</v>
      </c>
      <c r="F45" s="926" t="str">
        <f ca="1">IF(ROWS($1:35)&gt;COUNT(Dong6),"",OFFSET(TH!L$1,SMALL(Dong6,ROWS($1:35)),))</f>
        <v>154</v>
      </c>
      <c r="G45" s="926" t="str">
        <f ca="1">IF(ROWS($1:35)&gt;COUNT(Dong6),"",OFFSET(TH!M$1,SMALL(Dong6,ROWS($1:35)),))</f>
        <v>1521</v>
      </c>
      <c r="H45" s="747">
        <f ca="1">IF(ROWS($1:35)&gt;COUNT(Dong6),"",OFFSET(TH!K$1,SMALL(Dong6,ROWS($1:35)),))</f>
        <v>33741</v>
      </c>
      <c r="I45" s="747">
        <f ca="1">IF(ROWS($1:35)&gt;COUNT(Dong6),"",OFFSET(TH!K$1,SMALL(Dong6,ROWS($1:35)),))</f>
        <v>33741</v>
      </c>
    </row>
    <row r="46" spans="1:9" s="915" customFormat="1" ht="21" customHeight="1">
      <c r="A46" s="923">
        <f ca="1">IF(ROWS($1:36)&gt;COUNT(Dong6),"",OFFSET(TH!C$1,SMALL(Dong6,ROWS($1:36)),))</f>
        <v>40737</v>
      </c>
      <c r="B46" s="924" t="str">
        <f ca="1">IF(ROWS($1:36)&gt;COUNT(Dong6),"",OFFSET(TH!D$1,SMALL(Dong6,ROWS($1:36)),))</f>
        <v>NL/X03</v>
      </c>
      <c r="C46" s="923">
        <f ca="1">IF(ROWS($1:36)&gt;COUNT(Dong6),"",OFFSET(TH!E$1,SMALL(Dong6,ROWS($1:36)),))</f>
        <v>40737</v>
      </c>
      <c r="D46" s="925" t="str">
        <f ca="1">IF(ROWS($1:36)&gt;COUNT(Dong6),"",OFFSET(TH!F$1,SMALL(Dong6,ROWS($1:36)),))</f>
        <v>Giấy tấm 1V+2X ( 1460x444)</v>
      </c>
      <c r="E46" s="924">
        <f t="shared" ca="1" si="1"/>
        <v>36</v>
      </c>
      <c r="F46" s="926" t="str">
        <f ca="1">IF(ROWS($1:36)&gt;COUNT(Dong6),"",OFFSET(TH!L$1,SMALL(Dong6,ROWS($1:36)),))</f>
        <v>154</v>
      </c>
      <c r="G46" s="926" t="str">
        <f ca="1">IF(ROWS($1:36)&gt;COUNT(Dong6),"",OFFSET(TH!M$1,SMALL(Dong6,ROWS($1:36)),))</f>
        <v>1521</v>
      </c>
      <c r="H46" s="747">
        <f ca="1">IF(ROWS($1:36)&gt;COUNT(Dong6),"",OFFSET(TH!K$1,SMALL(Dong6,ROWS($1:36)),))</f>
        <v>4449</v>
      </c>
      <c r="I46" s="747">
        <f ca="1">IF(ROWS($1:36)&gt;COUNT(Dong6),"",OFFSET(TH!K$1,SMALL(Dong6,ROWS($1:36)),))</f>
        <v>4449</v>
      </c>
    </row>
    <row r="47" spans="1:9" s="915" customFormat="1" ht="21" customHeight="1">
      <c r="A47" s="923">
        <f ca="1">IF(ROWS($1:37)&gt;COUNT(Dong6),"",OFFSET(TH!C$1,SMALL(Dong6,ROWS($1:37)),))</f>
        <v>40737</v>
      </c>
      <c r="B47" s="924" t="str">
        <f ca="1">IF(ROWS($1:37)&gt;COUNT(Dong6),"",OFFSET(TH!D$1,SMALL(Dong6,ROWS($1:37)),))</f>
        <v>NL/X03</v>
      </c>
      <c r="C47" s="923">
        <f ca="1">IF(ROWS($1:37)&gt;COUNT(Dong6),"",OFFSET(TH!E$1,SMALL(Dong6,ROWS($1:37)),))</f>
        <v>40737</v>
      </c>
      <c r="D47" s="925" t="str">
        <f ca="1">IF(ROWS($1:37)&gt;COUNT(Dong6),"",OFFSET(TH!F$1,SMALL(Dong6,ROWS($1:37)),))</f>
        <v>Giấy tấm 1V+2X ( 1540x542)</v>
      </c>
      <c r="E47" s="924">
        <f t="shared" ca="1" si="1"/>
        <v>37</v>
      </c>
      <c r="F47" s="926" t="str">
        <f ca="1">IF(ROWS($1:37)&gt;COUNT(Dong6),"",OFFSET(TH!L$1,SMALL(Dong6,ROWS($1:37)),))</f>
        <v>154</v>
      </c>
      <c r="G47" s="926" t="str">
        <f ca="1">IF(ROWS($1:37)&gt;COUNT(Dong6),"",OFFSET(TH!M$1,SMALL(Dong6,ROWS($1:37)),))</f>
        <v>1521</v>
      </c>
      <c r="H47" s="747">
        <f ca="1">IF(ROWS($1:37)&gt;COUNT(Dong6),"",OFFSET(TH!K$1,SMALL(Dong6,ROWS($1:37)),))</f>
        <v>18078</v>
      </c>
      <c r="I47" s="747">
        <f ca="1">IF(ROWS($1:37)&gt;COUNT(Dong6),"",OFFSET(TH!K$1,SMALL(Dong6,ROWS($1:37)),))</f>
        <v>18078</v>
      </c>
    </row>
    <row r="48" spans="1:9" s="915" customFormat="1" ht="21" customHeight="1">
      <c r="A48" s="923">
        <f ca="1">IF(ROWS($1:38)&gt;COUNT(Dong6),"",OFFSET(TH!C$1,SMALL(Dong6,ROWS($1:38)),))</f>
        <v>40737</v>
      </c>
      <c r="B48" s="924" t="str">
        <f ca="1">IF(ROWS($1:38)&gt;COUNT(Dong6),"",OFFSET(TH!D$1,SMALL(Dong6,ROWS($1:38)),))</f>
        <v>NL/X03</v>
      </c>
      <c r="C48" s="923">
        <f ca="1">IF(ROWS($1:38)&gt;COUNT(Dong6),"",OFFSET(TH!E$1,SMALL(Dong6,ROWS($1:38)),))</f>
        <v>40737</v>
      </c>
      <c r="D48" s="925" t="str">
        <f ca="1">IF(ROWS($1:38)&gt;COUNT(Dong6),"",OFFSET(TH!F$1,SMALL(Dong6,ROWS($1:38)),))</f>
        <v>Giấy carton 7L ( 85x110)</v>
      </c>
      <c r="E48" s="924">
        <f t="shared" ca="1" si="1"/>
        <v>38</v>
      </c>
      <c r="F48" s="926" t="str">
        <f ca="1">IF(ROWS($1:38)&gt;COUNT(Dong6),"",OFFSET(TH!L$1,SMALL(Dong6,ROWS($1:38)),))</f>
        <v>154</v>
      </c>
      <c r="G48" s="926" t="str">
        <f ca="1">IF(ROWS($1:38)&gt;COUNT(Dong6),"",OFFSET(TH!M$1,SMALL(Dong6,ROWS($1:38)),))</f>
        <v>1521</v>
      </c>
      <c r="H48" s="747">
        <f ca="1">IF(ROWS($1:38)&gt;COUNT(Dong6),"",OFFSET(TH!K$1,SMALL(Dong6,ROWS($1:38)),))</f>
        <v>78540</v>
      </c>
      <c r="I48" s="747">
        <f ca="1">IF(ROWS($1:38)&gt;COUNT(Dong6),"",OFFSET(TH!K$1,SMALL(Dong6,ROWS($1:38)),))</f>
        <v>78540</v>
      </c>
    </row>
    <row r="49" spans="1:10" s="915" customFormat="1" ht="21" customHeight="1">
      <c r="A49" s="923">
        <f ca="1">IF(ROWS($1:39)&gt;COUNT(Dong6),"",OFFSET(TH!C$1,SMALL(Dong6,ROWS($1:39)),))</f>
        <v>40738</v>
      </c>
      <c r="B49" s="924" t="str">
        <f ca="1">IF(ROWS($1:39)&gt;COUNT(Dong6),"",OFFSET(TH!D$1,SMALL(Dong6,ROWS($1:39)),))</f>
        <v>C03</v>
      </c>
      <c r="C49" s="923">
        <f ca="1">IF(ROWS($1:39)&gt;COUNT(Dong6),"",OFFSET(TH!E$1,SMALL(Dong6,ROWS($1:39)),))</f>
        <v>40738</v>
      </c>
      <c r="D49" s="925" t="str">
        <f ca="1">IF(ROWS($1:39)&gt;COUNT(Dong6),"",OFFSET(TH!F$1,SMALL(Dong6,ROWS($1:39)),))</f>
        <v>Hộp mực in</v>
      </c>
      <c r="E49" s="924">
        <f t="shared" ca="1" si="1"/>
        <v>39</v>
      </c>
      <c r="F49" s="926" t="str">
        <f ca="1">IF(ROWS($1:39)&gt;COUNT(Dong6),"",OFFSET(TH!L$1,SMALL(Dong6,ROWS($1:39)),))</f>
        <v>154</v>
      </c>
      <c r="G49" s="926" t="str">
        <f ca="1">IF(ROWS($1:39)&gt;COUNT(Dong6),"",OFFSET(TH!M$1,SMALL(Dong6,ROWS($1:39)),))</f>
        <v>1111</v>
      </c>
      <c r="H49" s="747">
        <f ca="1">IF(ROWS($1:39)&gt;COUNT(Dong6),"",OFFSET(TH!K$1,SMALL(Dong6,ROWS($1:39)),))</f>
        <v>1090909</v>
      </c>
      <c r="I49" s="747">
        <f ca="1">IF(ROWS($1:39)&gt;COUNT(Dong6),"",OFFSET(TH!K$1,SMALL(Dong6,ROWS($1:39)),))</f>
        <v>1090909</v>
      </c>
    </row>
    <row r="50" spans="1:10" s="915" customFormat="1" ht="21" customHeight="1">
      <c r="A50" s="923">
        <f ca="1">IF(ROWS($1:40)&gt;COUNT(Dong6),"",OFFSET(TH!C$1,SMALL(Dong6,ROWS($1:40)),))</f>
        <v>40738</v>
      </c>
      <c r="B50" s="924" t="str">
        <f ca="1">IF(ROWS($1:40)&gt;COUNT(Dong6),"",OFFSET(TH!D$1,SMALL(Dong6,ROWS($1:40)),))</f>
        <v>C03</v>
      </c>
      <c r="C50" s="923">
        <f ca="1">IF(ROWS($1:40)&gt;COUNT(Dong6),"",OFFSET(TH!E$1,SMALL(Dong6,ROWS($1:40)),))</f>
        <v>40738</v>
      </c>
      <c r="D50" s="925" t="str">
        <f ca="1">IF(ROWS($1:40)&gt;COUNT(Dong6),"",OFFSET(TH!F$1,SMALL(Dong6,ROWS($1:40)),))</f>
        <v>VAT Hộp mực in</v>
      </c>
      <c r="E50" s="924">
        <f t="shared" ca="1" si="1"/>
        <v>40</v>
      </c>
      <c r="F50" s="926" t="str">
        <f ca="1">IF(ROWS($1:40)&gt;COUNT(Dong6),"",OFFSET(TH!L$1,SMALL(Dong6,ROWS($1:40)),))</f>
        <v>1331</v>
      </c>
      <c r="G50" s="926" t="str">
        <f ca="1">IF(ROWS($1:40)&gt;COUNT(Dong6),"",OFFSET(TH!M$1,SMALL(Dong6,ROWS($1:40)),))</f>
        <v>1111</v>
      </c>
      <c r="H50" s="747">
        <f ca="1">IF(ROWS($1:40)&gt;COUNT(Dong6),"",OFFSET(TH!K$1,SMALL(Dong6,ROWS($1:40)),))</f>
        <v>109091</v>
      </c>
      <c r="I50" s="747">
        <f ca="1">IF(ROWS($1:40)&gt;COUNT(Dong6),"",OFFSET(TH!K$1,SMALL(Dong6,ROWS($1:40)),))</f>
        <v>109091</v>
      </c>
    </row>
    <row r="51" spans="1:10" s="915" customFormat="1" ht="21" customHeight="1">
      <c r="A51" s="923"/>
      <c r="B51" s="924"/>
      <c r="C51" s="923"/>
      <c r="D51" s="925"/>
      <c r="E51" s="924"/>
      <c r="F51" s="926"/>
      <c r="G51" s="926"/>
      <c r="H51" s="747"/>
      <c r="I51" s="747"/>
    </row>
    <row r="52" spans="1:10" s="915" customFormat="1" ht="21" customHeight="1">
      <c r="A52" s="927"/>
      <c r="B52" s="927"/>
      <c r="C52" s="927"/>
      <c r="D52" s="928" t="s">
        <v>379</v>
      </c>
      <c r="E52" s="929" t="s">
        <v>19</v>
      </c>
      <c r="F52" s="929"/>
      <c r="G52" s="929" t="s">
        <v>19</v>
      </c>
      <c r="H52" s="930">
        <f ca="1">SUBTOTAL(9,$H$10:$H$51)</f>
        <v>5983655662</v>
      </c>
      <c r="I52" s="930">
        <f ca="1">SUBTOTAL(9,I10:I51)</f>
        <v>5983655662</v>
      </c>
    </row>
    <row r="53" spans="1:10" s="915" customFormat="1" ht="15">
      <c r="A53" s="931" t="s">
        <v>1466</v>
      </c>
    </row>
    <row r="54" spans="1:10" s="915" customFormat="1" ht="15">
      <c r="A54" s="931" t="str">
        <f ca="1">"- Ngày mở sổ: "&amp;DAY($A$11)&amp;"/"&amp;MONTH($A$11)&amp;"/ " &amp;YEAR($A$11)</f>
        <v>- Ngày mở sổ: 1/7/ 2011</v>
      </c>
    </row>
    <row r="55" spans="1:10" s="915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32"/>
      <c r="J55" s="932"/>
    </row>
    <row r="56" spans="1:10" s="915" customFormat="1" ht="15">
      <c r="B56" s="932" t="s">
        <v>376</v>
      </c>
      <c r="D56" s="932" t="s">
        <v>12</v>
      </c>
      <c r="H56" s="932" t="s">
        <v>377</v>
      </c>
      <c r="I56" s="932"/>
      <c r="J56" s="932"/>
    </row>
    <row r="57" spans="1:10" s="915" customFormat="1" ht="15">
      <c r="B57" s="932" t="s">
        <v>13</v>
      </c>
      <c r="D57" s="932" t="s">
        <v>13</v>
      </c>
      <c r="H57" s="932" t="s">
        <v>136</v>
      </c>
      <c r="I57" s="932"/>
      <c r="J57" s="932"/>
    </row>
    <row r="58" spans="1:10" s="91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8" t="s">
        <v>145</v>
      </c>
      <c r="H2" s="988"/>
      <c r="I2" s="988"/>
    </row>
    <row r="3" spans="1:9" ht="15.75" customHeight="1">
      <c r="A3" s="1" t="str">
        <f>TH!A2</f>
        <v>Địa chỉ: 1A227/1 Ấp 1, Phạm Văn Hai, Bình Chánh, TPHCM</v>
      </c>
      <c r="G3" s="989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89"/>
      <c r="I3" s="989"/>
    </row>
    <row r="4" spans="1:9">
      <c r="F4" s="17"/>
      <c r="G4" s="989"/>
      <c r="H4" s="989"/>
      <c r="I4" s="989"/>
    </row>
    <row r="5" spans="1:9" ht="17.25" customHeight="1">
      <c r="A5" s="990" t="s">
        <v>146</v>
      </c>
      <c r="B5" s="990"/>
      <c r="C5" s="990"/>
      <c r="D5" s="990"/>
      <c r="E5" s="990"/>
      <c r="F5" s="990"/>
      <c r="G5" s="990"/>
      <c r="H5" s="990"/>
      <c r="I5" s="990"/>
    </row>
    <row r="6" spans="1:9">
      <c r="A6" s="991" t="s">
        <v>147</v>
      </c>
      <c r="B6" s="992"/>
      <c r="C6" s="992"/>
      <c r="D6" s="992"/>
      <c r="E6" s="992"/>
      <c r="F6" s="992"/>
      <c r="G6" s="992"/>
      <c r="H6" s="992"/>
      <c r="I6" s="99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92" t="s">
        <v>29</v>
      </c>
      <c r="B9" s="993"/>
      <c r="C9" s="993"/>
      <c r="D9" s="993"/>
      <c r="E9" s="993"/>
      <c r="F9" s="993"/>
      <c r="G9" s="993"/>
      <c r="H9" s="993"/>
      <c r="I9" s="993"/>
    </row>
    <row r="10" spans="1:9" ht="9.75" customHeight="1">
      <c r="C10" s="994"/>
      <c r="D10" s="995"/>
      <c r="E10" s="995"/>
      <c r="F10" s="995"/>
      <c r="G10" s="995"/>
      <c r="H10" s="995"/>
      <c r="I10" s="995"/>
    </row>
    <row r="11" spans="1:9" s="18" customFormat="1" ht="19.5" customHeight="1">
      <c r="A11" s="996" t="s">
        <v>20</v>
      </c>
      <c r="B11" s="986" t="s">
        <v>1</v>
      </c>
      <c r="C11" s="997"/>
      <c r="D11" s="996" t="s">
        <v>0</v>
      </c>
      <c r="E11" s="996" t="s">
        <v>14</v>
      </c>
      <c r="F11" s="986" t="s">
        <v>21</v>
      </c>
      <c r="G11" s="997"/>
      <c r="H11" s="986" t="s">
        <v>31</v>
      </c>
      <c r="I11" s="987"/>
    </row>
    <row r="12" spans="1:9" s="18" customFormat="1" ht="32.25" customHeight="1">
      <c r="A12" s="996"/>
      <c r="B12" s="242" t="s">
        <v>15</v>
      </c>
      <c r="C12" s="242" t="s">
        <v>32</v>
      </c>
      <c r="D12" s="996"/>
      <c r="E12" s="99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68192198</v>
      </c>
      <c r="G62" s="248">
        <f ca="1">SUM(G15:G61)</f>
        <v>68192198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85" t="str">
        <f ca="1">"Ngày 31 tháng  12  năm  "&amp;YEAR($A$15)</f>
        <v>Ngày 31 tháng  12  năm  2011</v>
      </c>
      <c r="F67" s="985"/>
      <c r="G67" s="985"/>
      <c r="H67" s="985"/>
      <c r="I67" s="985"/>
    </row>
    <row r="68" spans="1:9" s="18" customFormat="1" ht="12.75">
      <c r="A68" s="985" t="s">
        <v>11</v>
      </c>
      <c r="B68" s="985"/>
      <c r="C68" s="985"/>
      <c r="D68" s="985"/>
      <c r="E68" s="985" t="s">
        <v>12</v>
      </c>
      <c r="F68" s="985"/>
      <c r="G68" s="985"/>
      <c r="H68" s="985"/>
      <c r="I68" s="985"/>
    </row>
    <row r="69" spans="1:9" s="18" customFormat="1" ht="12.75">
      <c r="A69" s="985" t="s">
        <v>13</v>
      </c>
      <c r="B69" s="985"/>
      <c r="C69" s="985"/>
      <c r="D69" s="985"/>
      <c r="E69" s="985" t="s">
        <v>13</v>
      </c>
      <c r="F69" s="985"/>
      <c r="G69" s="985"/>
      <c r="H69" s="985"/>
      <c r="I69" s="98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98"/>
      <c r="B76" s="998"/>
      <c r="C76" s="998"/>
      <c r="D76" s="99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8" t="s">
        <v>119</v>
      </c>
      <c r="H1" s="988"/>
      <c r="I1" s="988"/>
      <c r="J1" s="98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89"/>
      <c r="I2" s="989"/>
      <c r="J2" s="989"/>
    </row>
    <row r="3" spans="1:15" s="3" customFormat="1" ht="16.5" customHeight="1">
      <c r="A3" s="4"/>
      <c r="B3" s="16"/>
      <c r="C3" s="109"/>
      <c r="D3" s="109"/>
      <c r="E3" s="16"/>
      <c r="G3" s="989"/>
      <c r="H3" s="989"/>
      <c r="I3" s="989"/>
      <c r="J3" s="98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9" t="s">
        <v>120</v>
      </c>
      <c r="B5" s="999"/>
      <c r="C5" s="999"/>
      <c r="D5" s="999"/>
      <c r="E5" s="999"/>
      <c r="F5" s="999"/>
      <c r="G5" s="999"/>
      <c r="H5" s="999"/>
      <c r="I5" s="999"/>
      <c r="J5" s="999"/>
    </row>
    <row r="6" spans="1:15" ht="14.25" customHeight="1">
      <c r="A6" s="1001" t="str">
        <f ca="1">$L$11&amp;" / "&amp;YEAR($A$14)</f>
        <v>Quý III / 2011</v>
      </c>
      <c r="B6" s="1001"/>
      <c r="C6" s="1001"/>
      <c r="D6" s="1001"/>
      <c r="E6" s="1001"/>
      <c r="F6" s="1001"/>
      <c r="G6" s="1001"/>
      <c r="H6" s="1001"/>
      <c r="I6" s="1001"/>
      <c r="J6" s="1001"/>
    </row>
    <row r="7" spans="1:15">
      <c r="A7" s="1000" t="s">
        <v>121</v>
      </c>
      <c r="B7" s="1000"/>
      <c r="C7" s="1000"/>
      <c r="D7" s="1000"/>
      <c r="E7" s="1000"/>
      <c r="F7" s="1000"/>
      <c r="G7" s="1000"/>
      <c r="H7" s="1000"/>
      <c r="I7" s="1000"/>
      <c r="J7" s="1000"/>
    </row>
    <row r="8" spans="1:15">
      <c r="A8" s="1000" t="s">
        <v>122</v>
      </c>
      <c r="B8" s="1000"/>
      <c r="C8" s="1000"/>
      <c r="D8" s="1000"/>
      <c r="E8" s="1000"/>
      <c r="F8" s="1000"/>
      <c r="G8" s="1000"/>
      <c r="H8" s="1000"/>
      <c r="I8" s="1000"/>
      <c r="J8" s="1000"/>
    </row>
    <row r="9" spans="1:15">
      <c r="A9" s="112"/>
      <c r="I9" s="112" t="s">
        <v>123</v>
      </c>
    </row>
    <row r="10" spans="1:15" ht="33" customHeight="1" thickBot="1">
      <c r="A10" s="1003" t="s">
        <v>20</v>
      </c>
      <c r="B10" s="1003" t="s">
        <v>124</v>
      </c>
      <c r="C10" s="1002" t="s">
        <v>125</v>
      </c>
      <c r="D10" s="1002"/>
      <c r="E10" s="1002" t="s">
        <v>0</v>
      </c>
      <c r="F10" s="1003" t="s">
        <v>14</v>
      </c>
      <c r="G10" s="1002" t="s">
        <v>21</v>
      </c>
      <c r="H10" s="1002"/>
      <c r="I10" s="1002" t="s">
        <v>126</v>
      </c>
      <c r="J10" s="1002" t="s">
        <v>127</v>
      </c>
      <c r="L10" s="627"/>
      <c r="N10" s="983" t="s">
        <v>352</v>
      </c>
      <c r="O10" s="983"/>
    </row>
    <row r="11" spans="1:15" ht="24" customHeight="1" thickBot="1">
      <c r="A11" s="1004"/>
      <c r="B11" s="1004"/>
      <c r="C11" s="113" t="s">
        <v>128</v>
      </c>
      <c r="D11" s="113" t="s">
        <v>129</v>
      </c>
      <c r="E11" s="1002"/>
      <c r="F11" s="1004"/>
      <c r="G11" s="113" t="s">
        <v>22</v>
      </c>
      <c r="H11" s="113" t="s">
        <v>23</v>
      </c>
      <c r="I11" s="1002"/>
      <c r="J11" s="1002"/>
      <c r="L11" s="178" t="s">
        <v>1103</v>
      </c>
      <c r="N11" s="649">
        <f>IF(L11="Quý I",1,IF(L11="Quý II",4,IF(L11="Quý III",7,IF(L11="Quý IV",10,""))))</f>
        <v>7</v>
      </c>
      <c r="O11" s="649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50"/>
      <c r="O12" s="65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51"/>
      <c r="O13" s="651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52"/>
      <c r="O14" s="652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52"/>
      <c r="O15" s="652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52"/>
      <c r="O16" s="652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52"/>
      <c r="O17" s="652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52"/>
      <c r="O18" s="652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52"/>
      <c r="O19" s="652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52"/>
      <c r="O20" s="652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52"/>
      <c r="O21" s="652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52"/>
      <c r="O22" s="652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52"/>
      <c r="O23" s="652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52"/>
      <c r="O24" s="652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52"/>
      <c r="O25" s="652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52"/>
      <c r="O26" s="652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52"/>
      <c r="O27" s="652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52"/>
      <c r="O28" s="652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52"/>
      <c r="O29" s="652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52"/>
      <c r="O30" s="652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52"/>
      <c r="O31" s="652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52"/>
      <c r="O32" s="652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52"/>
      <c r="O33" s="652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52"/>
      <c r="O34" s="652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52"/>
      <c r="O35" s="652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52"/>
      <c r="O36" s="652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52"/>
      <c r="O37" s="652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52"/>
      <c r="O38" s="652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52"/>
      <c r="O39" s="652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52"/>
      <c r="O40" s="652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52"/>
      <c r="O41" s="652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52"/>
      <c r="O42" s="652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52"/>
      <c r="O43" s="652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52"/>
      <c r="O44" s="652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52"/>
      <c r="O45" s="652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52"/>
      <c r="O46" s="652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52"/>
      <c r="O47" s="652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52"/>
      <c r="O48" s="652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52"/>
      <c r="O49" s="652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249575656</v>
      </c>
      <c r="H64" s="129">
        <f ca="1">SUM(H14:H63)</f>
        <v>319662461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1346538063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4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5"/>
      <c r="R4" s="81"/>
      <c r="S4" s="633">
        <v>4</v>
      </c>
      <c r="T4" s="81"/>
      <c r="U4" s="506" t="s">
        <v>4</v>
      </c>
      <c r="V4" s="107"/>
      <c r="W4" s="507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4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12411055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6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2"/>
      <c r="I1" s="231"/>
      <c r="K1" s="905"/>
      <c r="L1" s="90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15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15"/>
      <c r="H2" s="1015"/>
      <c r="I2" s="232"/>
      <c r="K2" s="906"/>
      <c r="L2" s="906"/>
    </row>
    <row r="3" spans="1:20" s="140" customFormat="1" ht="16.5" customHeight="1">
      <c r="A3" s="177"/>
      <c r="B3" s="177"/>
      <c r="C3" s="177"/>
      <c r="D3" s="177"/>
      <c r="F3" s="1015"/>
      <c r="G3" s="1015"/>
      <c r="H3" s="1015"/>
      <c r="I3" s="232"/>
    </row>
    <row r="4" spans="1:20" s="140" customFormat="1" ht="19.5" customHeight="1">
      <c r="A4" s="1018" t="s">
        <v>137</v>
      </c>
      <c r="B4" s="1018"/>
      <c r="C4" s="1018"/>
      <c r="D4" s="1018"/>
      <c r="E4" s="1018"/>
      <c r="F4" s="1018"/>
      <c r="G4" s="1018"/>
      <c r="H4" s="1018"/>
      <c r="I4" s="1018"/>
    </row>
    <row r="5" spans="1:20" s="140" customFormat="1" ht="15">
      <c r="A5" s="1007" t="str">
        <f>"Nơi mở tài khoản giao dịch:  "&amp;IF($M$9="ACB"," Ngân Hàng ACB"," Ngân Hàng Eximbank - Chi Nhánh Chợ Lớn")</f>
        <v>Nơi mở tài khoản giao dịch:   Ngân Hàng ACB</v>
      </c>
      <c r="B5" s="1007"/>
      <c r="C5" s="1007"/>
      <c r="D5" s="1007"/>
      <c r="E5" s="1007"/>
      <c r="F5" s="1007"/>
      <c r="G5" s="1007"/>
      <c r="H5" s="1007"/>
      <c r="I5" s="1007"/>
    </row>
    <row r="6" spans="1:20" s="140" customFormat="1" ht="15">
      <c r="D6" s="265" t="s">
        <v>158</v>
      </c>
      <c r="E6" s="1007" t="str">
        <f>IF($M$9="ACB","100983119","1004 148 5104 6511")</f>
        <v>100983119</v>
      </c>
      <c r="F6" s="1007"/>
      <c r="G6" s="1007"/>
      <c r="H6" s="613" t="s">
        <v>108</v>
      </c>
      <c r="I6" s="266" t="str">
        <f>IF(H6="VNĐ","1121",IF(H6="USD","1122",""))</f>
        <v>1121</v>
      </c>
      <c r="N6" s="1000" t="s">
        <v>352</v>
      </c>
      <c r="O6" s="1000"/>
      <c r="Q6" s="1016" t="s">
        <v>293</v>
      </c>
      <c r="R6" s="1016" t="s">
        <v>353</v>
      </c>
      <c r="S6" s="1016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4"/>
      <c r="I7" s="144"/>
      <c r="Q7" s="1017"/>
      <c r="R7" s="1017"/>
      <c r="S7" s="1017"/>
    </row>
    <row r="8" spans="1:20" s="145" customFormat="1" ht="22.5" customHeight="1" thickBot="1">
      <c r="A8" s="1008" t="s">
        <v>138</v>
      </c>
      <c r="B8" s="1010" t="s">
        <v>1</v>
      </c>
      <c r="C8" s="1011"/>
      <c r="D8" s="1005" t="s">
        <v>0</v>
      </c>
      <c r="E8" s="1012" t="s">
        <v>14</v>
      </c>
      <c r="F8" s="1014" t="s">
        <v>139</v>
      </c>
      <c r="G8" s="1014"/>
      <c r="H8" s="1011"/>
      <c r="I8" s="1005" t="s">
        <v>127</v>
      </c>
      <c r="K8" s="138"/>
      <c r="L8" s="140"/>
      <c r="N8" s="621">
        <f>IF(K9="Quý I",1,IF(K9="Quý II",4,IF(K9="Quý III",7,IF(K9="Quý IV",10,""))))</f>
        <v>4</v>
      </c>
      <c r="O8" s="622">
        <f>IF(K9="Quý I",3,IF(K9="Quý II",6,IF(K9="Quý III",9,IF(K9="Quý IV",12,""))))</f>
        <v>6</v>
      </c>
      <c r="Q8" s="483" t="s">
        <v>294</v>
      </c>
      <c r="R8" s="484"/>
      <c r="S8" s="484"/>
      <c r="T8" s="485">
        <f>SUM(R8:S8)</f>
        <v>0</v>
      </c>
    </row>
    <row r="9" spans="1:20" s="145" customFormat="1" ht="22.5" customHeight="1" thickBot="1">
      <c r="A9" s="1009"/>
      <c r="B9" s="146" t="s">
        <v>15</v>
      </c>
      <c r="C9" s="147" t="s">
        <v>140</v>
      </c>
      <c r="D9" s="1006"/>
      <c r="E9" s="1013"/>
      <c r="F9" s="257" t="s">
        <v>141</v>
      </c>
      <c r="G9" s="148" t="s">
        <v>142</v>
      </c>
      <c r="H9" s="615" t="s">
        <v>143</v>
      </c>
      <c r="I9" s="1006"/>
      <c r="K9" s="178" t="s">
        <v>388</v>
      </c>
      <c r="L9" s="140"/>
      <c r="M9" s="482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9"/>
      <c r="G11" s="489"/>
      <c r="H11" s="489">
        <f>IF($M$9="ACB",$R$8,$S$8)+SUMIF(_N112,"x",TH)-SUMIF(_C112,"x",TH)</f>
        <v>0</v>
      </c>
      <c r="I11" s="486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9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9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23">
        <f ca="1">IF(A12&lt;&gt;"",H11+F12-G12,0)</f>
        <v>200000000</v>
      </c>
      <c r="I12" s="487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9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23">
        <f t="shared" ref="H13:H40" ca="1" si="0">IF(A13&lt;&gt;"",H12+F13-G13,0)</f>
        <v>150000000</v>
      </c>
      <c r="I13" s="487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9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9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23">
        <f t="shared" ca="1" si="0"/>
        <v>178175740</v>
      </c>
      <c r="I14" s="487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9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9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3">
        <f t="shared" ca="1" si="0"/>
        <v>178447632</v>
      </c>
      <c r="I15" s="487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9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9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23">
        <f t="shared" ca="1" si="0"/>
        <v>150271892</v>
      </c>
      <c r="I16" s="487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9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9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23">
        <f t="shared" ca="1" si="0"/>
        <v>140271892</v>
      </c>
      <c r="I17" s="487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9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9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23">
        <f t="shared" ca="1" si="0"/>
        <v>90271892</v>
      </c>
      <c r="I18" s="487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9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23">
        <f t="shared" ca="1" si="0"/>
        <v>90261892</v>
      </c>
      <c r="I19" s="487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9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23">
        <f t="shared" ca="1" si="0"/>
        <v>40261892</v>
      </c>
      <c r="I20" s="487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9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23">
        <f t="shared" ca="1" si="0"/>
        <v>40251892</v>
      </c>
      <c r="I21" s="487"/>
      <c r="L21" s="140"/>
      <c r="Q21" s="485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9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9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3">
        <f t="shared" ca="1" si="0"/>
        <v>40530197</v>
      </c>
      <c r="I22" s="487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9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9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23">
        <f t="shared" ca="1" si="0"/>
        <v>45530197</v>
      </c>
      <c r="I23" s="487"/>
      <c r="L23" s="140"/>
      <c r="Q23" s="611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9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23">
        <f t="shared" ca="1" si="0"/>
        <v>3817801</v>
      </c>
      <c r="I24" s="487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9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9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23">
        <f t="shared" ca="1" si="0"/>
        <v>3807801</v>
      </c>
      <c r="I25" s="487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9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23">
        <f t="shared" ca="1" si="0"/>
        <v>3797801</v>
      </c>
      <c r="I26" s="487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9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9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23">
        <f t="shared" ca="1" si="0"/>
        <v>71215889</v>
      </c>
      <c r="I27" s="487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9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9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23">
        <f t="shared" ca="1" si="0"/>
        <v>101215889</v>
      </c>
      <c r="I28" s="487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9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23">
        <f t="shared" ca="1" si="0"/>
        <v>1215889</v>
      </c>
      <c r="I29" s="487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9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23">
        <f t="shared" ca="1" si="0"/>
        <v>1205889</v>
      </c>
      <c r="I30" s="487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9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9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3">
        <f t="shared" ca="1" si="0"/>
        <v>77238800</v>
      </c>
      <c r="I31" s="487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9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9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3">
        <f t="shared" ca="1" si="0"/>
        <v>167238800</v>
      </c>
      <c r="I32" s="487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9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9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23">
        <f t="shared" ca="1" si="0"/>
        <v>20838800</v>
      </c>
      <c r="I33" s="487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9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23">
        <f t="shared" ca="1" si="0"/>
        <v>20818052</v>
      </c>
      <c r="I34" s="487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9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9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3">
        <f t="shared" ca="1" si="0"/>
        <v>40818052</v>
      </c>
      <c r="I35" s="487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9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9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23">
        <f t="shared" ca="1" si="0"/>
        <v>69464714</v>
      </c>
      <c r="I36" s="487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9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9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23">
        <f t="shared" ca="1" si="0"/>
        <v>29464714</v>
      </c>
      <c r="I37" s="487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9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9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23">
        <f t="shared" ca="1" si="0"/>
        <v>29454714</v>
      </c>
      <c r="I38" s="487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9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9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23">
        <f t="shared" ca="1" si="0"/>
        <v>29444714</v>
      </c>
      <c r="I39" s="487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9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9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3">
        <f t="shared" ca="1" si="0"/>
        <v>32444714</v>
      </c>
      <c r="I40" s="487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9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23">
        <f t="shared" ref="H41:H43" ca="1" si="1">IF(A41&lt;&gt;"",H40+F41-G41,0)</f>
        <v>1564714</v>
      </c>
      <c r="I41" s="487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9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9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23">
        <f t="shared" ca="1" si="1"/>
        <v>1554714</v>
      </c>
      <c r="I42" s="487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9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9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23">
        <f t="shared" ca="1" si="1"/>
        <v>1637060</v>
      </c>
      <c r="I43" s="487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90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90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3">
        <f t="shared" ref="H44" ca="1" si="2">IF(A44&lt;&gt;"",H43+F44-G44,0)</f>
        <v>0</v>
      </c>
      <c r="I44" s="487"/>
    </row>
    <row r="45" spans="1:20" s="145" customFormat="1" ht="18.75" customHeight="1">
      <c r="A45" s="156"/>
      <c r="B45" s="156"/>
      <c r="C45" s="156"/>
      <c r="D45" s="235"/>
      <c r="E45" s="156"/>
      <c r="F45" s="490"/>
      <c r="G45" s="490"/>
      <c r="H45" s="623"/>
      <c r="I45" s="487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9">
        <f ca="1">SUM(F12:F45)</f>
        <v>548905944</v>
      </c>
      <c r="G46" s="489">
        <f ca="1">SUM(G12:G45)</f>
        <v>547268884</v>
      </c>
      <c r="H46" s="489">
        <f ca="1">H11+F46-G46</f>
        <v>1637060</v>
      </c>
      <c r="I46" s="488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9">
        <f ca="1">H46</f>
        <v>1637060</v>
      </c>
      <c r="I47" s="159"/>
    </row>
    <row r="48" spans="1:20" s="155" customFormat="1" ht="22.5" customHeight="1">
      <c r="A48" s="252" t="s">
        <v>155</v>
      </c>
      <c r="B48" s="161"/>
      <c r="F48" s="162"/>
      <c r="H48" s="616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6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6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7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6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367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629" t="s">
        <v>42</v>
      </c>
      <c r="D5" s="629" t="s">
        <v>43</v>
      </c>
      <c r="E5" s="629" t="s">
        <v>42</v>
      </c>
      <c r="F5" s="629" t="s">
        <v>43</v>
      </c>
      <c r="G5" s="629" t="s">
        <v>42</v>
      </c>
      <c r="H5" s="629" t="s">
        <v>43</v>
      </c>
    </row>
    <row r="6" spans="1:9" s="10" customFormat="1" ht="16.5" customHeight="1">
      <c r="A6" s="6">
        <f>IF(B6&lt;&gt;"",ROW()-5,"")</f>
        <v>1</v>
      </c>
      <c r="B6" s="7" t="s">
        <v>755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IF(ISNA(VLOOKUP(B6,'[5]131'!$B$4:$B$26,1,0)),"","x")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756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IF(ISNA(VLOOKUP(B7,'[5]131'!$B$4:$B$26,1,0)),"","x")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757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2"/>
        <v>4</v>
      </c>
      <c r="B9" s="7" t="s">
        <v>758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IF(ISNA(VLOOKUP(B9,'[5]131'!$B$4:$B$26,1,0)),"","x")</f>
        <v>x</v>
      </c>
    </row>
    <row r="10" spans="1:9" s="10" customFormat="1" ht="16.5" customHeight="1">
      <c r="A10" s="6">
        <f t="shared" si="2"/>
        <v>5</v>
      </c>
      <c r="B10" s="7" t="s">
        <v>788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IF(ISNA(VLOOKUP(B10,'[5]131'!$B$4:$B$26,1,0)),"","x")</f>
        <v>x</v>
      </c>
    </row>
    <row r="11" spans="1:9" s="10" customFormat="1" ht="16.5" customHeight="1">
      <c r="A11" s="6">
        <f t="shared" si="2"/>
        <v>6</v>
      </c>
      <c r="B11" s="846" t="s">
        <v>789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IF(ISNA(VLOOKUP(B11,'[5]131'!$B$4:$B$26,1,0)),"","x")</f>
        <v/>
      </c>
    </row>
    <row r="12" spans="1:9" s="10" customFormat="1" ht="16.5" customHeight="1">
      <c r="A12" s="6">
        <f t="shared" si="2"/>
        <v>7</v>
      </c>
      <c r="B12" s="7" t="s">
        <v>790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IF(ISNA(VLOOKUP(B12,'[5]131'!$B$4:$B$26,1,0)),"","x")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930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34">
        <f t="shared" ref="G13:G16" si="3">ROUND(MAX(C13+E13-D13-F13,0),2)</f>
        <v>0</v>
      </c>
      <c r="H13" s="834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934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34">
        <f t="shared" si="3"/>
        <v>0</v>
      </c>
      <c r="H14" s="834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761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34">
        <f t="shared" si="3"/>
        <v>0</v>
      </c>
      <c r="H15" s="834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783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34">
        <f t="shared" si="3"/>
        <v>0</v>
      </c>
      <c r="H16" s="834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784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34">
        <f t="shared" ref="G17:G18" si="5">ROUND(MAX(C17+E17-D17-F17,0),2)</f>
        <v>0</v>
      </c>
      <c r="H17" s="834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785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34">
        <f t="shared" si="5"/>
        <v>0</v>
      </c>
      <c r="H18" s="834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787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34">
        <f t="shared" ref="G19:G20" si="7">ROUND(MAX(C19+E19-D19-F19,0),2)</f>
        <v>0</v>
      </c>
      <c r="H19" s="834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786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34">
        <f t="shared" si="7"/>
        <v>0</v>
      </c>
      <c r="H20" s="834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IF(ISNA(VLOOKUP(B21,'[5]131'!$B$4:$B$26,1,0)),"","x")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19" t="s">
        <v>1467</v>
      </c>
      <c r="G24" s="1019"/>
      <c r="H24" s="1019"/>
    </row>
    <row r="25" spans="1:9">
      <c r="F25" s="1019" t="s">
        <v>109</v>
      </c>
      <c r="G25" s="1019"/>
      <c r="H25" s="1019"/>
    </row>
    <row r="26" spans="1:9">
      <c r="E26" s="183"/>
      <c r="F26" s="1019" t="s">
        <v>136</v>
      </c>
      <c r="G26" s="1019"/>
      <c r="H26" s="1019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9" customFormat="1" ht="14.25" customHeight="1">
      <c r="A1" s="635" t="str">
        <f>TH!A1</f>
        <v>Đơn vị: CÔNG TY TNHH SX TM KIM DUNG PHÁT</v>
      </c>
      <c r="B1" s="626"/>
      <c r="C1" s="626"/>
      <c r="G1" s="2"/>
      <c r="H1" s="1028" t="s">
        <v>46</v>
      </c>
      <c r="I1" s="1028"/>
      <c r="J1" s="1028"/>
    </row>
    <row r="2" spans="1:10" s="479" customFormat="1" ht="14.25" customHeight="1">
      <c r="A2" s="634" t="str">
        <f>TH!A2</f>
        <v>Địa chỉ: 1A227/1 Ấp 1, Phạm Văn Hai, Bình Chánh, TPHCM</v>
      </c>
      <c r="B2" s="626"/>
      <c r="C2" s="626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479" customFormat="1" ht="14.25" customHeight="1">
      <c r="A3" s="628"/>
      <c r="B3" s="626"/>
      <c r="C3" s="62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624" t="s">
        <v>27</v>
      </c>
    </row>
    <row r="6" spans="1:10" s="18" customFormat="1" ht="14.25" customHeight="1">
      <c r="E6" s="624" t="s">
        <v>370</v>
      </c>
    </row>
    <row r="7" spans="1:10" s="18" customFormat="1" ht="14.25" customHeight="1">
      <c r="D7" s="20" t="s">
        <v>45</v>
      </c>
      <c r="E7" s="1031" t="s">
        <v>756</v>
      </c>
      <c r="F7" s="1031"/>
      <c r="G7" s="1031"/>
      <c r="H7" s="1031"/>
    </row>
    <row r="8" spans="1:10" s="18" customFormat="1" ht="14.25" customHeight="1">
      <c r="E8" s="624" t="s">
        <v>29</v>
      </c>
    </row>
    <row r="9" spans="1:10" s="18" customFormat="1" ht="6.75" customHeight="1">
      <c r="B9" s="624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6" t="s">
        <v>20</v>
      </c>
      <c r="B10" s="1027" t="s">
        <v>1</v>
      </c>
      <c r="C10" s="1027"/>
      <c r="D10" s="996" t="s">
        <v>0</v>
      </c>
      <c r="E10" s="996" t="s">
        <v>14</v>
      </c>
      <c r="F10" s="996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6"/>
      <c r="B11" s="30" t="s">
        <v>15</v>
      </c>
      <c r="C11" s="30" t="s">
        <v>32</v>
      </c>
      <c r="D11" s="996"/>
      <c r="E11" s="996"/>
      <c r="F11" s="99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30" t="s">
        <v>2</v>
      </c>
      <c r="B12" s="631" t="s">
        <v>3</v>
      </c>
      <c r="C12" s="630" t="s">
        <v>4</v>
      </c>
      <c r="D12" s="630" t="s">
        <v>5</v>
      </c>
      <c r="E12" s="630" t="s">
        <v>6</v>
      </c>
      <c r="F12" s="630">
        <v>1</v>
      </c>
      <c r="G12" s="630">
        <v>2</v>
      </c>
      <c r="H12" s="630">
        <v>3</v>
      </c>
      <c r="I12" s="630">
        <v>4</v>
      </c>
      <c r="J12" s="630">
        <v>5</v>
      </c>
    </row>
    <row r="13" spans="1:10" s="18" customFormat="1" ht="18" customHeight="1">
      <c r="A13" s="630"/>
      <c r="B13" s="630"/>
      <c r="C13" s="630"/>
      <c r="D13" s="23" t="s">
        <v>7</v>
      </c>
      <c r="E13" s="630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30"/>
      <c r="C32" s="26"/>
      <c r="D32" s="23" t="s">
        <v>33</v>
      </c>
      <c r="E32" s="630" t="s">
        <v>19</v>
      </c>
      <c r="F32" s="630" t="s">
        <v>19</v>
      </c>
      <c r="G32" s="27">
        <f ca="1">SUM(G14:G30)</f>
        <v>10349346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30"/>
      <c r="C33" s="630"/>
      <c r="D33" s="23" t="s">
        <v>10</v>
      </c>
      <c r="E33" s="630" t="s">
        <v>19</v>
      </c>
      <c r="F33" s="630" t="s">
        <v>19</v>
      </c>
      <c r="G33" s="27" t="s">
        <v>19</v>
      </c>
      <c r="H33" s="27" t="s">
        <v>19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4"/>
      <c r="C34" s="624"/>
      <c r="E34" s="624"/>
    </row>
    <row r="35" spans="1:11" s="18" customFormat="1" ht="14.25" customHeight="1">
      <c r="A35" s="28" t="s">
        <v>152</v>
      </c>
      <c r="B35" s="624"/>
      <c r="C35" s="624"/>
      <c r="E35" s="624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4"/>
      <c r="C36" s="624"/>
      <c r="E36" s="624"/>
      <c r="K36" s="28" t="s">
        <v>34</v>
      </c>
    </row>
    <row r="37" spans="1:11" s="18" customFormat="1" ht="14.25" customHeight="1">
      <c r="B37" s="624"/>
      <c r="C37" s="624"/>
      <c r="E37" s="985" t="str">
        <f ca="1">"Ngày 31 tháng  12  năm  "&amp;YEAR($A$14)</f>
        <v>Ngày 31 tháng  12  năm  2011</v>
      </c>
      <c r="F37" s="985"/>
      <c r="G37" s="985"/>
      <c r="H37" s="985"/>
      <c r="I37" s="985"/>
      <c r="J37" s="985"/>
    </row>
    <row r="38" spans="1:11" s="18" customFormat="1" ht="14.25" customHeight="1">
      <c r="C38" s="624" t="s">
        <v>11</v>
      </c>
      <c r="E38" s="985" t="s">
        <v>12</v>
      </c>
      <c r="F38" s="985"/>
      <c r="G38" s="985"/>
      <c r="H38" s="985"/>
      <c r="I38" s="985"/>
      <c r="J38" s="985"/>
    </row>
    <row r="39" spans="1:11" s="18" customFormat="1" ht="14.25" customHeight="1">
      <c r="C39" s="624" t="s">
        <v>13</v>
      </c>
      <c r="E39" s="985" t="s">
        <v>13</v>
      </c>
      <c r="F39" s="985"/>
      <c r="G39" s="985"/>
      <c r="H39" s="985"/>
      <c r="I39" s="985"/>
      <c r="J39" s="985"/>
    </row>
    <row r="40" spans="1:11" s="29" customFormat="1"/>
    <row r="46" spans="1:11" ht="15">
      <c r="C46" s="625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33" t="str">
        <f>TH!$A$1</f>
        <v>Đơn vị: CÔNG TY TNHH SX TM KIM DUNG PHÁT</v>
      </c>
    </row>
    <row r="2" spans="1:9">
      <c r="A2" s="934" t="str">
        <f>TH!$A$2</f>
        <v>Địa chỉ: 1A227/1 Ấp 1, Phạm Văn Hai, Bình Chánh, TPHCM</v>
      </c>
    </row>
    <row r="3" spans="1:9" ht="27" customHeight="1">
      <c r="A3" s="1020" t="s">
        <v>102</v>
      </c>
      <c r="B3" s="1020"/>
      <c r="C3" s="1020"/>
      <c r="D3" s="1020"/>
      <c r="E3" s="1020"/>
      <c r="F3" s="1020"/>
      <c r="G3" s="1020"/>
      <c r="H3" s="1020"/>
    </row>
    <row r="4" spans="1:9" s="10" customFormat="1" ht="14.25" customHeight="1">
      <c r="A4" s="1021" t="s">
        <v>35</v>
      </c>
      <c r="B4" s="1023" t="s">
        <v>36</v>
      </c>
      <c r="C4" s="1025" t="s">
        <v>37</v>
      </c>
      <c r="D4" s="1026"/>
      <c r="E4" s="1025" t="s">
        <v>38</v>
      </c>
      <c r="F4" s="1026"/>
      <c r="G4" s="1025" t="s">
        <v>41</v>
      </c>
      <c r="H4" s="1026"/>
    </row>
    <row r="5" spans="1:9" s="10" customFormat="1" ht="14.25" customHeight="1">
      <c r="A5" s="1022"/>
      <c r="B5" s="102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522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IF(ISNA(VLOOKUP(B6,'[5]331'!$B$4:$B$15,1,0)),"","x")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414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IF(ISNA(VLOOKUP(B7,'[5]331'!$B$4:$B$15,1,0)),"","x")</f>
        <v>x</v>
      </c>
    </row>
    <row r="8" spans="1:9" s="10" customFormat="1" ht="16.5" customHeight="1">
      <c r="A8" s="6">
        <f t="shared" si="2"/>
        <v>3</v>
      </c>
      <c r="B8" s="7" t="s">
        <v>415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IF(ISNA(VLOOKUP(B8,'[5]331'!$B$4:$B$15,1,0)),"","x")</f>
        <v>x</v>
      </c>
    </row>
    <row r="9" spans="1:9" s="10" customFormat="1" ht="16.5" customHeight="1">
      <c r="A9" s="6">
        <f t="shared" si="2"/>
        <v>4</v>
      </c>
      <c r="B9" s="44" t="s">
        <v>554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2"/>
        <v>5</v>
      </c>
      <c r="B10" s="7" t="s">
        <v>571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2"/>
        <v>6</v>
      </c>
      <c r="B11" s="44" t="s">
        <v>582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IF(ISNA(VLOOKUP(B11,'[5]331'!$B$4:$B$15,1,0)),"","x")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670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IF(ISNA(VLOOKUP(B12,'[5]331'!$B$4:$B$15,1,0)),"","x")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497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IF(ISNA(VLOOKUP(B13,'[5]331'!$B$4:$B$15,1,0)),"","x")</f>
        <v/>
      </c>
    </row>
    <row r="14" spans="1:9" s="10" customFormat="1" ht="16.5" customHeight="1">
      <c r="A14" s="6">
        <f t="shared" si="2"/>
        <v>9</v>
      </c>
      <c r="B14" s="44" t="s">
        <v>533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5"/>
      <c r="F15" s="495"/>
      <c r="G15" s="496"/>
      <c r="H15" s="496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19" t="s">
        <v>1467</v>
      </c>
      <c r="G18" s="1019"/>
      <c r="H18" s="1019"/>
    </row>
    <row r="19" spans="5:8">
      <c r="F19" s="1019" t="s">
        <v>109</v>
      </c>
      <c r="G19" s="1019"/>
      <c r="H19" s="1019"/>
    </row>
    <row r="20" spans="5:8">
      <c r="E20" s="183"/>
      <c r="F20" s="1019" t="s">
        <v>136</v>
      </c>
      <c r="G20" s="1019"/>
      <c r="H20" s="1019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5" t="str">
        <f>TH!A1</f>
        <v>Đơn vị: CÔNG TY TNHH SX TM KIM DUNG PHÁT</v>
      </c>
      <c r="B1" s="16"/>
      <c r="C1" s="16"/>
      <c r="G1" s="2"/>
      <c r="H1" s="1028" t="s">
        <v>46</v>
      </c>
      <c r="I1" s="1028"/>
      <c r="J1" s="1028"/>
    </row>
    <row r="2" spans="1:10" s="3" customFormat="1" ht="14.25" customHeight="1">
      <c r="A2" s="634" t="str">
        <f>TH!A2</f>
        <v>Địa chỉ: 1A227/1 Ấp 1, Phạm Văn Hai, Bình Chánh, TPHCM</v>
      </c>
      <c r="B2" s="16"/>
      <c r="C2" s="16"/>
      <c r="G2" s="17"/>
      <c r="H2" s="1029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</row>
    <row r="3" spans="1:10" s="3" customFormat="1" ht="14.25" customHeight="1">
      <c r="A3" s="4"/>
      <c r="B3" s="16"/>
      <c r="C3" s="16"/>
      <c r="G3" s="17"/>
      <c r="H3" s="1029"/>
      <c r="I3" s="1029"/>
      <c r="J3" s="1029"/>
    </row>
    <row r="4" spans="1:10" s="5" customFormat="1" ht="28.5" customHeight="1">
      <c r="A4" s="1030" t="s">
        <v>26</v>
      </c>
      <c r="B4" s="1030"/>
      <c r="C4" s="1030"/>
      <c r="D4" s="1030"/>
      <c r="E4" s="1030"/>
      <c r="F4" s="1030"/>
      <c r="G4" s="1030"/>
      <c r="H4" s="1030"/>
      <c r="I4" s="1030"/>
      <c r="J4" s="103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1" t="s">
        <v>522</v>
      </c>
      <c r="F7" s="1031"/>
      <c r="G7" s="1031"/>
      <c r="H7" s="103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2"/>
      <c r="D9" s="1032"/>
      <c r="E9" s="1032"/>
      <c r="F9" s="1032"/>
      <c r="G9" s="1032"/>
      <c r="H9" s="1032"/>
      <c r="I9" s="1032"/>
      <c r="J9" s="1032"/>
    </row>
    <row r="10" spans="1:10" s="18" customFormat="1" ht="14.25" customHeight="1">
      <c r="A10" s="996" t="s">
        <v>20</v>
      </c>
      <c r="B10" s="1027" t="s">
        <v>1</v>
      </c>
      <c r="C10" s="1027"/>
      <c r="D10" s="996" t="s">
        <v>0</v>
      </c>
      <c r="E10" s="996" t="s">
        <v>14</v>
      </c>
      <c r="F10" s="996" t="s">
        <v>30</v>
      </c>
      <c r="G10" s="1033" t="s">
        <v>21</v>
      </c>
      <c r="H10" s="1034"/>
      <c r="I10" s="1033" t="s">
        <v>31</v>
      </c>
      <c r="J10" s="1034"/>
    </row>
    <row r="11" spans="1:10" s="18" customFormat="1" ht="24.75" customHeight="1">
      <c r="A11" s="996"/>
      <c r="B11" s="30" t="s">
        <v>15</v>
      </c>
      <c r="C11" s="30" t="s">
        <v>32</v>
      </c>
      <c r="D11" s="996"/>
      <c r="E11" s="996"/>
      <c r="F11" s="99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33</v>
      </c>
      <c r="E95" s="21" t="s">
        <v>19</v>
      </c>
      <c r="F95" s="21" t="s">
        <v>19</v>
      </c>
      <c r="G95" s="27">
        <f ca="1">SUM(G14:G94)</f>
        <v>221612799</v>
      </c>
      <c r="H95" s="27">
        <f ca="1">SUM(H14:H94)</f>
        <v>319378389</v>
      </c>
      <c r="I95" s="27" t="s">
        <v>19</v>
      </c>
      <c r="J95" s="27" t="s">
        <v>19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19</v>
      </c>
      <c r="F96" s="21" t="s">
        <v>19</v>
      </c>
      <c r="G96" s="27" t="s">
        <v>19</v>
      </c>
      <c r="H96" s="27" t="s">
        <v>19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152</v>
      </c>
      <c r="B98" s="19"/>
      <c r="C98" s="19"/>
      <c r="E98" s="19"/>
      <c r="K98" s="28" t="s">
        <v>152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34</v>
      </c>
    </row>
    <row r="100" spans="1:11" s="18" customFormat="1" ht="14.25" customHeight="1">
      <c r="B100" s="19"/>
      <c r="C100" s="19"/>
      <c r="E100" s="985" t="str">
        <f ca="1">"Ngày 31 tháng  12  năm  "&amp;YEAR($A$14)</f>
        <v>Ngày 31 tháng  12  năm  2011</v>
      </c>
      <c r="F100" s="985"/>
      <c r="G100" s="985"/>
      <c r="H100" s="985"/>
      <c r="I100" s="985"/>
      <c r="J100" s="985"/>
    </row>
    <row r="101" spans="1:11" s="18" customFormat="1" ht="14.25" customHeight="1">
      <c r="C101" s="214" t="s">
        <v>11</v>
      </c>
      <c r="E101" s="985" t="s">
        <v>12</v>
      </c>
      <c r="F101" s="985"/>
      <c r="G101" s="985"/>
      <c r="H101" s="985"/>
      <c r="I101" s="985"/>
      <c r="J101" s="985"/>
    </row>
    <row r="102" spans="1:11" s="18" customFormat="1" ht="14.25" customHeight="1">
      <c r="C102" s="214" t="s">
        <v>13</v>
      </c>
      <c r="E102" s="985" t="s">
        <v>13</v>
      </c>
      <c r="F102" s="985"/>
      <c r="G102" s="985"/>
      <c r="H102" s="985"/>
      <c r="I102" s="985"/>
      <c r="J102" s="985"/>
    </row>
    <row r="103" spans="1:11" s="29" customFormat="1"/>
    <row r="109" spans="1:11" ht="15">
      <c r="C109" s="225" t="s">
        <v>151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9" customWidth="1"/>
    <col min="2" max="2" width="7" style="269" customWidth="1"/>
    <col min="3" max="3" width="9.140625" style="269"/>
    <col min="4" max="4" width="40.140625" style="269" customWidth="1"/>
    <col min="5" max="5" width="6.5703125" style="269" customWidth="1"/>
    <col min="6" max="8" width="10" style="269" customWidth="1"/>
    <col min="9" max="9" width="13.7109375" style="269" customWidth="1"/>
    <col min="10" max="10" width="10" style="269" customWidth="1"/>
    <col min="11" max="11" width="8.7109375" style="269" customWidth="1"/>
    <col min="12" max="12" width="15" style="269" customWidth="1"/>
    <col min="13" max="13" width="10" style="269" customWidth="1"/>
    <col min="14" max="14" width="9.42578125" style="269" customWidth="1"/>
    <col min="15" max="16384" width="9.140625" style="269"/>
  </cols>
  <sheetData>
    <row r="2" spans="1:14">
      <c r="A2" s="933" t="str">
        <f>TH!$A$1</f>
        <v>Đơn vị: CÔNG TY TNHH SX TM KIM DUNG PHÁT</v>
      </c>
      <c r="C2" s="270"/>
      <c r="F2" s="271"/>
      <c r="G2" s="271"/>
      <c r="H2" s="271"/>
      <c r="I2" s="271"/>
      <c r="J2" s="1037" t="s">
        <v>185</v>
      </c>
      <c r="K2" s="1037"/>
      <c r="L2" s="1037"/>
      <c r="M2" s="1037"/>
      <c r="N2" s="271"/>
    </row>
    <row r="3" spans="1:14">
      <c r="A3" s="934" t="str">
        <f>TH!$A$2</f>
        <v>Địa chỉ: 1A227/1 Ấp 1, Phạm Văn Hai, Bình Chánh, TPHCM</v>
      </c>
      <c r="C3" s="270"/>
      <c r="F3" s="272"/>
      <c r="G3" s="272"/>
      <c r="H3" s="272"/>
      <c r="I3" s="272"/>
      <c r="J3" s="1045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5"/>
      <c r="L3" s="1045"/>
      <c r="M3" s="1045"/>
      <c r="N3" s="272"/>
    </row>
    <row r="4" spans="1:14">
      <c r="F4" s="272"/>
      <c r="G4" s="272"/>
      <c r="H4" s="272"/>
      <c r="I4" s="272"/>
      <c r="J4" s="1045"/>
      <c r="K4" s="1045"/>
      <c r="L4" s="1045"/>
      <c r="M4" s="1045"/>
      <c r="N4" s="272"/>
    </row>
    <row r="5" spans="1:14" s="273" customFormat="1" ht="23.25" customHeight="1">
      <c r="A5" s="1036" t="s">
        <v>186</v>
      </c>
      <c r="B5" s="1036"/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M5" s="1036"/>
      <c r="N5" s="1036"/>
    </row>
    <row r="6" spans="1:14">
      <c r="A6" s="1037" t="s">
        <v>1468</v>
      </c>
      <c r="B6" s="1037" t="s">
        <v>187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M6" s="1037"/>
      <c r="N6" s="1037"/>
    </row>
    <row r="7" spans="1:14">
      <c r="C7" s="1038"/>
      <c r="D7" s="1038"/>
      <c r="E7" s="1038"/>
      <c r="F7" s="1038"/>
      <c r="G7" s="1038"/>
      <c r="H7" s="1038"/>
      <c r="I7" s="1038"/>
      <c r="J7" s="1038"/>
      <c r="K7" s="1038"/>
      <c r="L7" s="1038"/>
      <c r="M7" s="1038"/>
      <c r="N7" s="1038"/>
    </row>
    <row r="8" spans="1:14" ht="15.75" customHeight="1">
      <c r="A8" s="1039" t="s">
        <v>20</v>
      </c>
      <c r="B8" s="1040" t="s">
        <v>1</v>
      </c>
      <c r="C8" s="1041"/>
      <c r="D8" s="1039" t="s">
        <v>0</v>
      </c>
      <c r="E8" s="1039" t="s">
        <v>14</v>
      </c>
      <c r="F8" s="1044" t="s">
        <v>21</v>
      </c>
      <c r="G8" s="1044"/>
      <c r="H8" s="1044"/>
      <c r="I8" s="1044"/>
      <c r="J8" s="1044"/>
      <c r="K8" s="1044"/>
      <c r="L8" s="1044" t="s">
        <v>31</v>
      </c>
      <c r="M8" s="1044"/>
      <c r="N8" s="1044"/>
    </row>
    <row r="9" spans="1:14" ht="15.75" customHeight="1">
      <c r="A9" s="1039"/>
      <c r="B9" s="1042"/>
      <c r="C9" s="1043"/>
      <c r="D9" s="1039"/>
      <c r="E9" s="1039"/>
      <c r="F9" s="1044" t="s">
        <v>188</v>
      </c>
      <c r="G9" s="1044"/>
      <c r="H9" s="1044"/>
      <c r="I9" s="1044" t="s">
        <v>189</v>
      </c>
      <c r="J9" s="1044"/>
      <c r="K9" s="1044"/>
      <c r="L9" s="1039" t="s">
        <v>190</v>
      </c>
      <c r="M9" s="1039" t="s">
        <v>191</v>
      </c>
      <c r="N9" s="1039" t="s">
        <v>192</v>
      </c>
    </row>
    <row r="10" spans="1:14" ht="15.75" customHeight="1">
      <c r="A10" s="1039"/>
      <c r="B10" s="1047" t="s">
        <v>15</v>
      </c>
      <c r="C10" s="1047" t="s">
        <v>32</v>
      </c>
      <c r="D10" s="1039"/>
      <c r="E10" s="1039"/>
      <c r="F10" s="1049" t="s">
        <v>190</v>
      </c>
      <c r="G10" s="1049" t="s">
        <v>191</v>
      </c>
      <c r="H10" s="1049" t="s">
        <v>192</v>
      </c>
      <c r="I10" s="1049" t="s">
        <v>190</v>
      </c>
      <c r="J10" s="1049" t="s">
        <v>191</v>
      </c>
      <c r="K10" s="1049" t="s">
        <v>192</v>
      </c>
      <c r="L10" s="1046"/>
      <c r="M10" s="1046"/>
      <c r="N10" s="1046"/>
    </row>
    <row r="11" spans="1:14">
      <c r="A11" s="1039"/>
      <c r="B11" s="1048"/>
      <c r="C11" s="1048"/>
      <c r="D11" s="1039"/>
      <c r="E11" s="1039"/>
      <c r="F11" s="1050"/>
      <c r="G11" s="1050"/>
      <c r="H11" s="1050"/>
      <c r="I11" s="1050"/>
      <c r="J11" s="1050"/>
      <c r="K11" s="1050"/>
      <c r="L11" s="1046"/>
      <c r="M11" s="1046"/>
      <c r="N11" s="1046"/>
    </row>
    <row r="12" spans="1:14" s="272" customFormat="1">
      <c r="A12" s="274" t="s">
        <v>2</v>
      </c>
      <c r="B12" s="275" t="s">
        <v>3</v>
      </c>
      <c r="C12" s="274" t="s">
        <v>4</v>
      </c>
      <c r="D12" s="274" t="s">
        <v>5</v>
      </c>
      <c r="E12" s="274" t="s">
        <v>6</v>
      </c>
      <c r="F12" s="274">
        <v>1</v>
      </c>
      <c r="G12" s="274"/>
      <c r="H12" s="274"/>
      <c r="I12" s="274"/>
      <c r="J12" s="274"/>
      <c r="K12" s="274"/>
      <c r="L12" s="274"/>
      <c r="M12" s="274"/>
      <c r="N12" s="274"/>
    </row>
    <row r="13" spans="1:14">
      <c r="A13" s="276"/>
      <c r="B13" s="276"/>
      <c r="C13" s="938"/>
      <c r="D13" s="277" t="s">
        <v>7</v>
      </c>
      <c r="E13" s="276"/>
      <c r="F13" s="276"/>
      <c r="G13" s="276"/>
      <c r="H13" s="276"/>
      <c r="I13" s="276"/>
      <c r="J13" s="276"/>
      <c r="K13" s="276"/>
      <c r="L13" s="278">
        <f>CDPS!$D$47</f>
        <v>0</v>
      </c>
      <c r="M13" s="276"/>
      <c r="N13" s="276"/>
    </row>
    <row r="14" spans="1:14">
      <c r="A14" s="937">
        <v>40634</v>
      </c>
      <c r="B14" s="765" t="s">
        <v>455</v>
      </c>
      <c r="C14" s="937">
        <v>40634</v>
      </c>
      <c r="D14" s="279" t="s">
        <v>840</v>
      </c>
      <c r="E14" s="765" t="s">
        <v>47</v>
      </c>
      <c r="F14" s="279"/>
      <c r="G14" s="279"/>
      <c r="H14" s="279"/>
      <c r="I14" s="355">
        <v>1700000000</v>
      </c>
      <c r="J14" s="279"/>
      <c r="K14" s="279"/>
      <c r="L14" s="768">
        <f>L13+I14-G14</f>
        <v>1700000000</v>
      </c>
      <c r="M14" s="279"/>
      <c r="N14" s="279"/>
    </row>
    <row r="15" spans="1:14">
      <c r="A15" s="937">
        <v>40634</v>
      </c>
      <c r="B15" s="765" t="s">
        <v>456</v>
      </c>
      <c r="C15" s="937">
        <v>40634</v>
      </c>
      <c r="D15" s="280" t="s">
        <v>841</v>
      </c>
      <c r="E15" s="766" t="s">
        <v>47</v>
      </c>
      <c r="F15" s="280"/>
      <c r="G15" s="280"/>
      <c r="H15" s="280"/>
      <c r="I15" s="370">
        <v>100000000</v>
      </c>
      <c r="J15" s="280"/>
      <c r="K15" s="280"/>
      <c r="L15" s="768">
        <f t="shared" ref="L15:L16" si="0">L14+I15-G15</f>
        <v>1800000000</v>
      </c>
      <c r="M15" s="280"/>
      <c r="N15" s="280"/>
    </row>
    <row r="16" spans="1:14">
      <c r="A16" s="937">
        <v>40634</v>
      </c>
      <c r="B16" s="765" t="s">
        <v>683</v>
      </c>
      <c r="C16" s="937">
        <v>40634</v>
      </c>
      <c r="D16" s="280" t="s">
        <v>842</v>
      </c>
      <c r="E16" s="766" t="s">
        <v>47</v>
      </c>
      <c r="F16" s="280"/>
      <c r="G16" s="280"/>
      <c r="H16" s="280"/>
      <c r="I16" s="370">
        <v>100000000</v>
      </c>
      <c r="J16" s="280"/>
      <c r="K16" s="280"/>
      <c r="L16" s="768">
        <f t="shared" si="0"/>
        <v>1900000000</v>
      </c>
      <c r="M16" s="280"/>
      <c r="N16" s="280"/>
    </row>
    <row r="17" spans="1:14">
      <c r="A17" s="765"/>
      <c r="B17" s="279"/>
      <c r="C17" s="765"/>
      <c r="D17" s="280"/>
      <c r="E17" s="280"/>
      <c r="F17" s="280"/>
      <c r="G17" s="280"/>
      <c r="H17" s="280"/>
      <c r="I17" s="280"/>
      <c r="J17" s="280"/>
      <c r="K17" s="280"/>
      <c r="L17" s="280"/>
      <c r="M17" s="280"/>
      <c r="N17" s="280"/>
    </row>
    <row r="18" spans="1:14">
      <c r="A18" s="765"/>
      <c r="B18" s="279"/>
      <c r="C18" s="765"/>
      <c r="D18" s="281" t="s">
        <v>133</v>
      </c>
      <c r="E18" s="508" t="s">
        <v>19</v>
      </c>
      <c r="F18" s="282"/>
      <c r="G18" s="282"/>
      <c r="H18" s="282"/>
      <c r="I18" s="767">
        <f>SUM(I13:I17)</f>
        <v>1900000000</v>
      </c>
      <c r="J18" s="282"/>
      <c r="K18" s="282"/>
      <c r="L18" s="769">
        <f>L13+I18-F18</f>
        <v>1900000000</v>
      </c>
      <c r="M18" s="282"/>
      <c r="N18" s="282"/>
    </row>
    <row r="19" spans="1:14">
      <c r="A19" s="283"/>
      <c r="B19" s="283"/>
      <c r="C19" s="283"/>
      <c r="D19" s="284" t="s">
        <v>10</v>
      </c>
      <c r="E19" s="509" t="s">
        <v>19</v>
      </c>
      <c r="F19" s="283"/>
      <c r="G19" s="283"/>
      <c r="H19" s="283"/>
      <c r="I19" s="283"/>
      <c r="J19" s="283"/>
      <c r="K19" s="283"/>
      <c r="L19" s="285">
        <f>L13+L18</f>
        <v>1900000000</v>
      </c>
      <c r="M19" s="283"/>
      <c r="N19" s="283"/>
    </row>
    <row r="21" spans="1:14">
      <c r="C21" s="286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7"/>
      <c r="C23" s="287"/>
      <c r="D23" s="287"/>
      <c r="E23" s="1035" t="str">
        <f>"Ngày 31 tháng  12  năm  "&amp;YEAR($A$14)</f>
        <v>Ngày 31 tháng  12  năm  2011</v>
      </c>
      <c r="F23" s="1035"/>
      <c r="G23" s="1035"/>
      <c r="H23" s="1035"/>
      <c r="I23" s="1035"/>
      <c r="J23" s="1035"/>
      <c r="K23" s="1035"/>
      <c r="L23" s="1035"/>
      <c r="M23" s="1035"/>
      <c r="N23" s="1035"/>
    </row>
    <row r="24" spans="1:14">
      <c r="A24" s="1035" t="s">
        <v>11</v>
      </c>
      <c r="B24" s="1035"/>
      <c r="C24" s="1035"/>
      <c r="D24" s="1035"/>
      <c r="E24" s="1035" t="s">
        <v>12</v>
      </c>
      <c r="F24" s="1035"/>
      <c r="G24" s="1035"/>
      <c r="H24" s="1035"/>
      <c r="I24" s="1035"/>
      <c r="J24" s="1035"/>
      <c r="K24" s="1035"/>
      <c r="L24" s="1035"/>
      <c r="M24" s="1035"/>
      <c r="N24" s="1035"/>
    </row>
    <row r="25" spans="1:14">
      <c r="A25" s="1035" t="s">
        <v>13</v>
      </c>
      <c r="B25" s="1035"/>
      <c r="C25" s="1035"/>
      <c r="D25" s="1035"/>
      <c r="E25" s="1035" t="s">
        <v>13</v>
      </c>
      <c r="F25" s="1035"/>
      <c r="G25" s="1035"/>
      <c r="H25" s="1035"/>
      <c r="I25" s="1035"/>
      <c r="J25" s="1035"/>
      <c r="K25" s="1035"/>
      <c r="L25" s="1035"/>
      <c r="M25" s="1035"/>
      <c r="N25" s="1035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93" customWidth="1"/>
    <col min="2" max="2" width="3.42578125" style="293" customWidth="1"/>
    <col min="3" max="3" width="34" style="293" customWidth="1"/>
    <col min="4" max="4" width="7.7109375" style="296" customWidth="1"/>
    <col min="5" max="5" width="6.7109375" style="314" customWidth="1"/>
    <col min="6" max="6" width="7.5703125" style="314" customWidth="1"/>
    <col min="7" max="7" width="8" style="298" customWidth="1"/>
    <col min="8" max="8" width="12.140625" style="298" customWidth="1"/>
    <col min="9" max="9" width="7.85546875" style="298" customWidth="1"/>
    <col min="10" max="10" width="11.7109375" style="298" customWidth="1"/>
    <col min="11" max="11" width="5.140625" style="298" customWidth="1"/>
    <col min="12" max="12" width="9.5703125" style="298" customWidth="1"/>
    <col min="13" max="13" width="9" style="293" customWidth="1"/>
    <col min="14" max="14" width="11.140625" style="298" bestFit="1" customWidth="1"/>
    <col min="15" max="16384" width="9.140625" style="293"/>
  </cols>
  <sheetData>
    <row r="1" spans="1:14" s="268" customFormat="1" ht="14.25" customHeight="1">
      <c r="B1" s="933" t="str">
        <f>TH!$A$1</f>
        <v>Đơn vị: CÔNG TY TNHH SX TM KIM DUNG PHÁT</v>
      </c>
      <c r="C1" s="288"/>
      <c r="D1" s="288"/>
      <c r="E1" s="288"/>
      <c r="F1" s="289"/>
      <c r="G1" s="289"/>
      <c r="H1" s="1028" t="s">
        <v>194</v>
      </c>
      <c r="I1" s="1028"/>
      <c r="J1" s="1028"/>
      <c r="K1" s="1028"/>
      <c r="L1" s="1028"/>
      <c r="M1" s="770"/>
      <c r="N1" s="771"/>
    </row>
    <row r="2" spans="1:14" s="268" customFormat="1" ht="14.25" customHeight="1">
      <c r="B2" s="934" t="str">
        <f>TH!$A$2</f>
        <v>Địa chỉ: 1A227/1 Ấp 1, Phạm Văn Hai, Bình Chánh, TPHCM</v>
      </c>
      <c r="C2" s="290"/>
      <c r="D2" s="290"/>
      <c r="E2" s="290"/>
      <c r="F2" s="290"/>
      <c r="G2" s="290"/>
      <c r="H2" s="1029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29"/>
      <c r="J2" s="1029"/>
      <c r="K2" s="1029"/>
      <c r="L2" s="1029"/>
      <c r="M2" s="776"/>
      <c r="N2" s="771"/>
    </row>
    <row r="3" spans="1:14" s="268" customFormat="1" ht="14.25" customHeight="1">
      <c r="B3" s="290"/>
      <c r="C3" s="290"/>
      <c r="D3" s="290"/>
      <c r="E3" s="290"/>
      <c r="F3" s="290"/>
      <c r="G3" s="290"/>
      <c r="H3" s="1029"/>
      <c r="I3" s="1029"/>
      <c r="J3" s="1029"/>
      <c r="K3" s="1029"/>
      <c r="L3" s="1029"/>
      <c r="M3" s="777"/>
      <c r="N3" s="771"/>
    </row>
    <row r="4" spans="1:14" s="291" customFormat="1" ht="27.75" customHeight="1">
      <c r="B4" s="1059" t="s">
        <v>195</v>
      </c>
      <c r="C4" s="1059"/>
      <c r="D4" s="1059"/>
      <c r="E4" s="1059"/>
      <c r="F4" s="1059"/>
      <c r="G4" s="1059"/>
      <c r="H4" s="1059"/>
      <c r="I4" s="1059"/>
      <c r="J4" s="1059"/>
      <c r="K4" s="1059"/>
      <c r="L4" s="1059"/>
      <c r="N4" s="772"/>
    </row>
    <row r="5" spans="1:14" s="291" customFormat="1" ht="15" customHeight="1">
      <c r="B5" s="1058" t="s">
        <v>196</v>
      </c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N5" s="772"/>
    </row>
    <row r="6" spans="1:14" s="291" customFormat="1" ht="12.75" hidden="1" customHeight="1">
      <c r="B6" s="1058" t="s">
        <v>197</v>
      </c>
      <c r="C6" s="1058"/>
      <c r="D6" s="1058"/>
      <c r="E6" s="1058"/>
      <c r="F6" s="1058"/>
      <c r="G6" s="1058"/>
      <c r="H6" s="1058"/>
      <c r="I6" s="1058"/>
      <c r="J6" s="1058"/>
      <c r="K6" s="1058"/>
      <c r="L6" s="1058"/>
      <c r="N6" s="772"/>
    </row>
    <row r="7" spans="1:14" s="292" customFormat="1" ht="24" hidden="1" customHeight="1">
      <c r="C7" s="1051" t="s">
        <v>198</v>
      </c>
      <c r="D7" s="1051"/>
      <c r="E7" s="1051"/>
      <c r="F7" s="1051"/>
      <c r="G7" s="1051"/>
      <c r="H7" s="1051"/>
      <c r="I7" s="1051"/>
      <c r="J7" s="1051"/>
      <c r="K7" s="1051"/>
      <c r="L7" s="1051"/>
      <c r="N7" s="773"/>
    </row>
    <row r="8" spans="1:14" ht="20.25" customHeight="1">
      <c r="B8" s="1052" t="s">
        <v>35</v>
      </c>
      <c r="C8" s="1053" t="s">
        <v>199</v>
      </c>
      <c r="D8" s="1054" t="s">
        <v>200</v>
      </c>
      <c r="E8" s="1056" t="s">
        <v>139</v>
      </c>
      <c r="F8" s="1056"/>
      <c r="G8" s="1056"/>
      <c r="H8" s="1056"/>
      <c r="I8" s="1056"/>
      <c r="J8" s="1056"/>
      <c r="K8" s="1056"/>
      <c r="L8" s="1056"/>
    </row>
    <row r="9" spans="1:14" ht="20.25" customHeight="1">
      <c r="B9" s="1052"/>
      <c r="C9" s="1053"/>
      <c r="D9" s="1055"/>
      <c r="E9" s="1056" t="s">
        <v>201</v>
      </c>
      <c r="F9" s="1056"/>
      <c r="G9" s="1057" t="s">
        <v>202</v>
      </c>
      <c r="H9" s="1057"/>
      <c r="I9" s="1057" t="s">
        <v>203</v>
      </c>
      <c r="J9" s="1057"/>
      <c r="K9" s="1057" t="s">
        <v>204</v>
      </c>
      <c r="L9" s="1057"/>
    </row>
    <row r="10" spans="1:14" ht="20.25" hidden="1" customHeight="1">
      <c r="B10" s="1052"/>
      <c r="C10" s="1053"/>
      <c r="D10" s="294"/>
      <c r="E10" s="295" t="s">
        <v>205</v>
      </c>
      <c r="F10" s="295" t="s">
        <v>206</v>
      </c>
      <c r="G10" s="295" t="s">
        <v>205</v>
      </c>
      <c r="H10" s="295" t="s">
        <v>206</v>
      </c>
      <c r="I10" s="295" t="s">
        <v>205</v>
      </c>
      <c r="J10" s="295" t="s">
        <v>206</v>
      </c>
      <c r="K10" s="295" t="s">
        <v>205</v>
      </c>
      <c r="L10" s="295" t="s">
        <v>206</v>
      </c>
    </row>
    <row r="11" spans="1:14" s="296" customFormat="1">
      <c r="B11" s="297" t="s">
        <v>2</v>
      </c>
      <c r="C11" s="294" t="s">
        <v>3</v>
      </c>
      <c r="D11" s="294"/>
      <c r="E11" s="295">
        <v>1</v>
      </c>
      <c r="F11" s="295">
        <v>1</v>
      </c>
      <c r="G11" s="295">
        <v>2</v>
      </c>
      <c r="H11" s="295">
        <v>2</v>
      </c>
      <c r="I11" s="295">
        <v>3</v>
      </c>
      <c r="J11" s="295">
        <v>3</v>
      </c>
      <c r="K11" s="295">
        <v>4</v>
      </c>
      <c r="L11" s="295">
        <v>4</v>
      </c>
      <c r="N11" s="774"/>
    </row>
    <row r="12" spans="1:14" ht="18" customHeight="1">
      <c r="A12" s="298" t="str">
        <f>IF(B12&lt;&gt;"","VL","")</f>
        <v>VL</v>
      </c>
      <c r="B12" s="299">
        <f>IF(C12&lt;&gt;"",ROW()-11,"")</f>
        <v>1</v>
      </c>
      <c r="C12" s="189" t="s">
        <v>411</v>
      </c>
      <c r="D12" s="301" t="s">
        <v>362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8"/>
    </row>
    <row r="13" spans="1:14" ht="18" customHeight="1">
      <c r="A13" s="298" t="str">
        <f>IF(B13&lt;&gt;"","VL","")</f>
        <v>VL</v>
      </c>
      <c r="B13" s="299">
        <f>IF(C13&lt;&gt;"",ROW()-11,"")</f>
        <v>2</v>
      </c>
      <c r="C13" s="189" t="s">
        <v>363</v>
      </c>
      <c r="D13" s="301" t="s">
        <v>362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8"/>
    </row>
    <row r="14" spans="1:14" ht="18" customHeight="1">
      <c r="A14" s="298" t="str">
        <f>IF(B14&lt;&gt;"","VL","")</f>
        <v>VL</v>
      </c>
      <c r="B14" s="299">
        <f>IF(C14&lt;&gt;"",ROW()-11,"")</f>
        <v>3</v>
      </c>
      <c r="C14" s="189" t="s">
        <v>498</v>
      </c>
      <c r="D14" s="301" t="s">
        <v>362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8"/>
    </row>
    <row r="15" spans="1:14" ht="18.75" customHeight="1">
      <c r="A15" s="298" t="str">
        <f>IF(B15&lt;&gt;"","VL","")</f>
        <v/>
      </c>
      <c r="B15" s="299" t="str">
        <f>IF(C15&lt;&gt;"",ROW()-11,"")</f>
        <v/>
      </c>
      <c r="C15" s="303"/>
      <c r="D15" s="304"/>
      <c r="E15" s="305"/>
      <c r="F15" s="305"/>
      <c r="G15" s="25"/>
      <c r="H15" s="305"/>
      <c r="I15" s="305"/>
      <c r="J15" s="305"/>
      <c r="K15" s="305"/>
      <c r="L15" s="305"/>
      <c r="M15" s="298"/>
    </row>
    <row r="16" spans="1:14" ht="18.75" customHeight="1">
      <c r="A16" s="298" t="str">
        <f>IF(B16&lt;&gt;"","VL","")</f>
        <v/>
      </c>
      <c r="B16" s="297"/>
      <c r="C16" s="306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8"/>
    </row>
    <row r="17" spans="1:13" ht="18.75" hidden="1" customHeight="1">
      <c r="A17" s="298"/>
      <c r="B17" s="492"/>
      <c r="C17" s="493"/>
      <c r="D17" s="494"/>
      <c r="E17" s="494">
        <f>F16-F17</f>
        <v>0</v>
      </c>
      <c r="F17" s="494">
        <f>CDPS!C21</f>
        <v>0</v>
      </c>
      <c r="G17" s="494">
        <f>H16-H17</f>
        <v>0</v>
      </c>
      <c r="H17" s="494">
        <f>CDPS!E21</f>
        <v>15142970</v>
      </c>
      <c r="I17" s="494">
        <f>J16-J17</f>
        <v>0</v>
      </c>
      <c r="J17" s="494">
        <f>CDPS!F21</f>
        <v>13892970</v>
      </c>
      <c r="K17" s="494">
        <f>L16-L17</f>
        <v>0</v>
      </c>
      <c r="L17" s="494">
        <f>CDPS!G21</f>
        <v>1250000</v>
      </c>
      <c r="M17" s="298"/>
    </row>
    <row r="18" spans="1:13" ht="18.75" customHeight="1">
      <c r="A18" s="298" t="str">
        <f t="shared" ref="A18:A50" si="2">IF(B18&lt;&gt;"","NL","")</f>
        <v>NL</v>
      </c>
      <c r="B18" s="491">
        <f>IF(C18&lt;&gt;"",ROW()-(ROW()-1),"")</f>
        <v>1</v>
      </c>
      <c r="C18" s="300" t="s">
        <v>402</v>
      </c>
      <c r="D18" s="301" t="s">
        <v>406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8"/>
    </row>
    <row r="19" spans="1:13" ht="18.75" customHeight="1">
      <c r="A19" s="298" t="str">
        <f t="shared" si="2"/>
        <v>NL</v>
      </c>
      <c r="B19" s="299">
        <f t="shared" ref="B19:B51" si="5">IF(C19&lt;&gt;"",B18+1,"")</f>
        <v>2</v>
      </c>
      <c r="C19" s="302" t="s">
        <v>404</v>
      </c>
      <c r="D19" s="301" t="s">
        <v>406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8"/>
    </row>
    <row r="20" spans="1:13" ht="18.75" customHeight="1">
      <c r="A20" s="298" t="str">
        <f t="shared" si="2"/>
        <v>NL</v>
      </c>
      <c r="B20" s="299">
        <f t="shared" si="5"/>
        <v>3</v>
      </c>
      <c r="C20" s="302" t="s">
        <v>405</v>
      </c>
      <c r="D20" s="301" t="s">
        <v>406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8"/>
    </row>
    <row r="21" spans="1:13" ht="18.75" customHeight="1">
      <c r="A21" s="298" t="str">
        <f t="shared" si="2"/>
        <v>NL</v>
      </c>
      <c r="B21" s="829">
        <f t="shared" si="5"/>
        <v>4</v>
      </c>
      <c r="C21" s="302" t="s">
        <v>1456</v>
      </c>
      <c r="D21" s="301" t="s">
        <v>406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8"/>
    </row>
    <row r="22" spans="1:13" ht="18" customHeight="1">
      <c r="A22" s="298" t="str">
        <f t="shared" si="2"/>
        <v>NL</v>
      </c>
      <c r="B22" s="829">
        <f t="shared" si="5"/>
        <v>5</v>
      </c>
      <c r="C22" s="189" t="s">
        <v>408</v>
      </c>
      <c r="D22" s="301" t="s">
        <v>406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8"/>
    </row>
    <row r="23" spans="1:13" ht="18" customHeight="1">
      <c r="A23" s="298" t="str">
        <f t="shared" si="2"/>
        <v>NL</v>
      </c>
      <c r="B23" s="829">
        <f t="shared" si="5"/>
        <v>6</v>
      </c>
      <c r="C23" s="189" t="s">
        <v>410</v>
      </c>
      <c r="D23" s="301" t="s">
        <v>406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8"/>
    </row>
    <row r="24" spans="1:13" ht="18" customHeight="1">
      <c r="A24" s="298" t="str">
        <f t="shared" si="2"/>
        <v>NL</v>
      </c>
      <c r="B24" s="299">
        <f t="shared" si="5"/>
        <v>7</v>
      </c>
      <c r="C24" s="189" t="s">
        <v>422</v>
      </c>
      <c r="D24" s="301" t="s">
        <v>406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8"/>
    </row>
    <row r="25" spans="1:13" ht="18" customHeight="1">
      <c r="A25" s="298" t="str">
        <f t="shared" si="2"/>
        <v>NL</v>
      </c>
      <c r="B25" s="299">
        <f t="shared" si="5"/>
        <v>8</v>
      </c>
      <c r="C25" s="189" t="s">
        <v>423</v>
      </c>
      <c r="D25" s="301" t="s">
        <v>406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8"/>
    </row>
    <row r="26" spans="1:13" ht="18" customHeight="1">
      <c r="A26" s="298" t="str">
        <f t="shared" si="2"/>
        <v>NL</v>
      </c>
      <c r="B26" s="299">
        <f t="shared" si="5"/>
        <v>9</v>
      </c>
      <c r="C26" s="189" t="s">
        <v>424</v>
      </c>
      <c r="D26" s="301" t="s">
        <v>406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8"/>
    </row>
    <row r="27" spans="1:13" ht="18" customHeight="1">
      <c r="A27" s="298" t="str">
        <f t="shared" si="2"/>
        <v>NL</v>
      </c>
      <c r="B27" s="299">
        <f t="shared" si="5"/>
        <v>10</v>
      </c>
      <c r="C27" s="189" t="s">
        <v>425</v>
      </c>
      <c r="D27" s="301" t="s">
        <v>406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8"/>
    </row>
    <row r="28" spans="1:13" ht="18" customHeight="1">
      <c r="A28" s="298" t="str">
        <f t="shared" si="2"/>
        <v>NL</v>
      </c>
      <c r="B28" s="299">
        <f t="shared" si="5"/>
        <v>11</v>
      </c>
      <c r="C28" s="302" t="s">
        <v>501</v>
      </c>
      <c r="D28" s="301" t="s">
        <v>406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8"/>
    </row>
    <row r="29" spans="1:13" ht="18" customHeight="1">
      <c r="A29" s="298" t="str">
        <f t="shared" si="2"/>
        <v>NL</v>
      </c>
      <c r="B29" s="299">
        <f t="shared" si="5"/>
        <v>12</v>
      </c>
      <c r="C29" s="302" t="s">
        <v>502</v>
      </c>
      <c r="D29" s="301" t="s">
        <v>406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8"/>
    </row>
    <row r="30" spans="1:13" ht="18" customHeight="1">
      <c r="A30" s="298" t="str">
        <f t="shared" si="2"/>
        <v>NL</v>
      </c>
      <c r="B30" s="299">
        <f t="shared" si="5"/>
        <v>13</v>
      </c>
      <c r="C30" s="302" t="s">
        <v>503</v>
      </c>
      <c r="D30" s="301" t="s">
        <v>406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8"/>
    </row>
    <row r="31" spans="1:13" ht="18" customHeight="1">
      <c r="A31" s="298" t="str">
        <f t="shared" si="2"/>
        <v>NL</v>
      </c>
      <c r="B31" s="299">
        <f t="shared" si="5"/>
        <v>14</v>
      </c>
      <c r="C31" s="302" t="s">
        <v>504</v>
      </c>
      <c r="D31" s="301" t="s">
        <v>406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8"/>
    </row>
    <row r="32" spans="1:13" ht="18" customHeight="1">
      <c r="A32" s="298" t="str">
        <f t="shared" si="2"/>
        <v>NL</v>
      </c>
      <c r="B32" s="299">
        <f t="shared" si="5"/>
        <v>15</v>
      </c>
      <c r="C32" s="302" t="s">
        <v>505</v>
      </c>
      <c r="D32" s="301" t="s">
        <v>406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8"/>
    </row>
    <row r="33" spans="1:13" ht="18" customHeight="1">
      <c r="A33" s="298" t="str">
        <f t="shared" si="2"/>
        <v>NL</v>
      </c>
      <c r="B33" s="299">
        <f t="shared" si="5"/>
        <v>16</v>
      </c>
      <c r="C33" s="302" t="s">
        <v>506</v>
      </c>
      <c r="D33" s="301" t="s">
        <v>406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8"/>
    </row>
    <row r="34" spans="1:13" ht="18" customHeight="1">
      <c r="A34" s="298" t="str">
        <f t="shared" si="2"/>
        <v>NL</v>
      </c>
      <c r="B34" s="299">
        <f t="shared" si="5"/>
        <v>17</v>
      </c>
      <c r="C34" s="189" t="s">
        <v>507</v>
      </c>
      <c r="D34" s="301" t="s">
        <v>406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8"/>
    </row>
    <row r="35" spans="1:13" ht="18" customHeight="1">
      <c r="A35" s="298" t="str">
        <f t="shared" si="2"/>
        <v>NL</v>
      </c>
      <c r="B35" s="299">
        <f t="shared" si="5"/>
        <v>18</v>
      </c>
      <c r="C35" s="189" t="s">
        <v>508</v>
      </c>
      <c r="D35" s="301" t="s">
        <v>406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8"/>
    </row>
    <row r="36" spans="1:13" ht="18" customHeight="1">
      <c r="A36" s="298" t="str">
        <f t="shared" si="2"/>
        <v>NL</v>
      </c>
      <c r="B36" s="299">
        <f t="shared" si="5"/>
        <v>19</v>
      </c>
      <c r="C36" s="189" t="s">
        <v>511</v>
      </c>
      <c r="D36" s="301" t="s">
        <v>406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8"/>
    </row>
    <row r="37" spans="1:13" ht="18" customHeight="1">
      <c r="A37" s="298" t="str">
        <f t="shared" si="2"/>
        <v>NL</v>
      </c>
      <c r="B37" s="299">
        <f t="shared" si="5"/>
        <v>20</v>
      </c>
      <c r="C37" s="189" t="s">
        <v>512</v>
      </c>
      <c r="D37" s="301" t="s">
        <v>406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8"/>
    </row>
    <row r="38" spans="1:13" ht="18" customHeight="1">
      <c r="A38" s="298" t="str">
        <f t="shared" si="2"/>
        <v>NL</v>
      </c>
      <c r="B38" s="299">
        <f t="shared" si="5"/>
        <v>21</v>
      </c>
      <c r="C38" s="189" t="s">
        <v>513</v>
      </c>
      <c r="D38" s="301" t="s">
        <v>406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8"/>
    </row>
    <row r="39" spans="1:13" ht="18" customHeight="1">
      <c r="A39" s="298" t="str">
        <f t="shared" si="2"/>
        <v>NL</v>
      </c>
      <c r="B39" s="299">
        <f t="shared" si="5"/>
        <v>22</v>
      </c>
      <c r="C39" s="189" t="s">
        <v>514</v>
      </c>
      <c r="D39" s="301" t="s">
        <v>406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8"/>
    </row>
    <row r="40" spans="1:13" ht="18" customHeight="1">
      <c r="A40" s="298" t="str">
        <f t="shared" si="2"/>
        <v>NL</v>
      </c>
      <c r="B40" s="299">
        <f t="shared" si="5"/>
        <v>23</v>
      </c>
      <c r="C40" s="189" t="s">
        <v>515</v>
      </c>
      <c r="D40" s="301" t="s">
        <v>406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8"/>
    </row>
    <row r="41" spans="1:13" ht="18" customHeight="1">
      <c r="A41" s="298" t="str">
        <f t="shared" si="2"/>
        <v>NL</v>
      </c>
      <c r="B41" s="299">
        <f t="shared" si="5"/>
        <v>24</v>
      </c>
      <c r="C41" s="189" t="s">
        <v>516</v>
      </c>
      <c r="D41" s="301" t="s">
        <v>406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8"/>
    </row>
    <row r="42" spans="1:13" ht="18" customHeight="1">
      <c r="A42" s="298" t="str">
        <f t="shared" si="2"/>
        <v>NL</v>
      </c>
      <c r="B42" s="299">
        <f t="shared" si="5"/>
        <v>25</v>
      </c>
      <c r="C42" s="189" t="s">
        <v>517</v>
      </c>
      <c r="D42" s="301" t="s">
        <v>406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8"/>
    </row>
    <row r="43" spans="1:13" ht="18" customHeight="1">
      <c r="A43" s="298" t="str">
        <f t="shared" si="2"/>
        <v>NL</v>
      </c>
      <c r="B43" s="299">
        <f t="shared" si="5"/>
        <v>26</v>
      </c>
      <c r="C43" s="189" t="s">
        <v>518</v>
      </c>
      <c r="D43" s="301" t="s">
        <v>406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8"/>
    </row>
    <row r="44" spans="1:13" ht="18" customHeight="1">
      <c r="A44" s="298" t="str">
        <f t="shared" si="2"/>
        <v>NL</v>
      </c>
      <c r="B44" s="299">
        <f t="shared" si="5"/>
        <v>27</v>
      </c>
      <c r="C44" s="189" t="s">
        <v>520</v>
      </c>
      <c r="D44" s="301" t="s">
        <v>406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8"/>
    </row>
    <row r="45" spans="1:13" ht="18" customHeight="1">
      <c r="A45" s="298" t="str">
        <f t="shared" si="2"/>
        <v>NL</v>
      </c>
      <c r="B45" s="299">
        <f t="shared" si="5"/>
        <v>28</v>
      </c>
      <c r="C45" s="189" t="s">
        <v>519</v>
      </c>
      <c r="D45" s="301" t="s">
        <v>406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8"/>
    </row>
    <row r="46" spans="1:13" ht="18" customHeight="1">
      <c r="A46" s="298" t="str">
        <f t="shared" si="2"/>
        <v>NL</v>
      </c>
      <c r="B46" s="299">
        <f t="shared" si="5"/>
        <v>29</v>
      </c>
      <c r="C46" s="189" t="s">
        <v>524</v>
      </c>
      <c r="D46" s="301" t="s">
        <v>406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8"/>
    </row>
    <row r="47" spans="1:13" ht="18" customHeight="1">
      <c r="A47" s="298" t="str">
        <f t="shared" si="2"/>
        <v>NL</v>
      </c>
      <c r="B47" s="299">
        <f t="shared" si="5"/>
        <v>30</v>
      </c>
      <c r="C47" s="189" t="s">
        <v>525</v>
      </c>
      <c r="D47" s="301" t="s">
        <v>406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8"/>
    </row>
    <row r="48" spans="1:13" ht="18" customHeight="1">
      <c r="A48" s="298" t="str">
        <f t="shared" si="2"/>
        <v>NL</v>
      </c>
      <c r="B48" s="299">
        <f t="shared" si="5"/>
        <v>31</v>
      </c>
      <c r="C48" s="189" t="s">
        <v>526</v>
      </c>
      <c r="D48" s="301" t="s">
        <v>406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8"/>
    </row>
    <row r="49" spans="1:13" ht="18" customHeight="1">
      <c r="A49" s="298" t="str">
        <f t="shared" si="2"/>
        <v>NL</v>
      </c>
      <c r="B49" s="299">
        <f t="shared" si="5"/>
        <v>32</v>
      </c>
      <c r="C49" s="189" t="s">
        <v>530</v>
      </c>
      <c r="D49" s="301" t="s">
        <v>406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8"/>
    </row>
    <row r="50" spans="1:13" ht="18" customHeight="1">
      <c r="A50" s="298" t="str">
        <f t="shared" si="2"/>
        <v>NL</v>
      </c>
      <c r="B50" s="299">
        <f t="shared" si="5"/>
        <v>33</v>
      </c>
      <c r="C50" s="189" t="s">
        <v>531</v>
      </c>
      <c r="D50" s="301" t="s">
        <v>406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8"/>
    </row>
    <row r="51" spans="1:13" ht="18" customHeight="1">
      <c r="A51" s="298" t="str">
        <f t="shared" ref="A51:A82" si="8">IF(B51&lt;&gt;"","NL","")</f>
        <v>NL</v>
      </c>
      <c r="B51" s="299">
        <f t="shared" si="5"/>
        <v>34</v>
      </c>
      <c r="C51" s="189" t="s">
        <v>532</v>
      </c>
      <c r="D51" s="301" t="s">
        <v>406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8"/>
    </row>
    <row r="52" spans="1:13" ht="18" customHeight="1">
      <c r="A52" s="298" t="str">
        <f t="shared" si="8"/>
        <v>NL</v>
      </c>
      <c r="B52" s="299">
        <f t="shared" ref="B52:B83" si="11">IF(C52&lt;&gt;"",B51+1,"")</f>
        <v>35</v>
      </c>
      <c r="C52" s="189" t="s">
        <v>537</v>
      </c>
      <c r="D52" s="301" t="s">
        <v>406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8"/>
    </row>
    <row r="53" spans="1:13" ht="18" customHeight="1">
      <c r="A53" s="298" t="str">
        <f t="shared" si="8"/>
        <v>NL</v>
      </c>
      <c r="B53" s="299">
        <f t="shared" si="11"/>
        <v>36</v>
      </c>
      <c r="C53" s="189" t="s">
        <v>538</v>
      </c>
      <c r="D53" s="301" t="s">
        <v>406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8"/>
    </row>
    <row r="54" spans="1:13" ht="18" customHeight="1">
      <c r="A54" s="298" t="str">
        <f t="shared" si="8"/>
        <v>NL</v>
      </c>
      <c r="B54" s="299">
        <f t="shared" si="11"/>
        <v>37</v>
      </c>
      <c r="C54" s="189" t="s">
        <v>540</v>
      </c>
      <c r="D54" s="301" t="s">
        <v>406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8"/>
    </row>
    <row r="55" spans="1:13" ht="18" customHeight="1">
      <c r="A55" s="298" t="str">
        <f t="shared" si="8"/>
        <v>NL</v>
      </c>
      <c r="B55" s="299">
        <f t="shared" si="11"/>
        <v>38</v>
      </c>
      <c r="C55" s="189" t="s">
        <v>541</v>
      </c>
      <c r="D55" s="301" t="s">
        <v>406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8"/>
    </row>
    <row r="56" spans="1:13" ht="18" customHeight="1">
      <c r="A56" s="298" t="str">
        <f t="shared" si="8"/>
        <v>NL</v>
      </c>
      <c r="B56" s="299">
        <f t="shared" si="11"/>
        <v>39</v>
      </c>
      <c r="C56" s="189" t="s">
        <v>542</v>
      </c>
      <c r="D56" s="301" t="s">
        <v>406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8"/>
    </row>
    <row r="57" spans="1:13" ht="18" customHeight="1">
      <c r="A57" s="298" t="str">
        <f t="shared" si="8"/>
        <v>NL</v>
      </c>
      <c r="B57" s="299">
        <f t="shared" si="11"/>
        <v>40</v>
      </c>
      <c r="C57" s="189" t="s">
        <v>543</v>
      </c>
      <c r="D57" s="301" t="s">
        <v>406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8"/>
    </row>
    <row r="58" spans="1:13" ht="18" customHeight="1">
      <c r="A58" s="298" t="str">
        <f t="shared" si="8"/>
        <v>NL</v>
      </c>
      <c r="B58" s="299">
        <f t="shared" si="11"/>
        <v>41</v>
      </c>
      <c r="C58" s="189" t="s">
        <v>544</v>
      </c>
      <c r="D58" s="301" t="s">
        <v>406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8"/>
    </row>
    <row r="59" spans="1:13" ht="18" customHeight="1">
      <c r="A59" s="298" t="str">
        <f t="shared" si="8"/>
        <v>NL</v>
      </c>
      <c r="B59" s="299">
        <f t="shared" si="11"/>
        <v>42</v>
      </c>
      <c r="C59" s="189" t="s">
        <v>545</v>
      </c>
      <c r="D59" s="301" t="s">
        <v>406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8"/>
    </row>
    <row r="60" spans="1:13" ht="18" customHeight="1">
      <c r="A60" s="298" t="str">
        <f t="shared" si="8"/>
        <v>NL</v>
      </c>
      <c r="B60" s="299">
        <f t="shared" si="11"/>
        <v>43</v>
      </c>
      <c r="C60" s="189" t="s">
        <v>546</v>
      </c>
      <c r="D60" s="301" t="s">
        <v>406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8"/>
    </row>
    <row r="61" spans="1:13" ht="18" customHeight="1">
      <c r="A61" s="298" t="str">
        <f t="shared" si="8"/>
        <v>NL</v>
      </c>
      <c r="B61" s="299">
        <f t="shared" si="11"/>
        <v>44</v>
      </c>
      <c r="C61" s="189" t="s">
        <v>565</v>
      </c>
      <c r="D61" s="301" t="s">
        <v>406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8"/>
    </row>
    <row r="62" spans="1:13" ht="18" customHeight="1">
      <c r="A62" s="298" t="str">
        <f t="shared" si="8"/>
        <v>NL</v>
      </c>
      <c r="B62" s="299">
        <f t="shared" si="11"/>
        <v>45</v>
      </c>
      <c r="C62" s="189" t="s">
        <v>566</v>
      </c>
      <c r="D62" s="301" t="s">
        <v>406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8"/>
    </row>
    <row r="63" spans="1:13" ht="18" customHeight="1">
      <c r="A63" s="298" t="str">
        <f t="shared" si="8"/>
        <v>NL</v>
      </c>
      <c r="B63" s="299">
        <f t="shared" si="11"/>
        <v>46</v>
      </c>
      <c r="C63" s="189" t="s">
        <v>567</v>
      </c>
      <c r="D63" s="301" t="s">
        <v>406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8"/>
    </row>
    <row r="64" spans="1:13" ht="18" customHeight="1">
      <c r="A64" s="298" t="str">
        <f t="shared" si="8"/>
        <v>NL</v>
      </c>
      <c r="B64" s="299">
        <f t="shared" si="11"/>
        <v>47</v>
      </c>
      <c r="C64" s="189" t="s">
        <v>568</v>
      </c>
      <c r="D64" s="301" t="s">
        <v>406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8"/>
    </row>
    <row r="65" spans="1:13" ht="18" customHeight="1">
      <c r="A65" s="298" t="str">
        <f t="shared" si="8"/>
        <v>NL</v>
      </c>
      <c r="B65" s="299">
        <f t="shared" si="11"/>
        <v>48</v>
      </c>
      <c r="C65" s="189" t="s">
        <v>572</v>
      </c>
      <c r="D65" s="301" t="s">
        <v>406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8"/>
    </row>
    <row r="66" spans="1:13" ht="18" customHeight="1">
      <c r="A66" s="298" t="str">
        <f t="shared" si="8"/>
        <v>NL</v>
      </c>
      <c r="B66" s="299">
        <f t="shared" si="11"/>
        <v>49</v>
      </c>
      <c r="C66" s="189" t="s">
        <v>573</v>
      </c>
      <c r="D66" s="301" t="s">
        <v>406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8"/>
    </row>
    <row r="67" spans="1:13" ht="18" customHeight="1">
      <c r="A67" s="298" t="str">
        <f t="shared" si="8"/>
        <v>NL</v>
      </c>
      <c r="B67" s="299">
        <f t="shared" si="11"/>
        <v>50</v>
      </c>
      <c r="C67" s="189" t="s">
        <v>574</v>
      </c>
      <c r="D67" s="301" t="s">
        <v>406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8"/>
    </row>
    <row r="68" spans="1:13" ht="18" customHeight="1">
      <c r="A68" s="298" t="str">
        <f t="shared" si="8"/>
        <v>NL</v>
      </c>
      <c r="B68" s="299">
        <f t="shared" si="11"/>
        <v>51</v>
      </c>
      <c r="C68" s="189" t="s">
        <v>575</v>
      </c>
      <c r="D68" s="301" t="s">
        <v>406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8"/>
    </row>
    <row r="69" spans="1:13" ht="18" customHeight="1">
      <c r="A69" s="298" t="str">
        <f t="shared" si="8"/>
        <v>NL</v>
      </c>
      <c r="B69" s="299">
        <f t="shared" si="11"/>
        <v>52</v>
      </c>
      <c r="C69" s="189" t="s">
        <v>576</v>
      </c>
      <c r="D69" s="301" t="s">
        <v>406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8"/>
    </row>
    <row r="70" spans="1:13" ht="18" customHeight="1">
      <c r="A70" s="298" t="str">
        <f t="shared" si="8"/>
        <v>NL</v>
      </c>
      <c r="B70" s="299">
        <f t="shared" si="11"/>
        <v>53</v>
      </c>
      <c r="C70" s="189" t="s">
        <v>577</v>
      </c>
      <c r="D70" s="301" t="s">
        <v>406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8"/>
    </row>
    <row r="71" spans="1:13" ht="18" customHeight="1">
      <c r="A71" s="298" t="str">
        <f t="shared" si="8"/>
        <v>NL</v>
      </c>
      <c r="B71" s="299">
        <f t="shared" si="11"/>
        <v>54</v>
      </c>
      <c r="C71" s="189" t="s">
        <v>578</v>
      </c>
      <c r="D71" s="301" t="s">
        <v>406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8"/>
    </row>
    <row r="72" spans="1:13" ht="18" customHeight="1">
      <c r="A72" s="298" t="str">
        <f t="shared" si="8"/>
        <v>NL</v>
      </c>
      <c r="B72" s="299">
        <f t="shared" si="11"/>
        <v>55</v>
      </c>
      <c r="C72" s="40" t="s">
        <v>579</v>
      </c>
      <c r="D72" s="301" t="s">
        <v>406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8"/>
    </row>
    <row r="73" spans="1:13" ht="18" customHeight="1">
      <c r="A73" s="298" t="str">
        <f t="shared" si="8"/>
        <v>NL</v>
      </c>
      <c r="B73" s="299">
        <f t="shared" si="11"/>
        <v>56</v>
      </c>
      <c r="C73" s="40" t="s">
        <v>580</v>
      </c>
      <c r="D73" s="301" t="s">
        <v>406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8"/>
    </row>
    <row r="74" spans="1:13" ht="18" customHeight="1">
      <c r="A74" s="298" t="str">
        <f t="shared" si="8"/>
        <v>NL</v>
      </c>
      <c r="B74" s="299">
        <f t="shared" si="11"/>
        <v>57</v>
      </c>
      <c r="C74" s="189" t="s">
        <v>585</v>
      </c>
      <c r="D74" s="301" t="s">
        <v>406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8"/>
    </row>
    <row r="75" spans="1:13" ht="18" customHeight="1">
      <c r="A75" s="298" t="str">
        <f t="shared" si="8"/>
        <v>NL</v>
      </c>
      <c r="B75" s="299">
        <f t="shared" si="11"/>
        <v>58</v>
      </c>
      <c r="C75" s="189" t="s">
        <v>586</v>
      </c>
      <c r="D75" s="301" t="s">
        <v>406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8"/>
    </row>
    <row r="76" spans="1:13" ht="18" customHeight="1">
      <c r="A76" s="298" t="str">
        <f t="shared" si="8"/>
        <v>NL</v>
      </c>
      <c r="B76" s="299">
        <f t="shared" si="11"/>
        <v>59</v>
      </c>
      <c r="C76" s="189" t="s">
        <v>587</v>
      </c>
      <c r="D76" s="301" t="s">
        <v>406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8"/>
    </row>
    <row r="77" spans="1:13" ht="18" customHeight="1">
      <c r="A77" s="298" t="str">
        <f t="shared" si="8"/>
        <v>NL</v>
      </c>
      <c r="B77" s="299">
        <f t="shared" si="11"/>
        <v>60</v>
      </c>
      <c r="C77" s="189" t="s">
        <v>588</v>
      </c>
      <c r="D77" s="301" t="s">
        <v>406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8"/>
    </row>
    <row r="78" spans="1:13" ht="18" customHeight="1">
      <c r="A78" s="298" t="str">
        <f t="shared" si="8"/>
        <v>NL</v>
      </c>
      <c r="B78" s="299">
        <f t="shared" si="11"/>
        <v>61</v>
      </c>
      <c r="C78" s="189" t="s">
        <v>591</v>
      </c>
      <c r="D78" s="301" t="s">
        <v>406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8"/>
    </row>
    <row r="79" spans="1:13" ht="18" customHeight="1">
      <c r="A79" s="298" t="str">
        <f t="shared" si="8"/>
        <v>NL</v>
      </c>
      <c r="B79" s="299">
        <f t="shared" si="11"/>
        <v>62</v>
      </c>
      <c r="C79" s="189" t="s">
        <v>592</v>
      </c>
      <c r="D79" s="301" t="s">
        <v>406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8"/>
    </row>
    <row r="80" spans="1:13" ht="18" customHeight="1">
      <c r="A80" s="298" t="str">
        <f t="shared" si="8"/>
        <v>NL</v>
      </c>
      <c r="B80" s="299">
        <f t="shared" si="11"/>
        <v>63</v>
      </c>
      <c r="C80" s="189" t="s">
        <v>593</v>
      </c>
      <c r="D80" s="301" t="s">
        <v>406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8"/>
    </row>
    <row r="81" spans="1:13" ht="18" customHeight="1">
      <c r="A81" s="298" t="str">
        <f t="shared" si="8"/>
        <v>NL</v>
      </c>
      <c r="B81" s="299">
        <f t="shared" si="11"/>
        <v>64</v>
      </c>
      <c r="C81" s="189" t="s">
        <v>594</v>
      </c>
      <c r="D81" s="301" t="s">
        <v>406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8"/>
    </row>
    <row r="82" spans="1:13" ht="18" customHeight="1">
      <c r="A82" s="298" t="str">
        <f t="shared" si="8"/>
        <v>NL</v>
      </c>
      <c r="B82" s="299">
        <f t="shared" si="11"/>
        <v>65</v>
      </c>
      <c r="C82" s="189" t="s">
        <v>595</v>
      </c>
      <c r="D82" s="301" t="s">
        <v>406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8"/>
    </row>
    <row r="83" spans="1:13" ht="18" customHeight="1">
      <c r="A83" s="298" t="str">
        <f t="shared" ref="A83:A114" si="12">IF(B83&lt;&gt;"","NL","")</f>
        <v>NL</v>
      </c>
      <c r="B83" s="299">
        <f t="shared" si="11"/>
        <v>66</v>
      </c>
      <c r="C83" s="189" t="s">
        <v>600</v>
      </c>
      <c r="D83" s="301" t="s">
        <v>406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8"/>
    </row>
    <row r="84" spans="1:13" ht="18" customHeight="1">
      <c r="A84" s="298" t="str">
        <f t="shared" si="12"/>
        <v>NL</v>
      </c>
      <c r="B84" s="299">
        <f t="shared" ref="B84:B115" si="15">IF(C84&lt;&gt;"",B83+1,"")</f>
        <v>67</v>
      </c>
      <c r="C84" s="189" t="s">
        <v>601</v>
      </c>
      <c r="D84" s="301" t="s">
        <v>406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8"/>
    </row>
    <row r="85" spans="1:13" ht="18" customHeight="1">
      <c r="A85" s="298" t="str">
        <f t="shared" si="12"/>
        <v>NL</v>
      </c>
      <c r="B85" s="299">
        <f t="shared" si="15"/>
        <v>68</v>
      </c>
      <c r="C85" s="189" t="s">
        <v>602</v>
      </c>
      <c r="D85" s="301" t="s">
        <v>406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8"/>
    </row>
    <row r="86" spans="1:13" ht="18" customHeight="1">
      <c r="A86" s="298" t="str">
        <f t="shared" si="12"/>
        <v>NL</v>
      </c>
      <c r="B86" s="299">
        <f t="shared" si="15"/>
        <v>69</v>
      </c>
      <c r="C86" s="189" t="s">
        <v>603</v>
      </c>
      <c r="D86" s="301" t="s">
        <v>406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8"/>
    </row>
    <row r="87" spans="1:13" ht="18" customHeight="1">
      <c r="A87" s="298" t="str">
        <f t="shared" si="12"/>
        <v>NL</v>
      </c>
      <c r="B87" s="299">
        <f t="shared" si="15"/>
        <v>70</v>
      </c>
      <c r="C87" s="189" t="s">
        <v>604</v>
      </c>
      <c r="D87" s="301" t="s">
        <v>406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8"/>
    </row>
    <row r="88" spans="1:13" ht="18" customHeight="1">
      <c r="A88" s="298" t="str">
        <f t="shared" si="12"/>
        <v>NL</v>
      </c>
      <c r="B88" s="299">
        <f t="shared" si="15"/>
        <v>71</v>
      </c>
      <c r="C88" s="189" t="s">
        <v>605</v>
      </c>
      <c r="D88" s="301" t="s">
        <v>406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8"/>
    </row>
    <row r="89" spans="1:13" ht="18" customHeight="1">
      <c r="A89" s="298" t="str">
        <f t="shared" si="12"/>
        <v>NL</v>
      </c>
      <c r="B89" s="299">
        <f t="shared" si="15"/>
        <v>72</v>
      </c>
      <c r="C89" s="189" t="s">
        <v>606</v>
      </c>
      <c r="D89" s="301" t="s">
        <v>406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8"/>
    </row>
    <row r="90" spans="1:13" ht="18" customHeight="1">
      <c r="A90" s="298" t="str">
        <f t="shared" si="12"/>
        <v>NL</v>
      </c>
      <c r="B90" s="299">
        <f t="shared" si="15"/>
        <v>73</v>
      </c>
      <c r="C90" s="189" t="s">
        <v>607</v>
      </c>
      <c r="D90" s="301" t="s">
        <v>406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8"/>
    </row>
    <row r="91" spans="1:13" ht="18" customHeight="1">
      <c r="A91" s="298" t="str">
        <f t="shared" si="12"/>
        <v>NL</v>
      </c>
      <c r="B91" s="299">
        <f t="shared" si="15"/>
        <v>74</v>
      </c>
      <c r="C91" s="40" t="s">
        <v>611</v>
      </c>
      <c r="D91" s="301" t="s">
        <v>406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8"/>
    </row>
    <row r="92" spans="1:13" ht="18" customHeight="1">
      <c r="A92" s="298" t="str">
        <f t="shared" si="12"/>
        <v>NL</v>
      </c>
      <c r="B92" s="299">
        <f t="shared" si="15"/>
        <v>75</v>
      </c>
      <c r="C92" s="40" t="s">
        <v>612</v>
      </c>
      <c r="D92" s="301" t="s">
        <v>406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8"/>
    </row>
    <row r="93" spans="1:13" ht="18" customHeight="1">
      <c r="A93" s="298" t="str">
        <f t="shared" si="12"/>
        <v>NL</v>
      </c>
      <c r="B93" s="299">
        <f t="shared" si="15"/>
        <v>76</v>
      </c>
      <c r="C93" s="40" t="s">
        <v>613</v>
      </c>
      <c r="D93" s="301" t="s">
        <v>406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8"/>
    </row>
    <row r="94" spans="1:13" ht="18" customHeight="1">
      <c r="A94" s="298" t="str">
        <f t="shared" si="12"/>
        <v>NL</v>
      </c>
      <c r="B94" s="299">
        <f t="shared" si="15"/>
        <v>77</v>
      </c>
      <c r="C94" s="40" t="s">
        <v>614</v>
      </c>
      <c r="D94" s="301" t="s">
        <v>406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8"/>
    </row>
    <row r="95" spans="1:13" ht="18" customHeight="1">
      <c r="A95" s="298" t="str">
        <f t="shared" si="12"/>
        <v>NL</v>
      </c>
      <c r="B95" s="299">
        <f t="shared" si="15"/>
        <v>78</v>
      </c>
      <c r="C95" s="40" t="s">
        <v>616</v>
      </c>
      <c r="D95" s="301" t="s">
        <v>406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8"/>
    </row>
    <row r="96" spans="1:13" ht="18" customHeight="1">
      <c r="A96" s="298" t="str">
        <f t="shared" si="12"/>
        <v>NL</v>
      </c>
      <c r="B96" s="299">
        <f t="shared" si="15"/>
        <v>79</v>
      </c>
      <c r="C96" s="40" t="s">
        <v>618</v>
      </c>
      <c r="D96" s="301" t="s">
        <v>406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8"/>
    </row>
    <row r="97" spans="1:13" ht="18" customHeight="1">
      <c r="A97" s="298" t="str">
        <f t="shared" si="12"/>
        <v>NL</v>
      </c>
      <c r="B97" s="299">
        <f t="shared" si="15"/>
        <v>80</v>
      </c>
      <c r="C97" s="40" t="s">
        <v>619</v>
      </c>
      <c r="D97" s="301" t="s">
        <v>406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8"/>
    </row>
    <row r="98" spans="1:13" ht="18" customHeight="1">
      <c r="A98" s="298" t="str">
        <f t="shared" si="12"/>
        <v>NL</v>
      </c>
      <c r="B98" s="299">
        <f t="shared" si="15"/>
        <v>81</v>
      </c>
      <c r="C98" s="40" t="s">
        <v>620</v>
      </c>
      <c r="D98" s="301" t="s">
        <v>406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8"/>
    </row>
    <row r="99" spans="1:13" ht="18" customHeight="1">
      <c r="A99" s="298" t="str">
        <f t="shared" si="12"/>
        <v>NL</v>
      </c>
      <c r="B99" s="299">
        <f t="shared" si="15"/>
        <v>82</v>
      </c>
      <c r="C99" s="40" t="s">
        <v>621</v>
      </c>
      <c r="D99" s="301" t="s">
        <v>406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8"/>
    </row>
    <row r="100" spans="1:13" ht="18" customHeight="1">
      <c r="A100" s="298" t="str">
        <f t="shared" si="12"/>
        <v>NL</v>
      </c>
      <c r="B100" s="299">
        <f t="shared" si="15"/>
        <v>83</v>
      </c>
      <c r="C100" s="40" t="s">
        <v>622</v>
      </c>
      <c r="D100" s="301" t="s">
        <v>406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8"/>
    </row>
    <row r="101" spans="1:13" ht="18" customHeight="1">
      <c r="A101" s="298" t="str">
        <f t="shared" si="12"/>
        <v>NL</v>
      </c>
      <c r="B101" s="299">
        <f t="shared" si="15"/>
        <v>84</v>
      </c>
      <c r="C101" s="40" t="s">
        <v>623</v>
      </c>
      <c r="D101" s="301" t="s">
        <v>406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8"/>
    </row>
    <row r="102" spans="1:13" ht="18" customHeight="1">
      <c r="A102" s="298" t="str">
        <f t="shared" si="12"/>
        <v>NL</v>
      </c>
      <c r="B102" s="299">
        <f t="shared" si="15"/>
        <v>85</v>
      </c>
      <c r="C102" s="40" t="s">
        <v>624</v>
      </c>
      <c r="D102" s="301" t="s">
        <v>406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8"/>
    </row>
    <row r="103" spans="1:13" ht="18" customHeight="1">
      <c r="A103" s="298" t="str">
        <f t="shared" si="12"/>
        <v>NL</v>
      </c>
      <c r="B103" s="299">
        <f t="shared" si="15"/>
        <v>86</v>
      </c>
      <c r="C103" s="40" t="s">
        <v>625</v>
      </c>
      <c r="D103" s="301" t="s">
        <v>406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8"/>
    </row>
    <row r="104" spans="1:13" ht="18" customHeight="1">
      <c r="A104" s="298" t="str">
        <f t="shared" si="12"/>
        <v>NL</v>
      </c>
      <c r="B104" s="299">
        <f t="shared" si="15"/>
        <v>87</v>
      </c>
      <c r="C104" s="40" t="s">
        <v>627</v>
      </c>
      <c r="D104" s="301" t="s">
        <v>406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8"/>
    </row>
    <row r="105" spans="1:13" ht="18" customHeight="1">
      <c r="A105" s="298" t="str">
        <f t="shared" si="12"/>
        <v>NL</v>
      </c>
      <c r="B105" s="299">
        <f t="shared" si="15"/>
        <v>88</v>
      </c>
      <c r="C105" s="40" t="s">
        <v>628</v>
      </c>
      <c r="D105" s="301" t="s">
        <v>406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8"/>
    </row>
    <row r="106" spans="1:13" ht="18" customHeight="1">
      <c r="A106" s="298" t="str">
        <f t="shared" si="12"/>
        <v>NL</v>
      </c>
      <c r="B106" s="299">
        <f t="shared" si="15"/>
        <v>89</v>
      </c>
      <c r="C106" s="40" t="s">
        <v>629</v>
      </c>
      <c r="D106" s="301" t="s">
        <v>406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8"/>
    </row>
    <row r="107" spans="1:13" ht="18" customHeight="1">
      <c r="A107" s="298" t="str">
        <f t="shared" si="12"/>
        <v>NL</v>
      </c>
      <c r="B107" s="299">
        <f t="shared" si="15"/>
        <v>90</v>
      </c>
      <c r="C107" s="40" t="s">
        <v>630</v>
      </c>
      <c r="D107" s="301" t="s">
        <v>406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8"/>
    </row>
    <row r="108" spans="1:13" ht="18" customHeight="1">
      <c r="A108" s="298" t="str">
        <f t="shared" si="12"/>
        <v>NL</v>
      </c>
      <c r="B108" s="299">
        <f t="shared" si="15"/>
        <v>91</v>
      </c>
      <c r="C108" s="40" t="s">
        <v>632</v>
      </c>
      <c r="D108" s="301" t="s">
        <v>406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8"/>
    </row>
    <row r="109" spans="1:13" ht="18" customHeight="1">
      <c r="A109" s="298" t="str">
        <f t="shared" si="12"/>
        <v>NL</v>
      </c>
      <c r="B109" s="299">
        <f t="shared" si="15"/>
        <v>92</v>
      </c>
      <c r="C109" s="40" t="s">
        <v>633</v>
      </c>
      <c r="D109" s="301" t="s">
        <v>406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8"/>
    </row>
    <row r="110" spans="1:13" ht="18" customHeight="1">
      <c r="A110" s="298" t="str">
        <f t="shared" si="12"/>
        <v>NL</v>
      </c>
      <c r="B110" s="299">
        <f t="shared" si="15"/>
        <v>93</v>
      </c>
      <c r="C110" s="40" t="s">
        <v>634</v>
      </c>
      <c r="D110" s="301" t="s">
        <v>406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8"/>
    </row>
    <row r="111" spans="1:13" ht="18" customHeight="1">
      <c r="A111" s="298" t="str">
        <f t="shared" si="12"/>
        <v>NL</v>
      </c>
      <c r="B111" s="299">
        <f t="shared" si="15"/>
        <v>94</v>
      </c>
      <c r="C111" s="40" t="s">
        <v>635</v>
      </c>
      <c r="D111" s="301" t="s">
        <v>406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8"/>
    </row>
    <row r="112" spans="1:13" ht="18" customHeight="1">
      <c r="A112" s="298" t="str">
        <f t="shared" si="12"/>
        <v>NL</v>
      </c>
      <c r="B112" s="829">
        <f t="shared" si="15"/>
        <v>95</v>
      </c>
      <c r="C112" s="40" t="s">
        <v>636</v>
      </c>
      <c r="D112" s="301" t="s">
        <v>406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8"/>
    </row>
    <row r="113" spans="1:13" ht="18" customHeight="1">
      <c r="A113" s="298" t="str">
        <f t="shared" si="12"/>
        <v>NL</v>
      </c>
      <c r="B113" s="299">
        <f t="shared" si="15"/>
        <v>96</v>
      </c>
      <c r="C113" s="40" t="s">
        <v>637</v>
      </c>
      <c r="D113" s="301" t="s">
        <v>406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8"/>
    </row>
    <row r="114" spans="1:13" ht="18" customHeight="1">
      <c r="A114" s="298" t="str">
        <f t="shared" si="12"/>
        <v>NL</v>
      </c>
      <c r="B114" s="299">
        <f t="shared" si="15"/>
        <v>97</v>
      </c>
      <c r="C114" s="40" t="s">
        <v>638</v>
      </c>
      <c r="D114" s="301" t="s">
        <v>406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8"/>
    </row>
    <row r="115" spans="1:13" ht="18" customHeight="1">
      <c r="A115" s="298" t="str">
        <f t="shared" ref="A115:A146" si="16">IF(B115&lt;&gt;"","NL","")</f>
        <v>NL</v>
      </c>
      <c r="B115" s="299">
        <f t="shared" si="15"/>
        <v>98</v>
      </c>
      <c r="C115" s="40" t="s">
        <v>639</v>
      </c>
      <c r="D115" s="301" t="s">
        <v>406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8"/>
    </row>
    <row r="116" spans="1:13" ht="18" customHeight="1">
      <c r="A116" s="298" t="str">
        <f t="shared" si="16"/>
        <v>NL</v>
      </c>
      <c r="B116" s="299">
        <f t="shared" ref="B116:B147" si="19">IF(C116&lt;&gt;"",B115+1,"")</f>
        <v>99</v>
      </c>
      <c r="C116" s="40" t="s">
        <v>641</v>
      </c>
      <c r="D116" s="301" t="s">
        <v>406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8"/>
    </row>
    <row r="117" spans="1:13" ht="18" customHeight="1">
      <c r="A117" s="298" t="str">
        <f t="shared" si="16"/>
        <v>NL</v>
      </c>
      <c r="B117" s="299">
        <f t="shared" si="19"/>
        <v>100</v>
      </c>
      <c r="C117" s="40" t="s">
        <v>642</v>
      </c>
      <c r="D117" s="301" t="s">
        <v>406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8"/>
    </row>
    <row r="118" spans="1:13" ht="18" customHeight="1">
      <c r="A118" s="298" t="str">
        <f t="shared" si="16"/>
        <v>NL</v>
      </c>
      <c r="B118" s="299">
        <f t="shared" si="19"/>
        <v>101</v>
      </c>
      <c r="C118" s="40" t="s">
        <v>643</v>
      </c>
      <c r="D118" s="301" t="s">
        <v>406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8"/>
    </row>
    <row r="119" spans="1:13" ht="18" customHeight="1">
      <c r="A119" s="298" t="str">
        <f t="shared" si="16"/>
        <v>NL</v>
      </c>
      <c r="B119" s="299">
        <f t="shared" si="19"/>
        <v>102</v>
      </c>
      <c r="C119" s="40" t="s">
        <v>644</v>
      </c>
      <c r="D119" s="301" t="s">
        <v>406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8"/>
    </row>
    <row r="120" spans="1:13" ht="18" customHeight="1">
      <c r="A120" s="298" t="str">
        <f t="shared" si="16"/>
        <v>NL</v>
      </c>
      <c r="B120" s="299">
        <f t="shared" si="19"/>
        <v>103</v>
      </c>
      <c r="C120" s="40" t="s">
        <v>645</v>
      </c>
      <c r="D120" s="301" t="s">
        <v>406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8"/>
    </row>
    <row r="121" spans="1:13" ht="18" customHeight="1">
      <c r="A121" s="298" t="str">
        <f t="shared" si="16"/>
        <v>NL</v>
      </c>
      <c r="B121" s="299">
        <f t="shared" si="19"/>
        <v>104</v>
      </c>
      <c r="C121" s="40" t="s">
        <v>647</v>
      </c>
      <c r="D121" s="301" t="s">
        <v>406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8"/>
    </row>
    <row r="122" spans="1:13" ht="18" customHeight="1">
      <c r="A122" s="298" t="str">
        <f t="shared" si="16"/>
        <v>NL</v>
      </c>
      <c r="B122" s="299">
        <f t="shared" si="19"/>
        <v>105</v>
      </c>
      <c r="C122" s="40" t="s">
        <v>648</v>
      </c>
      <c r="D122" s="301" t="s">
        <v>406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8"/>
    </row>
    <row r="123" spans="1:13" ht="18" customHeight="1">
      <c r="A123" s="298" t="str">
        <f t="shared" si="16"/>
        <v>NL</v>
      </c>
      <c r="B123" s="299">
        <f t="shared" si="19"/>
        <v>106</v>
      </c>
      <c r="C123" s="40" t="s">
        <v>649</v>
      </c>
      <c r="D123" s="301" t="s">
        <v>406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8"/>
    </row>
    <row r="124" spans="1:13" ht="18" customHeight="1">
      <c r="A124" s="298" t="str">
        <f t="shared" si="16"/>
        <v>NL</v>
      </c>
      <c r="B124" s="299">
        <f t="shared" si="19"/>
        <v>107</v>
      </c>
      <c r="C124" s="40" t="s">
        <v>650</v>
      </c>
      <c r="D124" s="301" t="s">
        <v>406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8"/>
    </row>
    <row r="125" spans="1:13" ht="18" customHeight="1">
      <c r="A125" s="298" t="str">
        <f t="shared" si="16"/>
        <v>NL</v>
      </c>
      <c r="B125" s="299">
        <f t="shared" si="19"/>
        <v>108</v>
      </c>
      <c r="C125" s="40" t="s">
        <v>651</v>
      </c>
      <c r="D125" s="301" t="s">
        <v>406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8"/>
    </row>
    <row r="126" spans="1:13" ht="18" customHeight="1">
      <c r="A126" s="298" t="str">
        <f t="shared" si="16"/>
        <v>NL</v>
      </c>
      <c r="B126" s="299">
        <f t="shared" si="19"/>
        <v>109</v>
      </c>
      <c r="C126" s="189" t="s">
        <v>652</v>
      </c>
      <c r="D126" s="301" t="s">
        <v>406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8"/>
    </row>
    <row r="127" spans="1:13" ht="18" customHeight="1">
      <c r="A127" s="298" t="str">
        <f t="shared" si="16"/>
        <v>NL</v>
      </c>
      <c r="B127" s="299">
        <f t="shared" si="19"/>
        <v>110</v>
      </c>
      <c r="C127" s="189" t="s">
        <v>653</v>
      </c>
      <c r="D127" s="301" t="s">
        <v>406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8"/>
    </row>
    <row r="128" spans="1:13" ht="18" customHeight="1">
      <c r="A128" s="298" t="str">
        <f t="shared" si="16"/>
        <v>NL</v>
      </c>
      <c r="B128" s="299">
        <f t="shared" si="19"/>
        <v>111</v>
      </c>
      <c r="C128" s="189" t="s">
        <v>654</v>
      </c>
      <c r="D128" s="301" t="s">
        <v>406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8"/>
    </row>
    <row r="129" spans="1:13" ht="18" customHeight="1">
      <c r="A129" s="298" t="str">
        <f t="shared" si="16"/>
        <v>NL</v>
      </c>
      <c r="B129" s="299">
        <f t="shared" si="19"/>
        <v>112</v>
      </c>
      <c r="C129" s="189" t="s">
        <v>655</v>
      </c>
      <c r="D129" s="301" t="s">
        <v>406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8"/>
    </row>
    <row r="130" spans="1:13" ht="18" customHeight="1">
      <c r="A130" s="298" t="str">
        <f t="shared" si="16"/>
        <v>NL</v>
      </c>
      <c r="B130" s="299">
        <f t="shared" si="19"/>
        <v>113</v>
      </c>
      <c r="C130" s="189" t="s">
        <v>658</v>
      </c>
      <c r="D130" s="301" t="s">
        <v>406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8"/>
    </row>
    <row r="131" spans="1:13" ht="18" customHeight="1">
      <c r="A131" s="298" t="str">
        <f t="shared" si="16"/>
        <v>NL</v>
      </c>
      <c r="B131" s="299">
        <f t="shared" si="19"/>
        <v>114</v>
      </c>
      <c r="C131" s="189" t="s">
        <v>659</v>
      </c>
      <c r="D131" s="301" t="s">
        <v>406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8"/>
    </row>
    <row r="132" spans="1:13" ht="18" customHeight="1">
      <c r="A132" s="298" t="str">
        <f t="shared" si="16"/>
        <v>NL</v>
      </c>
      <c r="B132" s="299">
        <f t="shared" si="19"/>
        <v>115</v>
      </c>
      <c r="C132" s="189" t="s">
        <v>661</v>
      </c>
      <c r="D132" s="301" t="s">
        <v>406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8"/>
    </row>
    <row r="133" spans="1:13" ht="18" customHeight="1">
      <c r="A133" s="298" t="str">
        <f t="shared" si="16"/>
        <v>NL</v>
      </c>
      <c r="B133" s="299">
        <f t="shared" si="19"/>
        <v>116</v>
      </c>
      <c r="C133" s="40" t="s">
        <v>662</v>
      </c>
      <c r="D133" s="301" t="s">
        <v>406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8"/>
    </row>
    <row r="134" spans="1:13" ht="18" customHeight="1">
      <c r="A134" s="298" t="str">
        <f t="shared" si="16"/>
        <v>NL</v>
      </c>
      <c r="B134" s="299">
        <f t="shared" si="19"/>
        <v>117</v>
      </c>
      <c r="C134" s="40" t="s">
        <v>663</v>
      </c>
      <c r="D134" s="301" t="s">
        <v>669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8"/>
    </row>
    <row r="135" spans="1:13" ht="18" customHeight="1">
      <c r="A135" s="298" t="str">
        <f t="shared" si="16"/>
        <v>NL</v>
      </c>
      <c r="B135" s="299">
        <f t="shared" si="19"/>
        <v>118</v>
      </c>
      <c r="C135" s="40" t="s">
        <v>664</v>
      </c>
      <c r="D135" s="301" t="s">
        <v>669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8"/>
    </row>
    <row r="136" spans="1:13" ht="18" customHeight="1">
      <c r="A136" s="298" t="str">
        <f t="shared" si="16"/>
        <v>NL</v>
      </c>
      <c r="B136" s="299">
        <f t="shared" si="19"/>
        <v>119</v>
      </c>
      <c r="C136" s="40" t="s">
        <v>665</v>
      </c>
      <c r="D136" s="301" t="s">
        <v>669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8"/>
    </row>
    <row r="137" spans="1:13" ht="18" customHeight="1">
      <c r="A137" s="298" t="str">
        <f t="shared" si="16"/>
        <v>NL</v>
      </c>
      <c r="B137" s="299">
        <f t="shared" si="19"/>
        <v>120</v>
      </c>
      <c r="C137" s="40" t="s">
        <v>666</v>
      </c>
      <c r="D137" s="301" t="s">
        <v>669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8"/>
    </row>
    <row r="138" spans="1:13" ht="18" customHeight="1">
      <c r="A138" s="298" t="str">
        <f t="shared" si="16"/>
        <v>NL</v>
      </c>
      <c r="B138" s="299">
        <f t="shared" si="19"/>
        <v>121</v>
      </c>
      <c r="C138" s="40" t="s">
        <v>667</v>
      </c>
      <c r="D138" s="301" t="s">
        <v>669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8"/>
    </row>
    <row r="139" spans="1:13" ht="18" customHeight="1">
      <c r="A139" s="298" t="str">
        <f t="shared" si="16"/>
        <v>NL</v>
      </c>
      <c r="B139" s="299">
        <f t="shared" si="19"/>
        <v>122</v>
      </c>
      <c r="C139" s="40" t="s">
        <v>668</v>
      </c>
      <c r="D139" s="301" t="s">
        <v>669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8"/>
    </row>
    <row r="140" spans="1:13" ht="18" customHeight="1">
      <c r="A140" s="298" t="str">
        <f t="shared" si="16"/>
        <v>NL</v>
      </c>
      <c r="B140" s="299">
        <f t="shared" si="19"/>
        <v>123</v>
      </c>
      <c r="C140" s="40" t="s">
        <v>671</v>
      </c>
      <c r="D140" s="301" t="s">
        <v>669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8"/>
    </row>
    <row r="141" spans="1:13" ht="18" customHeight="1">
      <c r="A141" s="298" t="str">
        <f t="shared" si="16"/>
        <v>NL</v>
      </c>
      <c r="B141" s="299">
        <f t="shared" si="19"/>
        <v>124</v>
      </c>
      <c r="C141" s="40" t="s">
        <v>672</v>
      </c>
      <c r="D141" s="301" t="s">
        <v>669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8"/>
    </row>
    <row r="142" spans="1:13" ht="18" customHeight="1">
      <c r="A142" s="298" t="str">
        <f t="shared" si="16"/>
        <v>NL</v>
      </c>
      <c r="B142" s="299">
        <f t="shared" si="19"/>
        <v>125</v>
      </c>
      <c r="C142" s="40" t="s">
        <v>673</v>
      </c>
      <c r="D142" s="301" t="s">
        <v>406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8"/>
    </row>
    <row r="143" spans="1:13" ht="18" customHeight="1">
      <c r="A143" s="298" t="str">
        <f t="shared" si="16"/>
        <v>NL</v>
      </c>
      <c r="B143" s="299">
        <f t="shared" si="19"/>
        <v>126</v>
      </c>
      <c r="C143" s="40" t="s">
        <v>674</v>
      </c>
      <c r="D143" s="301" t="s">
        <v>406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8"/>
    </row>
    <row r="144" spans="1:13" ht="18" customHeight="1">
      <c r="A144" s="298" t="str">
        <f t="shared" si="16"/>
        <v>NL</v>
      </c>
      <c r="B144" s="299">
        <f t="shared" si="19"/>
        <v>127</v>
      </c>
      <c r="C144" s="40" t="s">
        <v>675</v>
      </c>
      <c r="D144" s="301" t="s">
        <v>406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8"/>
    </row>
    <row r="145" spans="1:13" ht="18" customHeight="1">
      <c r="A145" s="298" t="str">
        <f t="shared" si="16"/>
        <v>NL</v>
      </c>
      <c r="B145" s="299">
        <f t="shared" si="19"/>
        <v>128</v>
      </c>
      <c r="C145" s="40" t="s">
        <v>676</v>
      </c>
      <c r="D145" s="301" t="s">
        <v>406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8"/>
    </row>
    <row r="146" spans="1:13" ht="18" customHeight="1">
      <c r="A146" s="298" t="str">
        <f t="shared" si="16"/>
        <v>NL</v>
      </c>
      <c r="B146" s="299">
        <f t="shared" si="19"/>
        <v>129</v>
      </c>
      <c r="C146" s="40" t="s">
        <v>677</v>
      </c>
      <c r="D146" s="301" t="s">
        <v>406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8"/>
    </row>
    <row r="147" spans="1:13" ht="18" customHeight="1">
      <c r="A147" s="298" t="str">
        <f t="shared" ref="A147:A150" si="20">IF(B147&lt;&gt;"","NL","")</f>
        <v>NL</v>
      </c>
      <c r="B147" s="829">
        <f t="shared" si="19"/>
        <v>130</v>
      </c>
      <c r="C147" s="40" t="s">
        <v>678</v>
      </c>
      <c r="D147" s="301" t="s">
        <v>669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8"/>
    </row>
    <row r="148" spans="1:13" ht="18" customHeight="1">
      <c r="A148" s="298" t="str">
        <f t="shared" si="20"/>
        <v>NL</v>
      </c>
      <c r="B148" s="299">
        <f t="shared" ref="B148" si="21">IF(C148&lt;&gt;"",B147+1,"")</f>
        <v>131</v>
      </c>
      <c r="C148" s="40" t="s">
        <v>679</v>
      </c>
      <c r="D148" s="301" t="s">
        <v>669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8"/>
    </row>
    <row r="149" spans="1:13" ht="19.5" customHeight="1">
      <c r="A149" s="298" t="str">
        <f t="shared" si="20"/>
        <v/>
      </c>
      <c r="B149" s="299" t="str">
        <f>IF(C149&lt;&gt;"",B74+1,"")</f>
        <v/>
      </c>
      <c r="C149" s="307"/>
      <c r="D149" s="308"/>
      <c r="E149" s="309"/>
      <c r="F149" s="309"/>
      <c r="G149" s="309"/>
      <c r="H149" s="309"/>
      <c r="I149" s="309"/>
      <c r="J149" s="309"/>
      <c r="K149" s="8"/>
      <c r="L149" s="8"/>
      <c r="M149" s="298"/>
    </row>
    <row r="150" spans="1:13" ht="19.5" customHeight="1">
      <c r="A150" s="298" t="str">
        <f t="shared" si="20"/>
        <v/>
      </c>
      <c r="B150" s="297"/>
      <c r="C150" s="306" t="s">
        <v>369</v>
      </c>
      <c r="D150" s="297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8"/>
    </row>
    <row r="151" spans="1:13" ht="19.5" hidden="1" customHeight="1">
      <c r="A151" s="298"/>
      <c r="B151" s="492"/>
      <c r="C151" s="493"/>
      <c r="D151" s="492"/>
      <c r="E151" s="494">
        <f>F150-F151</f>
        <v>0</v>
      </c>
      <c r="F151" s="494">
        <f>CDPS!C20</f>
        <v>0</v>
      </c>
      <c r="G151" s="494">
        <f>H150-H151</f>
        <v>0</v>
      </c>
      <c r="H151" s="494">
        <f>CDPS!E20</f>
        <v>805145217</v>
      </c>
      <c r="I151" s="494">
        <f>J150-J151</f>
        <v>0</v>
      </c>
      <c r="J151" s="494">
        <f>CDPS!F20</f>
        <v>803751979</v>
      </c>
      <c r="K151" s="494">
        <f>L150-L151</f>
        <v>0</v>
      </c>
      <c r="L151" s="494">
        <f>CDPS!G20</f>
        <v>1393238</v>
      </c>
      <c r="M151" s="298"/>
    </row>
    <row r="152" spans="1:13" ht="19.5" customHeight="1">
      <c r="A152" s="298" t="str">
        <f t="shared" ref="A152:A182" si="23">IF(B152&lt;&gt;"","TP","")</f>
        <v>TP</v>
      </c>
      <c r="B152" s="311">
        <f t="shared" ref="B152:B182" si="24">IF(C152&lt;&gt;"",B151+1,"")</f>
        <v>1</v>
      </c>
      <c r="C152" s="302" t="s">
        <v>1013</v>
      </c>
      <c r="D152" s="310" t="s">
        <v>986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8"/>
    </row>
    <row r="153" spans="1:13" ht="19.5" customHeight="1">
      <c r="A153" s="298" t="str">
        <f t="shared" si="23"/>
        <v>TP</v>
      </c>
      <c r="B153" s="311">
        <f t="shared" si="24"/>
        <v>2</v>
      </c>
      <c r="C153" s="302" t="s">
        <v>1012</v>
      </c>
      <c r="D153" s="310" t="s">
        <v>986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8"/>
    </row>
    <row r="154" spans="1:13" ht="18" customHeight="1">
      <c r="A154" s="298" t="str">
        <f t="shared" si="23"/>
        <v>TP</v>
      </c>
      <c r="B154" s="311">
        <f t="shared" si="24"/>
        <v>3</v>
      </c>
      <c r="C154" s="302" t="s">
        <v>1009</v>
      </c>
      <c r="D154" s="310" t="s">
        <v>987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8"/>
    </row>
    <row r="155" spans="1:13" ht="18" customHeight="1">
      <c r="A155" s="298" t="str">
        <f t="shared" si="23"/>
        <v>TP</v>
      </c>
      <c r="B155" s="311">
        <f t="shared" si="24"/>
        <v>4</v>
      </c>
      <c r="C155" s="302" t="s">
        <v>1010</v>
      </c>
      <c r="D155" s="310" t="s">
        <v>987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8"/>
    </row>
    <row r="156" spans="1:13" ht="18.75" customHeight="1">
      <c r="A156" s="298" t="str">
        <f t="shared" si="23"/>
        <v>TP</v>
      </c>
      <c r="B156" s="311">
        <f t="shared" si="24"/>
        <v>5</v>
      </c>
      <c r="C156" s="302" t="s">
        <v>1011</v>
      </c>
      <c r="D156" s="310" t="s">
        <v>1452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8"/>
    </row>
    <row r="157" spans="1:13" ht="18.75" customHeight="1">
      <c r="A157" s="298" t="str">
        <f t="shared" si="23"/>
        <v>TP</v>
      </c>
      <c r="B157" s="311">
        <f t="shared" si="24"/>
        <v>6</v>
      </c>
      <c r="C157" s="302" t="s">
        <v>779</v>
      </c>
      <c r="D157" s="310" t="s">
        <v>986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8"/>
    </row>
    <row r="158" spans="1:13" ht="18.75" customHeight="1">
      <c r="A158" s="298" t="str">
        <f t="shared" si="23"/>
        <v>TP</v>
      </c>
      <c r="B158" s="311">
        <f t="shared" si="24"/>
        <v>7</v>
      </c>
      <c r="C158" s="302" t="s">
        <v>914</v>
      </c>
      <c r="D158" s="310" t="s">
        <v>986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8"/>
    </row>
    <row r="159" spans="1:13" ht="18.75" customHeight="1">
      <c r="A159" s="298" t="str">
        <f t="shared" si="23"/>
        <v>TP</v>
      </c>
      <c r="B159" s="311">
        <f t="shared" si="24"/>
        <v>8</v>
      </c>
      <c r="C159" s="302" t="s">
        <v>913</v>
      </c>
      <c r="D159" s="310" t="s">
        <v>986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8"/>
    </row>
    <row r="160" spans="1:13" ht="18.75" customHeight="1">
      <c r="A160" s="298" t="str">
        <f t="shared" si="23"/>
        <v>TP</v>
      </c>
      <c r="B160" s="311">
        <f t="shared" si="24"/>
        <v>9</v>
      </c>
      <c r="C160" s="302" t="s">
        <v>1099</v>
      </c>
      <c r="D160" s="310" t="s">
        <v>986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8"/>
    </row>
    <row r="161" spans="1:13" ht="18.75" customHeight="1">
      <c r="A161" s="298" t="str">
        <f t="shared" si="23"/>
        <v>TP</v>
      </c>
      <c r="B161" s="311">
        <f t="shared" si="24"/>
        <v>10</v>
      </c>
      <c r="C161" s="302" t="s">
        <v>1098</v>
      </c>
      <c r="D161" s="310" t="s">
        <v>986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8"/>
    </row>
    <row r="162" spans="1:13" ht="18.75" customHeight="1">
      <c r="A162" s="298" t="str">
        <f t="shared" si="23"/>
        <v>TP</v>
      </c>
      <c r="B162" s="311">
        <f t="shared" si="24"/>
        <v>11</v>
      </c>
      <c r="C162" s="192" t="s">
        <v>1233</v>
      </c>
      <c r="D162" s="310" t="s">
        <v>986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8"/>
    </row>
    <row r="163" spans="1:13" ht="18.75" customHeight="1">
      <c r="A163" s="298" t="str">
        <f t="shared" si="23"/>
        <v>TP</v>
      </c>
      <c r="B163" s="311">
        <f t="shared" si="24"/>
        <v>12</v>
      </c>
      <c r="C163" s="302" t="s">
        <v>921</v>
      </c>
      <c r="D163" s="310" t="s">
        <v>986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8"/>
    </row>
    <row r="164" spans="1:13" ht="18.75" customHeight="1">
      <c r="A164" s="298" t="str">
        <f t="shared" si="23"/>
        <v>TP</v>
      </c>
      <c r="B164" s="311">
        <f t="shared" si="24"/>
        <v>13</v>
      </c>
      <c r="C164" s="302" t="s">
        <v>922</v>
      </c>
      <c r="D164" s="310" t="s">
        <v>986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8"/>
    </row>
    <row r="165" spans="1:13" ht="18.75" customHeight="1">
      <c r="A165" s="298" t="str">
        <f t="shared" si="23"/>
        <v>TP</v>
      </c>
      <c r="B165" s="311">
        <f t="shared" si="24"/>
        <v>14</v>
      </c>
      <c r="C165" s="302" t="s">
        <v>923</v>
      </c>
      <c r="D165" s="310" t="s">
        <v>986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8"/>
    </row>
    <row r="166" spans="1:13" ht="18.75" customHeight="1">
      <c r="A166" s="298" t="str">
        <f t="shared" si="23"/>
        <v>TP</v>
      </c>
      <c r="B166" s="311">
        <f t="shared" si="24"/>
        <v>15</v>
      </c>
      <c r="C166" s="302" t="s">
        <v>925</v>
      </c>
      <c r="D166" s="310" t="s">
        <v>986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8"/>
    </row>
    <row r="167" spans="1:13" ht="18.75" customHeight="1">
      <c r="A167" s="298" t="str">
        <f t="shared" si="23"/>
        <v>TP</v>
      </c>
      <c r="B167" s="311">
        <f t="shared" si="24"/>
        <v>16</v>
      </c>
      <c r="C167" s="302" t="s">
        <v>924</v>
      </c>
      <c r="D167" s="310" t="s">
        <v>986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8"/>
    </row>
    <row r="168" spans="1:13" ht="18.75" customHeight="1">
      <c r="A168" s="298" t="str">
        <f t="shared" si="23"/>
        <v>TP</v>
      </c>
      <c r="B168" s="311">
        <f t="shared" si="24"/>
        <v>17</v>
      </c>
      <c r="C168" s="302" t="s">
        <v>920</v>
      </c>
      <c r="D168" s="310" t="s">
        <v>986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8"/>
    </row>
    <row r="169" spans="1:13" ht="18.75" customHeight="1">
      <c r="A169" s="298" t="str">
        <f t="shared" si="23"/>
        <v>TP</v>
      </c>
      <c r="B169" s="311">
        <f t="shared" si="24"/>
        <v>18</v>
      </c>
      <c r="C169" s="302" t="s">
        <v>1050</v>
      </c>
      <c r="D169" s="310" t="s">
        <v>406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8"/>
    </row>
    <row r="170" spans="1:13" ht="18.75" customHeight="1">
      <c r="A170" s="298" t="str">
        <f t="shared" si="23"/>
        <v>TP</v>
      </c>
      <c r="B170" s="311">
        <f t="shared" si="24"/>
        <v>19</v>
      </c>
      <c r="C170" s="40" t="s">
        <v>1364</v>
      </c>
      <c r="D170" s="310" t="s">
        <v>1452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8"/>
    </row>
    <row r="171" spans="1:13" ht="18.75" customHeight="1">
      <c r="A171" s="298" t="str">
        <f t="shared" si="23"/>
        <v>TP</v>
      </c>
      <c r="B171" s="311">
        <f t="shared" si="24"/>
        <v>20</v>
      </c>
      <c r="C171" s="302" t="s">
        <v>890</v>
      </c>
      <c r="D171" s="310" t="s">
        <v>406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8"/>
    </row>
    <row r="172" spans="1:13" ht="18.75" customHeight="1">
      <c r="A172" s="298" t="str">
        <f t="shared" si="23"/>
        <v>TP</v>
      </c>
      <c r="B172" s="311">
        <f t="shared" si="24"/>
        <v>21</v>
      </c>
      <c r="C172" s="302" t="s">
        <v>954</v>
      </c>
      <c r="D172" s="310" t="s">
        <v>1452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8"/>
    </row>
    <row r="173" spans="1:13" ht="18.75" customHeight="1">
      <c r="A173" s="298" t="str">
        <f t="shared" si="23"/>
        <v>TP</v>
      </c>
      <c r="B173" s="311">
        <f t="shared" si="24"/>
        <v>22</v>
      </c>
      <c r="C173" s="40" t="s">
        <v>1398</v>
      </c>
      <c r="D173" s="310" t="s">
        <v>1452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8"/>
    </row>
    <row r="174" spans="1:13" ht="18.75" customHeight="1">
      <c r="A174" s="298" t="str">
        <f t="shared" si="23"/>
        <v>TP</v>
      </c>
      <c r="B174" s="311">
        <f t="shared" si="24"/>
        <v>23</v>
      </c>
      <c r="C174" s="302" t="s">
        <v>1039</v>
      </c>
      <c r="D174" s="310" t="s">
        <v>1452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8"/>
    </row>
    <row r="175" spans="1:13" ht="18.75" customHeight="1">
      <c r="A175" s="298" t="str">
        <f t="shared" si="23"/>
        <v>TP</v>
      </c>
      <c r="B175" s="311">
        <f t="shared" si="24"/>
        <v>24</v>
      </c>
      <c r="C175" s="40" t="s">
        <v>1319</v>
      </c>
      <c r="D175" s="310" t="s">
        <v>1452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8"/>
    </row>
    <row r="176" spans="1:13" ht="18.75" customHeight="1">
      <c r="A176" s="298" t="str">
        <f t="shared" si="23"/>
        <v>TP</v>
      </c>
      <c r="B176" s="311">
        <f t="shared" si="24"/>
        <v>25</v>
      </c>
      <c r="C176" s="302" t="s">
        <v>947</v>
      </c>
      <c r="D176" s="310" t="s">
        <v>1452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8"/>
    </row>
    <row r="177" spans="1:13" ht="18.75" customHeight="1">
      <c r="A177" s="298" t="str">
        <f t="shared" si="23"/>
        <v>TP</v>
      </c>
      <c r="B177" s="311">
        <f t="shared" si="24"/>
        <v>26</v>
      </c>
      <c r="C177" s="302" t="s">
        <v>955</v>
      </c>
      <c r="D177" s="310" t="s">
        <v>1452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8"/>
    </row>
    <row r="178" spans="1:13" ht="18.75" customHeight="1">
      <c r="A178" s="298" t="str">
        <f t="shared" si="23"/>
        <v>TP</v>
      </c>
      <c r="B178" s="311">
        <f t="shared" si="24"/>
        <v>27</v>
      </c>
      <c r="C178" s="40" t="s">
        <v>1328</v>
      </c>
      <c r="D178" s="310" t="s">
        <v>1452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8"/>
    </row>
    <row r="179" spans="1:13" ht="18.75" customHeight="1">
      <c r="A179" s="298" t="str">
        <f t="shared" si="23"/>
        <v>TP</v>
      </c>
      <c r="B179" s="311">
        <f t="shared" si="24"/>
        <v>28</v>
      </c>
      <c r="C179" s="302" t="s">
        <v>1022</v>
      </c>
      <c r="D179" s="310" t="s">
        <v>1452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8"/>
    </row>
    <row r="180" spans="1:13" ht="18.75" customHeight="1">
      <c r="A180" s="298" t="str">
        <f t="shared" si="23"/>
        <v>TP</v>
      </c>
      <c r="B180" s="311">
        <f t="shared" si="24"/>
        <v>29</v>
      </c>
      <c r="C180" s="40" t="s">
        <v>1377</v>
      </c>
      <c r="D180" s="310" t="s">
        <v>1452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8"/>
    </row>
    <row r="181" spans="1:13" ht="18.75" customHeight="1">
      <c r="A181" s="298" t="str">
        <f t="shared" si="23"/>
        <v>TP</v>
      </c>
      <c r="B181" s="311">
        <f t="shared" si="24"/>
        <v>30</v>
      </c>
      <c r="C181" s="302" t="s">
        <v>1023</v>
      </c>
      <c r="D181" s="310" t="s">
        <v>1452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8"/>
    </row>
    <row r="182" spans="1:13" ht="18.75" customHeight="1">
      <c r="A182" s="298" t="str">
        <f t="shared" si="23"/>
        <v>TP</v>
      </c>
      <c r="B182" s="311">
        <f t="shared" si="24"/>
        <v>31</v>
      </c>
      <c r="C182" s="302" t="s">
        <v>1057</v>
      </c>
      <c r="D182" s="310" t="s">
        <v>1452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8"/>
    </row>
    <row r="183" spans="1:13" ht="18.75" customHeight="1">
      <c r="A183" s="298" t="str">
        <f t="shared" ref="A183:A188" si="27">IF(B183&lt;&gt;"","TP","")</f>
        <v>TP</v>
      </c>
      <c r="B183" s="311">
        <f t="shared" ref="B183:B188" si="28">IF(C183&lt;&gt;"",B182+1,"")</f>
        <v>32</v>
      </c>
      <c r="C183" s="40" t="s">
        <v>1329</v>
      </c>
      <c r="D183" s="310" t="s">
        <v>1452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8"/>
    </row>
    <row r="184" spans="1:13" ht="18.75" customHeight="1">
      <c r="A184" s="298" t="str">
        <f t="shared" si="27"/>
        <v>TP</v>
      </c>
      <c r="B184" s="311">
        <f t="shared" si="28"/>
        <v>33</v>
      </c>
      <c r="C184" s="302" t="s">
        <v>780</v>
      </c>
      <c r="D184" s="310" t="s">
        <v>1452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8"/>
    </row>
    <row r="185" spans="1:13" ht="18.75" customHeight="1">
      <c r="A185" s="298" t="str">
        <f t="shared" si="27"/>
        <v>TP</v>
      </c>
      <c r="B185" s="311">
        <f t="shared" si="28"/>
        <v>34</v>
      </c>
      <c r="C185" s="302" t="s">
        <v>948</v>
      </c>
      <c r="D185" s="310" t="s">
        <v>1452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8"/>
    </row>
    <row r="186" spans="1:13" ht="18.75" customHeight="1">
      <c r="A186" s="298" t="str">
        <f t="shared" si="27"/>
        <v>TP</v>
      </c>
      <c r="B186" s="311">
        <f t="shared" si="28"/>
        <v>35</v>
      </c>
      <c r="C186" s="40" t="s">
        <v>1333</v>
      </c>
      <c r="D186" s="310" t="s">
        <v>1452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8"/>
    </row>
    <row r="187" spans="1:13" ht="18.75" customHeight="1">
      <c r="A187" s="298" t="str">
        <f t="shared" si="27"/>
        <v>TP</v>
      </c>
      <c r="B187" s="311">
        <f t="shared" si="28"/>
        <v>36</v>
      </c>
      <c r="C187" s="40" t="s">
        <v>1338</v>
      </c>
      <c r="D187" s="310" t="s">
        <v>1452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8"/>
    </row>
    <row r="188" spans="1:13" ht="18.75" customHeight="1">
      <c r="A188" s="298" t="str">
        <f t="shared" si="27"/>
        <v>TP</v>
      </c>
      <c r="B188" s="311">
        <f t="shared" si="28"/>
        <v>37</v>
      </c>
      <c r="C188" s="302" t="s">
        <v>768</v>
      </c>
      <c r="D188" s="310" t="s">
        <v>1452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8"/>
    </row>
    <row r="189" spans="1:13" ht="18.75" customHeight="1">
      <c r="A189" s="298" t="str">
        <f t="shared" ref="A189:A197" si="29">IF(B189&lt;&gt;"","TP","")</f>
        <v>TP</v>
      </c>
      <c r="B189" s="311">
        <f t="shared" ref="B189:B197" si="30">IF(C189&lt;&gt;"",B188+1,"")</f>
        <v>38</v>
      </c>
      <c r="C189" s="40" t="s">
        <v>1353</v>
      </c>
      <c r="D189" s="310" t="s">
        <v>1452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8"/>
    </row>
    <row r="190" spans="1:13" ht="18.75" customHeight="1">
      <c r="A190" s="298" t="str">
        <f t="shared" si="29"/>
        <v>TP</v>
      </c>
      <c r="B190" s="311">
        <f t="shared" si="30"/>
        <v>39</v>
      </c>
      <c r="C190" s="40" t="s">
        <v>1355</v>
      </c>
      <c r="D190" s="310" t="s">
        <v>1452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8"/>
    </row>
    <row r="191" spans="1:13" ht="18.75" customHeight="1">
      <c r="A191" s="298" t="str">
        <f t="shared" si="29"/>
        <v>TP</v>
      </c>
      <c r="B191" s="311">
        <f t="shared" si="30"/>
        <v>40</v>
      </c>
      <c r="C191" s="302" t="s">
        <v>1020</v>
      </c>
      <c r="D191" s="310" t="s">
        <v>1452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8"/>
    </row>
    <row r="192" spans="1:13" ht="18.75" customHeight="1">
      <c r="A192" s="298" t="str">
        <f t="shared" si="29"/>
        <v>TP</v>
      </c>
      <c r="B192" s="311">
        <f t="shared" si="30"/>
        <v>41</v>
      </c>
      <c r="C192" s="302" t="s">
        <v>1019</v>
      </c>
      <c r="D192" s="310" t="s">
        <v>1452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8"/>
    </row>
    <row r="193" spans="1:13" ht="18.75" customHeight="1">
      <c r="A193" s="298" t="str">
        <f t="shared" si="29"/>
        <v>TP</v>
      </c>
      <c r="B193" s="311">
        <f t="shared" si="30"/>
        <v>42</v>
      </c>
      <c r="C193" s="40" t="s">
        <v>1400</v>
      </c>
      <c r="D193" s="310" t="s">
        <v>1452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8"/>
    </row>
    <row r="194" spans="1:13" ht="18.75" customHeight="1">
      <c r="A194" s="298" t="str">
        <f t="shared" si="29"/>
        <v>TP</v>
      </c>
      <c r="B194" s="311">
        <f t="shared" si="30"/>
        <v>43</v>
      </c>
      <c r="C194" s="40" t="s">
        <v>1357</v>
      </c>
      <c r="D194" s="310" t="s">
        <v>1452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8"/>
    </row>
    <row r="195" spans="1:13" ht="18.75" customHeight="1">
      <c r="A195" s="298" t="str">
        <f t="shared" si="29"/>
        <v>TP</v>
      </c>
      <c r="B195" s="311">
        <f t="shared" si="30"/>
        <v>44</v>
      </c>
      <c r="C195" s="302" t="s">
        <v>957</v>
      </c>
      <c r="D195" s="310" t="s">
        <v>1452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8"/>
    </row>
    <row r="196" spans="1:13" ht="18.75" customHeight="1">
      <c r="A196" s="298" t="str">
        <f t="shared" si="29"/>
        <v>TP</v>
      </c>
      <c r="B196" s="311">
        <f t="shared" si="30"/>
        <v>45</v>
      </c>
      <c r="C196" s="302" t="s">
        <v>1055</v>
      </c>
      <c r="D196" s="310" t="s">
        <v>1452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8"/>
    </row>
    <row r="197" spans="1:13" ht="18.75" customHeight="1">
      <c r="A197" s="298" t="str">
        <f t="shared" si="29"/>
        <v>TP</v>
      </c>
      <c r="B197" s="311">
        <f t="shared" si="30"/>
        <v>46</v>
      </c>
      <c r="C197" s="302" t="s">
        <v>927</v>
      </c>
      <c r="D197" s="310" t="s">
        <v>1452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8"/>
    </row>
    <row r="198" spans="1:13" ht="18.75" customHeight="1">
      <c r="A198" s="298" t="str">
        <f t="shared" ref="A198:A207" si="31">IF(B198&lt;&gt;"","TP","")</f>
        <v>TP</v>
      </c>
      <c r="B198" s="311">
        <f t="shared" ref="B198:B202" si="32">IF(C198&lt;&gt;"",B197+1,"")</f>
        <v>47</v>
      </c>
      <c r="C198" s="302" t="s">
        <v>956</v>
      </c>
      <c r="D198" s="310" t="s">
        <v>1452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8"/>
    </row>
    <row r="199" spans="1:13" ht="18" customHeight="1">
      <c r="A199" s="298" t="str">
        <f t="shared" si="31"/>
        <v>TP</v>
      </c>
      <c r="B199" s="311">
        <f t="shared" si="32"/>
        <v>48</v>
      </c>
      <c r="C199" s="40" t="s">
        <v>1321</v>
      </c>
      <c r="D199" s="310" t="s">
        <v>1452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8"/>
    </row>
    <row r="200" spans="1:13" ht="18" customHeight="1">
      <c r="A200" s="298" t="str">
        <f t="shared" si="31"/>
        <v>TP</v>
      </c>
      <c r="B200" s="311">
        <f t="shared" si="32"/>
        <v>49</v>
      </c>
      <c r="C200" s="40" t="s">
        <v>1337</v>
      </c>
      <c r="D200" s="310" t="s">
        <v>1452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8"/>
    </row>
    <row r="201" spans="1:13" ht="18.75" customHeight="1">
      <c r="A201" s="298" t="str">
        <f t="shared" si="31"/>
        <v>TP</v>
      </c>
      <c r="B201" s="311">
        <f t="shared" si="32"/>
        <v>50</v>
      </c>
      <c r="C201" s="302" t="s">
        <v>928</v>
      </c>
      <c r="D201" s="310" t="s">
        <v>1452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8"/>
    </row>
    <row r="202" spans="1:13" ht="18.75" customHeight="1">
      <c r="A202" s="298" t="str">
        <f t="shared" si="31"/>
        <v>TP</v>
      </c>
      <c r="B202" s="311">
        <f t="shared" si="32"/>
        <v>51</v>
      </c>
      <c r="C202" s="192" t="s">
        <v>1289</v>
      </c>
      <c r="D202" s="310" t="s">
        <v>1452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8"/>
    </row>
    <row r="203" spans="1:13" ht="18.75" customHeight="1">
      <c r="A203" s="298" t="str">
        <f t="shared" si="31"/>
        <v>TP</v>
      </c>
      <c r="B203" s="311">
        <f t="shared" ref="B203:B207" si="33">IF(C203&lt;&gt;"",B202+1,"")</f>
        <v>52</v>
      </c>
      <c r="C203" s="192" t="s">
        <v>1282</v>
      </c>
      <c r="D203" s="310" t="s">
        <v>1452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8"/>
    </row>
    <row r="204" spans="1:13" ht="18.75" customHeight="1">
      <c r="A204" s="298" t="str">
        <f t="shared" si="31"/>
        <v>TP</v>
      </c>
      <c r="B204" s="311">
        <f t="shared" si="33"/>
        <v>53</v>
      </c>
      <c r="C204" s="192" t="s">
        <v>1281</v>
      </c>
      <c r="D204" s="310" t="s">
        <v>1452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8"/>
    </row>
    <row r="205" spans="1:13" ht="18.75" customHeight="1">
      <c r="A205" s="298" t="str">
        <f t="shared" si="31"/>
        <v>TP</v>
      </c>
      <c r="B205" s="311">
        <f t="shared" si="33"/>
        <v>54</v>
      </c>
      <c r="C205" s="40" t="s">
        <v>1356</v>
      </c>
      <c r="D205" s="310" t="s">
        <v>1452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8"/>
    </row>
    <row r="206" spans="1:13" ht="18.75" customHeight="1">
      <c r="A206" s="298" t="str">
        <f t="shared" si="31"/>
        <v>TP</v>
      </c>
      <c r="B206" s="311">
        <f t="shared" si="33"/>
        <v>55</v>
      </c>
      <c r="C206" s="302" t="s">
        <v>781</v>
      </c>
      <c r="D206" s="310" t="s">
        <v>1452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8"/>
    </row>
    <row r="207" spans="1:13" ht="18.75" customHeight="1">
      <c r="A207" s="298" t="str">
        <f t="shared" si="31"/>
        <v>TP</v>
      </c>
      <c r="B207" s="311">
        <f t="shared" si="33"/>
        <v>56</v>
      </c>
      <c r="C207" s="40" t="s">
        <v>1412</v>
      </c>
      <c r="D207" s="310" t="s">
        <v>1452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8"/>
    </row>
    <row r="208" spans="1:13" ht="18.75" customHeight="1">
      <c r="A208" s="298" t="str">
        <f>IF(B208&lt;&gt;"","TP","")</f>
        <v>TP</v>
      </c>
      <c r="B208" s="311">
        <f>IF(C208&lt;&gt;"",B207+1,"")</f>
        <v>57</v>
      </c>
      <c r="C208" s="302" t="s">
        <v>771</v>
      </c>
      <c r="D208" s="310" t="s">
        <v>1452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8"/>
    </row>
    <row r="209" spans="1:13" ht="18.75" customHeight="1">
      <c r="A209" s="298" t="str">
        <f>IF(B209&lt;&gt;"","TP","")</f>
        <v>TP</v>
      </c>
      <c r="B209" s="311">
        <f>IF(C209&lt;&gt;"",B208+1,"")</f>
        <v>58</v>
      </c>
      <c r="C209" s="302" t="s">
        <v>1028</v>
      </c>
      <c r="D209" s="310" t="s">
        <v>1452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8"/>
    </row>
    <row r="210" spans="1:13" ht="18.75" customHeight="1">
      <c r="A210" s="298" t="str">
        <f>IF(B210&lt;&gt;"","TP","")</f>
        <v>TP</v>
      </c>
      <c r="B210" s="311">
        <f>IF(C210&lt;&gt;"",B209+1,"")</f>
        <v>59</v>
      </c>
      <c r="C210" s="40" t="s">
        <v>1413</v>
      </c>
      <c r="D210" s="310" t="s">
        <v>1452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8"/>
    </row>
    <row r="211" spans="1:13" ht="18.75" customHeight="1">
      <c r="A211" s="298" t="str">
        <f>IF(B211&lt;&gt;"","TP","")</f>
        <v>TP</v>
      </c>
      <c r="B211" s="311">
        <f>IF(C211&lt;&gt;"",B210+1,"")</f>
        <v>60</v>
      </c>
      <c r="C211" s="302" t="s">
        <v>1056</v>
      </c>
      <c r="D211" s="310" t="s">
        <v>1452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8"/>
    </row>
    <row r="212" spans="1:13" ht="18.75" customHeight="1">
      <c r="A212" s="298" t="str">
        <f>IF(B212&lt;&gt;"","TP","")</f>
        <v>TP</v>
      </c>
      <c r="B212" s="311">
        <f>IF(C212&lt;&gt;"",B211+1,"")</f>
        <v>61</v>
      </c>
      <c r="C212" s="302" t="s">
        <v>1059</v>
      </c>
      <c r="D212" s="310" t="s">
        <v>1452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8"/>
    </row>
    <row r="213" spans="1:13" ht="18.75" customHeight="1">
      <c r="A213" s="298" t="str">
        <f t="shared" ref="A213:A218" si="34">IF(B213&lt;&gt;"","TP","")</f>
        <v>TP</v>
      </c>
      <c r="B213" s="311">
        <f t="shared" ref="B213:B218" si="35">IF(C213&lt;&gt;"",B212+1,"")</f>
        <v>62</v>
      </c>
      <c r="C213" s="302" t="s">
        <v>1061</v>
      </c>
      <c r="D213" s="310" t="s">
        <v>1452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8"/>
    </row>
    <row r="214" spans="1:13" ht="18.75" customHeight="1">
      <c r="A214" s="298" t="str">
        <f t="shared" si="34"/>
        <v>TP</v>
      </c>
      <c r="B214" s="311">
        <f t="shared" si="35"/>
        <v>63</v>
      </c>
      <c r="C214" s="40" t="s">
        <v>1313</v>
      </c>
      <c r="D214" s="310" t="s">
        <v>1452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8"/>
    </row>
    <row r="215" spans="1:13" ht="18.75" customHeight="1">
      <c r="A215" s="298" t="str">
        <f t="shared" si="34"/>
        <v>TP</v>
      </c>
      <c r="B215" s="311">
        <f t="shared" si="35"/>
        <v>64</v>
      </c>
      <c r="C215" s="192" t="s">
        <v>1284</v>
      </c>
      <c r="D215" s="310" t="s">
        <v>1452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8"/>
    </row>
    <row r="216" spans="1:13" ht="18.75" customHeight="1">
      <c r="A216" s="298" t="str">
        <f t="shared" si="34"/>
        <v>TP</v>
      </c>
      <c r="B216" s="311">
        <f t="shared" si="35"/>
        <v>65</v>
      </c>
      <c r="C216" s="40" t="s">
        <v>1335</v>
      </c>
      <c r="D216" s="310" t="s">
        <v>1452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8"/>
    </row>
    <row r="217" spans="1:13" ht="19.5" customHeight="1">
      <c r="A217" s="298" t="str">
        <f t="shared" si="34"/>
        <v>TP</v>
      </c>
      <c r="B217" s="311">
        <f t="shared" si="35"/>
        <v>66</v>
      </c>
      <c r="C217" s="302" t="s">
        <v>767</v>
      </c>
      <c r="D217" s="310" t="s">
        <v>1452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8"/>
    </row>
    <row r="218" spans="1:13" ht="19.5" customHeight="1">
      <c r="A218" s="298" t="str">
        <f t="shared" si="34"/>
        <v>TP</v>
      </c>
      <c r="B218" s="311">
        <f t="shared" si="35"/>
        <v>67</v>
      </c>
      <c r="C218" s="40" t="s">
        <v>1378</v>
      </c>
      <c r="D218" s="310" t="s">
        <v>1452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8"/>
    </row>
    <row r="219" spans="1:13" ht="19.5" customHeight="1">
      <c r="A219" s="298" t="str">
        <f t="shared" ref="A219:A227" si="38">IF(B219&lt;&gt;"","TP","")</f>
        <v>TP</v>
      </c>
      <c r="B219" s="311">
        <f t="shared" ref="B219:B227" si="39">IF(C219&lt;&gt;"",B218+1,"")</f>
        <v>68</v>
      </c>
      <c r="C219" s="40" t="s">
        <v>1422</v>
      </c>
      <c r="D219" s="310" t="s">
        <v>1452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8"/>
    </row>
    <row r="220" spans="1:13" ht="19.5" customHeight="1">
      <c r="A220" s="298" t="str">
        <f t="shared" si="38"/>
        <v>TP</v>
      </c>
      <c r="B220" s="311">
        <f t="shared" si="39"/>
        <v>69</v>
      </c>
      <c r="C220" s="40" t="s">
        <v>1358</v>
      </c>
      <c r="D220" s="310" t="s">
        <v>1452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8"/>
    </row>
    <row r="221" spans="1:13" ht="19.5" customHeight="1">
      <c r="A221" s="298" t="str">
        <f t="shared" si="38"/>
        <v>TP</v>
      </c>
      <c r="B221" s="311">
        <f t="shared" si="39"/>
        <v>70</v>
      </c>
      <c r="C221" s="40" t="s">
        <v>1359</v>
      </c>
      <c r="D221" s="310" t="s">
        <v>1452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8"/>
    </row>
    <row r="222" spans="1:13" ht="19.5" customHeight="1">
      <c r="A222" s="298" t="str">
        <f t="shared" si="38"/>
        <v>TP</v>
      </c>
      <c r="B222" s="311">
        <f t="shared" si="39"/>
        <v>71</v>
      </c>
      <c r="C222" s="40" t="s">
        <v>1426</v>
      </c>
      <c r="D222" s="310" t="s">
        <v>1452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8"/>
    </row>
    <row r="223" spans="1:13" ht="19.5" customHeight="1">
      <c r="A223" s="298" t="str">
        <f t="shared" si="38"/>
        <v>TP</v>
      </c>
      <c r="B223" s="311">
        <f t="shared" si="39"/>
        <v>72</v>
      </c>
      <c r="C223" s="40" t="s">
        <v>1418</v>
      </c>
      <c r="D223" s="310" t="s">
        <v>1452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8"/>
    </row>
    <row r="224" spans="1:13" ht="19.5" customHeight="1">
      <c r="A224" s="298" t="str">
        <f t="shared" si="38"/>
        <v>TP</v>
      </c>
      <c r="B224" s="311">
        <f t="shared" si="39"/>
        <v>73</v>
      </c>
      <c r="C224" s="302" t="s">
        <v>777</v>
      </c>
      <c r="D224" s="310" t="s">
        <v>1452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8"/>
    </row>
    <row r="225" spans="1:13" ht="19.5" customHeight="1">
      <c r="A225" s="298" t="str">
        <f t="shared" si="38"/>
        <v>TP</v>
      </c>
      <c r="B225" s="311">
        <f t="shared" si="39"/>
        <v>74</v>
      </c>
      <c r="C225" s="302" t="s">
        <v>946</v>
      </c>
      <c r="D225" s="310" t="s">
        <v>1452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8"/>
    </row>
    <row r="226" spans="1:13" ht="19.5" customHeight="1">
      <c r="A226" s="298" t="str">
        <f t="shared" si="38"/>
        <v>TP</v>
      </c>
      <c r="B226" s="311">
        <f t="shared" si="39"/>
        <v>75</v>
      </c>
      <c r="C226" s="302" t="s">
        <v>929</v>
      </c>
      <c r="D226" s="310" t="s">
        <v>1452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8"/>
    </row>
    <row r="227" spans="1:13" ht="19.5" customHeight="1">
      <c r="A227" s="298" t="str">
        <f t="shared" si="38"/>
        <v>TP</v>
      </c>
      <c r="B227" s="311">
        <f t="shared" si="39"/>
        <v>76</v>
      </c>
      <c r="C227" s="40" t="s">
        <v>1420</v>
      </c>
      <c r="D227" s="310" t="s">
        <v>1452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8"/>
    </row>
    <row r="228" spans="1:13" ht="19.5" customHeight="1">
      <c r="A228" s="298" t="str">
        <f t="shared" ref="A228:A239" si="40">IF(B228&lt;&gt;"","TP","")</f>
        <v>TP</v>
      </c>
      <c r="B228" s="311">
        <f t="shared" ref="B228:B239" si="41">IF(C228&lt;&gt;"",B227+1,"")</f>
        <v>77</v>
      </c>
      <c r="C228" s="302" t="s">
        <v>778</v>
      </c>
      <c r="D228" s="310" t="s">
        <v>1452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8"/>
    </row>
    <row r="229" spans="1:13" ht="19.5" customHeight="1">
      <c r="A229" s="298" t="str">
        <f t="shared" si="40"/>
        <v>TP</v>
      </c>
      <c r="B229" s="311">
        <f t="shared" si="41"/>
        <v>78</v>
      </c>
      <c r="C229" s="40" t="s">
        <v>1411</v>
      </c>
      <c r="D229" s="310" t="s">
        <v>1452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8"/>
    </row>
    <row r="230" spans="1:13" ht="19.5" customHeight="1">
      <c r="A230" s="298" t="str">
        <f t="shared" si="40"/>
        <v>TP</v>
      </c>
      <c r="B230" s="311">
        <f t="shared" si="41"/>
        <v>79</v>
      </c>
      <c r="C230" s="302" t="s">
        <v>1036</v>
      </c>
      <c r="D230" s="310" t="s">
        <v>1452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8"/>
    </row>
    <row r="231" spans="1:13" ht="19.5" customHeight="1">
      <c r="A231" s="298" t="str">
        <f t="shared" si="40"/>
        <v>TP</v>
      </c>
      <c r="B231" s="311">
        <f t="shared" si="41"/>
        <v>80</v>
      </c>
      <c r="C231" s="302" t="s">
        <v>772</v>
      </c>
      <c r="D231" s="310" t="s">
        <v>1452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8"/>
    </row>
    <row r="232" spans="1:13" ht="19.5" customHeight="1">
      <c r="A232" s="298" t="str">
        <f t="shared" si="40"/>
        <v>TP</v>
      </c>
      <c r="B232" s="311">
        <f t="shared" si="41"/>
        <v>81</v>
      </c>
      <c r="C232" s="302" t="s">
        <v>1034</v>
      </c>
      <c r="D232" s="310" t="s">
        <v>1452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8"/>
    </row>
    <row r="233" spans="1:13" ht="19.5" customHeight="1">
      <c r="A233" s="298" t="str">
        <f t="shared" si="40"/>
        <v>TP</v>
      </c>
      <c r="B233" s="311">
        <f t="shared" si="41"/>
        <v>82</v>
      </c>
      <c r="C233" s="40" t="s">
        <v>1415</v>
      </c>
      <c r="D233" s="310" t="s">
        <v>1452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8"/>
    </row>
    <row r="234" spans="1:13" ht="19.5" customHeight="1">
      <c r="A234" s="298" t="str">
        <f t="shared" si="40"/>
        <v>TP</v>
      </c>
      <c r="B234" s="311">
        <f t="shared" si="41"/>
        <v>83</v>
      </c>
      <c r="C234" s="40" t="s">
        <v>1315</v>
      </c>
      <c r="D234" s="310" t="s">
        <v>1452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8"/>
    </row>
    <row r="235" spans="1:13" ht="19.5" customHeight="1">
      <c r="A235" s="298" t="str">
        <f t="shared" si="40"/>
        <v>TP</v>
      </c>
      <c r="B235" s="311">
        <f t="shared" si="41"/>
        <v>84</v>
      </c>
      <c r="C235" s="302" t="s">
        <v>950</v>
      </c>
      <c r="D235" s="310" t="s">
        <v>1452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8"/>
    </row>
    <row r="236" spans="1:13" ht="19.5" customHeight="1">
      <c r="A236" s="298" t="str">
        <f t="shared" si="40"/>
        <v>TP</v>
      </c>
      <c r="B236" s="311">
        <f t="shared" si="41"/>
        <v>85</v>
      </c>
      <c r="C236" s="302" t="s">
        <v>952</v>
      </c>
      <c r="D236" s="310" t="s">
        <v>1452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8"/>
    </row>
    <row r="237" spans="1:13" ht="19.5" customHeight="1">
      <c r="A237" s="298" t="str">
        <f t="shared" si="40"/>
        <v>TP</v>
      </c>
      <c r="B237" s="311">
        <f t="shared" si="41"/>
        <v>86</v>
      </c>
      <c r="C237" s="302" t="s">
        <v>769</v>
      </c>
      <c r="D237" s="310" t="s">
        <v>1452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8"/>
    </row>
    <row r="238" spans="1:13" ht="19.5" customHeight="1">
      <c r="A238" s="298" t="str">
        <f t="shared" si="40"/>
        <v>TP</v>
      </c>
      <c r="B238" s="311">
        <f t="shared" si="41"/>
        <v>87</v>
      </c>
      <c r="C238" s="40" t="s">
        <v>1379</v>
      </c>
      <c r="D238" s="310" t="s">
        <v>1452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8"/>
    </row>
    <row r="239" spans="1:13" ht="19.5" customHeight="1">
      <c r="A239" s="298" t="str">
        <f t="shared" si="40"/>
        <v>TP</v>
      </c>
      <c r="B239" s="311">
        <f t="shared" si="41"/>
        <v>88</v>
      </c>
      <c r="C239" s="192" t="s">
        <v>1290</v>
      </c>
      <c r="D239" s="310" t="s">
        <v>1452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8"/>
    </row>
    <row r="240" spans="1:13" ht="19.5" customHeight="1">
      <c r="A240" s="298" t="str">
        <f t="shared" ref="A240:A256" si="42">IF(B240&lt;&gt;"","TP","")</f>
        <v>TP</v>
      </c>
      <c r="B240" s="311">
        <f t="shared" ref="B240:B256" si="43">IF(C240&lt;&gt;"",B239+1,"")</f>
        <v>89</v>
      </c>
      <c r="C240" s="40" t="s">
        <v>1326</v>
      </c>
      <c r="D240" s="310" t="s">
        <v>1452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8"/>
    </row>
    <row r="241" spans="1:13" ht="19.5" customHeight="1">
      <c r="A241" s="298" t="str">
        <f t="shared" si="42"/>
        <v>TP</v>
      </c>
      <c r="B241" s="311">
        <f t="shared" si="43"/>
        <v>90</v>
      </c>
      <c r="C241" s="40" t="s">
        <v>1324</v>
      </c>
      <c r="D241" s="310" t="s">
        <v>1452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8"/>
    </row>
    <row r="242" spans="1:13" ht="19.5" customHeight="1">
      <c r="A242" s="298" t="str">
        <f t="shared" si="42"/>
        <v>TP</v>
      </c>
      <c r="B242" s="311">
        <f t="shared" si="43"/>
        <v>91</v>
      </c>
      <c r="C242" s="40" t="s">
        <v>1325</v>
      </c>
      <c r="D242" s="310" t="s">
        <v>1452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8"/>
    </row>
    <row r="243" spans="1:13" ht="19.5" customHeight="1">
      <c r="A243" s="298" t="str">
        <f t="shared" si="42"/>
        <v>TP</v>
      </c>
      <c r="B243" s="311">
        <f t="shared" si="43"/>
        <v>92</v>
      </c>
      <c r="C243" s="40" t="s">
        <v>1318</v>
      </c>
      <c r="D243" s="310" t="s">
        <v>1452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8"/>
    </row>
    <row r="244" spans="1:13" ht="19.5" customHeight="1">
      <c r="A244" s="298" t="str">
        <f t="shared" si="42"/>
        <v>TP</v>
      </c>
      <c r="B244" s="311">
        <f t="shared" si="43"/>
        <v>93</v>
      </c>
      <c r="C244" s="40" t="s">
        <v>1380</v>
      </c>
      <c r="D244" s="310" t="s">
        <v>1452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8"/>
    </row>
    <row r="245" spans="1:13" ht="19.5" customHeight="1">
      <c r="A245" s="298" t="str">
        <f t="shared" si="42"/>
        <v>TP</v>
      </c>
      <c r="B245" s="311">
        <f t="shared" si="43"/>
        <v>94</v>
      </c>
      <c r="C245" s="40" t="s">
        <v>1381</v>
      </c>
      <c r="D245" s="310" t="s">
        <v>1452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8"/>
    </row>
    <row r="246" spans="1:13" ht="19.5" customHeight="1">
      <c r="A246" s="298" t="str">
        <f t="shared" si="42"/>
        <v>TP</v>
      </c>
      <c r="B246" s="311">
        <f t="shared" si="43"/>
        <v>95</v>
      </c>
      <c r="C246" s="40" t="s">
        <v>1416</v>
      </c>
      <c r="D246" s="310" t="s">
        <v>1452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8"/>
    </row>
    <row r="247" spans="1:13" ht="19.5" customHeight="1">
      <c r="A247" s="298" t="str">
        <f t="shared" si="42"/>
        <v>TP</v>
      </c>
      <c r="B247" s="311">
        <f t="shared" si="43"/>
        <v>96</v>
      </c>
      <c r="C247" s="40" t="s">
        <v>1382</v>
      </c>
      <c r="D247" s="310" t="s">
        <v>1452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8"/>
    </row>
    <row r="248" spans="1:13" ht="19.5" customHeight="1">
      <c r="A248" s="298" t="str">
        <f t="shared" si="42"/>
        <v>TP</v>
      </c>
      <c r="B248" s="311">
        <f t="shared" si="43"/>
        <v>97</v>
      </c>
      <c r="C248" s="302" t="s">
        <v>1031</v>
      </c>
      <c r="D248" s="310" t="s">
        <v>1452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8"/>
    </row>
    <row r="249" spans="1:13" ht="19.5" customHeight="1">
      <c r="A249" s="298" t="str">
        <f t="shared" si="42"/>
        <v>TP</v>
      </c>
      <c r="B249" s="311">
        <f t="shared" si="43"/>
        <v>98</v>
      </c>
      <c r="C249" s="40" t="s">
        <v>1409</v>
      </c>
      <c r="D249" s="310" t="s">
        <v>1452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8"/>
    </row>
    <row r="250" spans="1:13" ht="19.5" customHeight="1">
      <c r="A250" s="298" t="str">
        <f t="shared" si="42"/>
        <v>TP</v>
      </c>
      <c r="B250" s="311">
        <f t="shared" si="43"/>
        <v>99</v>
      </c>
      <c r="C250" s="302" t="s">
        <v>1058</v>
      </c>
      <c r="D250" s="310" t="s">
        <v>1452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8"/>
    </row>
    <row r="251" spans="1:13" ht="19.5" customHeight="1">
      <c r="A251" s="298" t="str">
        <f t="shared" si="42"/>
        <v>TP</v>
      </c>
      <c r="B251" s="311">
        <f t="shared" si="43"/>
        <v>100</v>
      </c>
      <c r="C251" s="192" t="s">
        <v>1278</v>
      </c>
      <c r="D251" s="310" t="s">
        <v>1452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8"/>
    </row>
    <row r="252" spans="1:13" ht="19.5" customHeight="1">
      <c r="A252" s="298" t="str">
        <f t="shared" si="42"/>
        <v>TP</v>
      </c>
      <c r="B252" s="311">
        <f t="shared" si="43"/>
        <v>101</v>
      </c>
      <c r="C252" s="192" t="s">
        <v>1287</v>
      </c>
      <c r="D252" s="310" t="s">
        <v>1452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8"/>
    </row>
    <row r="253" spans="1:13" ht="19.5" customHeight="1">
      <c r="A253" s="298" t="str">
        <f t="shared" si="42"/>
        <v>TP</v>
      </c>
      <c r="B253" s="311">
        <f t="shared" si="43"/>
        <v>102</v>
      </c>
      <c r="C253" s="40" t="s">
        <v>1334</v>
      </c>
      <c r="D253" s="310" t="s">
        <v>1452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8"/>
    </row>
    <row r="254" spans="1:13" ht="19.5" customHeight="1">
      <c r="A254" s="298" t="str">
        <f t="shared" si="42"/>
        <v>TP</v>
      </c>
      <c r="B254" s="311">
        <f t="shared" si="43"/>
        <v>103</v>
      </c>
      <c r="C254" s="302" t="s">
        <v>1060</v>
      </c>
      <c r="D254" s="310" t="s">
        <v>1452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8"/>
    </row>
    <row r="255" spans="1:13" ht="19.5" customHeight="1">
      <c r="A255" s="298" t="str">
        <f t="shared" si="42"/>
        <v>TP</v>
      </c>
      <c r="B255" s="311">
        <f t="shared" si="43"/>
        <v>104</v>
      </c>
      <c r="C255" s="192" t="s">
        <v>1279</v>
      </c>
      <c r="D255" s="310" t="s">
        <v>1452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8"/>
    </row>
    <row r="256" spans="1:13" ht="19.5" customHeight="1">
      <c r="A256" s="298" t="str">
        <f t="shared" si="42"/>
        <v>TP</v>
      </c>
      <c r="B256" s="311">
        <f t="shared" si="43"/>
        <v>105</v>
      </c>
      <c r="C256" s="40" t="s">
        <v>1336</v>
      </c>
      <c r="D256" s="310" t="s">
        <v>1452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8"/>
    </row>
    <row r="257" spans="1:13" ht="19.5" customHeight="1">
      <c r="A257" s="298" t="str">
        <f t="shared" ref="A257:A272" si="44">IF(B257&lt;&gt;"","TP","")</f>
        <v>TP</v>
      </c>
      <c r="B257" s="311">
        <f t="shared" ref="B257:B258" si="45">IF(C257&lt;&gt;"",B256+1,"")</f>
        <v>106</v>
      </c>
      <c r="C257" s="192" t="s">
        <v>1295</v>
      </c>
      <c r="D257" s="310" t="s">
        <v>1452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8"/>
    </row>
    <row r="258" spans="1:13" ht="19.5" customHeight="1">
      <c r="A258" s="298" t="str">
        <f t="shared" si="44"/>
        <v>TP</v>
      </c>
      <c r="B258" s="311">
        <f t="shared" si="45"/>
        <v>107</v>
      </c>
      <c r="C258" s="302" t="s">
        <v>770</v>
      </c>
      <c r="D258" s="310" t="s">
        <v>1452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8"/>
    </row>
    <row r="259" spans="1:13" ht="19.5" customHeight="1">
      <c r="A259" s="298" t="str">
        <f t="shared" si="44"/>
        <v>TP</v>
      </c>
      <c r="B259" s="311">
        <f t="shared" ref="B259:B261" si="46">IF(C259&lt;&gt;"",B258+1,"")</f>
        <v>108</v>
      </c>
      <c r="C259" s="40" t="s">
        <v>1383</v>
      </c>
      <c r="D259" s="310" t="s">
        <v>1452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8"/>
    </row>
    <row r="260" spans="1:13" ht="19.5" customHeight="1">
      <c r="A260" s="298" t="str">
        <f t="shared" si="44"/>
        <v>TP</v>
      </c>
      <c r="B260" s="311">
        <f t="shared" si="46"/>
        <v>109</v>
      </c>
      <c r="C260" s="40" t="s">
        <v>1408</v>
      </c>
      <c r="D260" s="310" t="s">
        <v>1452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8"/>
    </row>
    <row r="261" spans="1:13" ht="19.5" customHeight="1">
      <c r="A261" s="298" t="str">
        <f t="shared" si="44"/>
        <v>TP</v>
      </c>
      <c r="B261" s="311">
        <f t="shared" si="46"/>
        <v>110</v>
      </c>
      <c r="C261" s="302" t="s">
        <v>1033</v>
      </c>
      <c r="D261" s="310" t="s">
        <v>1452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8"/>
    </row>
    <row r="262" spans="1:13" ht="19.5" customHeight="1">
      <c r="A262" s="298" t="str">
        <f t="shared" si="44"/>
        <v>TP</v>
      </c>
      <c r="B262" s="311">
        <f t="shared" ref="B262:B272" si="47">IF(C262&lt;&gt;"",B261+1,"")</f>
        <v>111</v>
      </c>
      <c r="C262" s="40" t="s">
        <v>1384</v>
      </c>
      <c r="D262" s="310" t="s">
        <v>1452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8"/>
    </row>
    <row r="263" spans="1:13" ht="19.5" customHeight="1">
      <c r="A263" s="298" t="str">
        <f t="shared" si="44"/>
        <v>TP</v>
      </c>
      <c r="B263" s="311">
        <f t="shared" si="47"/>
        <v>112</v>
      </c>
      <c r="C263" s="302" t="s">
        <v>926</v>
      </c>
      <c r="D263" s="310" t="s">
        <v>1452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8"/>
    </row>
    <row r="264" spans="1:13" ht="19.5" customHeight="1">
      <c r="A264" s="298" t="str">
        <f t="shared" si="44"/>
        <v>TP</v>
      </c>
      <c r="B264" s="311">
        <f t="shared" si="47"/>
        <v>113</v>
      </c>
      <c r="C264" s="302" t="s">
        <v>916</v>
      </c>
      <c r="D264" s="310" t="s">
        <v>1452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8"/>
    </row>
    <row r="265" spans="1:13" ht="19.5" customHeight="1">
      <c r="A265" s="298" t="str">
        <f t="shared" si="44"/>
        <v>TP</v>
      </c>
      <c r="B265" s="311">
        <f t="shared" si="47"/>
        <v>114</v>
      </c>
      <c r="C265" s="40" t="s">
        <v>1316</v>
      </c>
      <c r="D265" s="310" t="s">
        <v>1452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8"/>
    </row>
    <row r="266" spans="1:13" ht="19.5" customHeight="1">
      <c r="A266" s="298" t="str">
        <f t="shared" si="44"/>
        <v>TP</v>
      </c>
      <c r="B266" s="311">
        <f t="shared" si="47"/>
        <v>115</v>
      </c>
      <c r="C266" s="40" t="s">
        <v>1385</v>
      </c>
      <c r="D266" s="310" t="s">
        <v>1452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8"/>
    </row>
    <row r="267" spans="1:13" ht="19.5" customHeight="1">
      <c r="A267" s="298" t="str">
        <f t="shared" si="44"/>
        <v>TP</v>
      </c>
      <c r="B267" s="311">
        <f t="shared" si="47"/>
        <v>116</v>
      </c>
      <c r="C267" s="192" t="s">
        <v>1294</v>
      </c>
      <c r="D267" s="310" t="s">
        <v>1452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8"/>
    </row>
    <row r="268" spans="1:13" ht="19.5" customHeight="1">
      <c r="A268" s="298" t="str">
        <f t="shared" si="44"/>
        <v>TP</v>
      </c>
      <c r="B268" s="311">
        <f t="shared" si="47"/>
        <v>117</v>
      </c>
      <c r="C268" s="302" t="s">
        <v>764</v>
      </c>
      <c r="D268" s="310" t="s">
        <v>1452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8"/>
    </row>
    <row r="269" spans="1:13" ht="19.5" customHeight="1">
      <c r="A269" s="298" t="str">
        <f t="shared" si="44"/>
        <v>TP</v>
      </c>
      <c r="B269" s="311">
        <f t="shared" si="47"/>
        <v>118</v>
      </c>
      <c r="C269" s="302" t="s">
        <v>774</v>
      </c>
      <c r="D269" s="310" t="s">
        <v>1452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8"/>
    </row>
    <row r="270" spans="1:13" ht="19.5" customHeight="1">
      <c r="A270" s="298" t="str">
        <f t="shared" si="44"/>
        <v>TP</v>
      </c>
      <c r="B270" s="311">
        <f t="shared" si="47"/>
        <v>119</v>
      </c>
      <c r="C270" s="302" t="s">
        <v>958</v>
      </c>
      <c r="D270" s="310" t="s">
        <v>1452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8"/>
    </row>
    <row r="271" spans="1:13" ht="19.5" customHeight="1">
      <c r="A271" s="298" t="str">
        <f t="shared" si="44"/>
        <v>TP</v>
      </c>
      <c r="B271" s="311">
        <f t="shared" si="47"/>
        <v>120</v>
      </c>
      <c r="C271" s="302" t="s">
        <v>1030</v>
      </c>
      <c r="D271" s="310" t="s">
        <v>1452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8"/>
    </row>
    <row r="272" spans="1:13" ht="19.5" customHeight="1">
      <c r="A272" s="298" t="str">
        <f t="shared" si="44"/>
        <v>TP</v>
      </c>
      <c r="B272" s="311">
        <f t="shared" si="47"/>
        <v>121</v>
      </c>
      <c r="C272" s="302" t="s">
        <v>964</v>
      </c>
      <c r="D272" s="310" t="s">
        <v>1452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8"/>
    </row>
    <row r="273" spans="1:13" ht="19.5" customHeight="1">
      <c r="A273" s="298" t="str">
        <f>IF(B273&lt;&gt;"","TP","")</f>
        <v>TP</v>
      </c>
      <c r="B273" s="311">
        <f>IF(C273&lt;&gt;"",B272+1,"")</f>
        <v>122</v>
      </c>
      <c r="C273" s="40" t="s">
        <v>1386</v>
      </c>
      <c r="D273" s="310" t="s">
        <v>1452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8"/>
    </row>
    <row r="274" spans="1:13" ht="19.5" customHeight="1">
      <c r="A274" s="298" t="str">
        <f>IF(B274&lt;&gt;"","TP","")</f>
        <v>TP</v>
      </c>
      <c r="B274" s="311">
        <f>IF(C274&lt;&gt;"",B273+1,"")</f>
        <v>123</v>
      </c>
      <c r="C274" s="302" t="s">
        <v>765</v>
      </c>
      <c r="D274" s="310" t="s">
        <v>1452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8"/>
    </row>
    <row r="275" spans="1:13" ht="19.5" customHeight="1">
      <c r="A275" s="298" t="str">
        <f>IF(B275&lt;&gt;"","TP","")</f>
        <v>TP</v>
      </c>
      <c r="B275" s="311">
        <f>IF(C275&lt;&gt;"",B274+1,"")</f>
        <v>124</v>
      </c>
      <c r="C275" s="302" t="s">
        <v>1016</v>
      </c>
      <c r="D275" s="310" t="s">
        <v>1452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8"/>
    </row>
    <row r="276" spans="1:13" ht="19.5" customHeight="1">
      <c r="A276" s="298" t="str">
        <f>IF(B276&lt;&gt;"","TP","")</f>
        <v>TP</v>
      </c>
      <c r="B276" s="311">
        <f>IF(C276&lt;&gt;"",B275+1,"")</f>
        <v>125</v>
      </c>
      <c r="C276" s="192" t="s">
        <v>1291</v>
      </c>
      <c r="D276" s="310" t="s">
        <v>1452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8"/>
    </row>
    <row r="277" spans="1:13" ht="19.5" customHeight="1">
      <c r="A277" s="298" t="str">
        <f t="shared" ref="A277:A283" si="48">IF(B277&lt;&gt;"","TP","")</f>
        <v>TP</v>
      </c>
      <c r="B277" s="311">
        <f t="shared" ref="B277:B283" si="49">IF(C277&lt;&gt;"",B276+1,"")</f>
        <v>126</v>
      </c>
      <c r="C277" s="302" t="s">
        <v>1018</v>
      </c>
      <c r="D277" s="310" t="s">
        <v>1452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8"/>
    </row>
    <row r="278" spans="1:13" ht="19.5" customHeight="1">
      <c r="A278" s="298" t="str">
        <f t="shared" si="48"/>
        <v>TP</v>
      </c>
      <c r="B278" s="311">
        <f t="shared" si="49"/>
        <v>127</v>
      </c>
      <c r="C278" s="40" t="s">
        <v>1317</v>
      </c>
      <c r="D278" s="310" t="s">
        <v>1452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8"/>
    </row>
    <row r="279" spans="1:13" ht="19.5" customHeight="1">
      <c r="A279" s="298" t="str">
        <f t="shared" si="48"/>
        <v>TP</v>
      </c>
      <c r="B279" s="311">
        <f t="shared" si="49"/>
        <v>128</v>
      </c>
      <c r="C279" s="40" t="s">
        <v>1322</v>
      </c>
      <c r="D279" s="310" t="s">
        <v>1452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8"/>
    </row>
    <row r="280" spans="1:13" ht="19.5" customHeight="1">
      <c r="A280" s="298" t="str">
        <f t="shared" si="48"/>
        <v>TP</v>
      </c>
      <c r="B280" s="311">
        <f t="shared" si="49"/>
        <v>129</v>
      </c>
      <c r="C280" s="302" t="s">
        <v>1017</v>
      </c>
      <c r="D280" s="310" t="s">
        <v>1452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8"/>
    </row>
    <row r="281" spans="1:13" ht="19.5" customHeight="1">
      <c r="A281" s="298" t="str">
        <f t="shared" si="48"/>
        <v>TP</v>
      </c>
      <c r="B281" s="311">
        <f t="shared" si="49"/>
        <v>130</v>
      </c>
      <c r="C281" s="302" t="s">
        <v>945</v>
      </c>
      <c r="D281" s="310" t="s">
        <v>1452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8"/>
    </row>
    <row r="282" spans="1:13" ht="19.5" customHeight="1">
      <c r="A282" s="298" t="str">
        <f t="shared" si="48"/>
        <v>TP</v>
      </c>
      <c r="B282" s="311">
        <f t="shared" si="49"/>
        <v>131</v>
      </c>
      <c r="C282" s="302" t="s">
        <v>959</v>
      </c>
      <c r="D282" s="310" t="s">
        <v>1452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8"/>
    </row>
    <row r="283" spans="1:13" ht="19.5" customHeight="1">
      <c r="A283" s="298" t="str">
        <f t="shared" si="48"/>
        <v>TP</v>
      </c>
      <c r="B283" s="311">
        <f t="shared" si="49"/>
        <v>132</v>
      </c>
      <c r="C283" s="40" t="s">
        <v>1330</v>
      </c>
      <c r="D283" s="310" t="s">
        <v>1452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8"/>
    </row>
    <row r="284" spans="1:13" ht="19.5" customHeight="1">
      <c r="A284" s="298" t="str">
        <f t="shared" ref="A284:A289" si="52">IF(B284&lt;&gt;"","TP","")</f>
        <v>TP</v>
      </c>
      <c r="B284" s="311">
        <f t="shared" ref="B284:B289" si="53">IF(C284&lt;&gt;"",B283+1,"")</f>
        <v>133</v>
      </c>
      <c r="C284" s="302" t="s">
        <v>1038</v>
      </c>
      <c r="D284" s="310" t="s">
        <v>1452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8"/>
    </row>
    <row r="285" spans="1:13" ht="19.5" customHeight="1">
      <c r="A285" s="298" t="str">
        <f t="shared" si="52"/>
        <v>TP</v>
      </c>
      <c r="B285" s="311">
        <f t="shared" si="53"/>
        <v>134</v>
      </c>
      <c r="C285" s="302" t="s">
        <v>1026</v>
      </c>
      <c r="D285" s="310" t="s">
        <v>1452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8"/>
    </row>
    <row r="286" spans="1:13" ht="19.5" customHeight="1">
      <c r="A286" s="298" t="str">
        <f t="shared" si="52"/>
        <v>TP</v>
      </c>
      <c r="B286" s="311">
        <f t="shared" si="53"/>
        <v>135</v>
      </c>
      <c r="C286" s="302" t="s">
        <v>1029</v>
      </c>
      <c r="D286" s="310" t="s">
        <v>1452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8"/>
    </row>
    <row r="287" spans="1:13" ht="19.5" customHeight="1">
      <c r="A287" s="298" t="str">
        <f t="shared" si="52"/>
        <v>TP</v>
      </c>
      <c r="B287" s="311">
        <f t="shared" si="53"/>
        <v>136</v>
      </c>
      <c r="C287" s="192" t="s">
        <v>1293</v>
      </c>
      <c r="D287" s="310" t="s">
        <v>1452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8"/>
    </row>
    <row r="288" spans="1:13" ht="19.5" customHeight="1">
      <c r="A288" s="298" t="str">
        <f t="shared" si="52"/>
        <v>TP</v>
      </c>
      <c r="B288" s="311">
        <f t="shared" si="53"/>
        <v>137</v>
      </c>
      <c r="C288" s="302" t="s">
        <v>937</v>
      </c>
      <c r="D288" s="310" t="s">
        <v>1452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8"/>
    </row>
    <row r="289" spans="1:13" ht="19.5" customHeight="1">
      <c r="A289" s="298" t="str">
        <f t="shared" si="52"/>
        <v>TP</v>
      </c>
      <c r="B289" s="311">
        <f t="shared" si="53"/>
        <v>138</v>
      </c>
      <c r="C289" s="302" t="s">
        <v>949</v>
      </c>
      <c r="D289" s="310" t="s">
        <v>1452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8"/>
    </row>
    <row r="290" spans="1:13" ht="19.5" customHeight="1">
      <c r="A290" s="298" t="str">
        <f t="shared" ref="A290:A296" si="54">IF(B290&lt;&gt;"","TP","")</f>
        <v>TP</v>
      </c>
      <c r="B290" s="311">
        <f t="shared" ref="B290:B296" si="55">IF(C290&lt;&gt;"",B289+1,"")</f>
        <v>139</v>
      </c>
      <c r="C290" s="192" t="s">
        <v>1296</v>
      </c>
      <c r="D290" s="310" t="s">
        <v>1452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8"/>
    </row>
    <row r="291" spans="1:13" ht="19.5" customHeight="1">
      <c r="A291" s="298" t="str">
        <f t="shared" si="54"/>
        <v>TP</v>
      </c>
      <c r="B291" s="311">
        <f t="shared" si="55"/>
        <v>140</v>
      </c>
      <c r="C291" s="192" t="s">
        <v>1283</v>
      </c>
      <c r="D291" s="310" t="s">
        <v>1452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8"/>
    </row>
    <row r="292" spans="1:13" ht="19.5" customHeight="1">
      <c r="A292" s="298" t="str">
        <f t="shared" si="54"/>
        <v>TP</v>
      </c>
      <c r="B292" s="311">
        <f t="shared" si="55"/>
        <v>141</v>
      </c>
      <c r="C292" s="40" t="s">
        <v>1323</v>
      </c>
      <c r="D292" s="310" t="s">
        <v>1452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8"/>
    </row>
    <row r="293" spans="1:13" ht="19.5" customHeight="1">
      <c r="A293" s="298" t="str">
        <f t="shared" si="54"/>
        <v>TP</v>
      </c>
      <c r="B293" s="311">
        <f t="shared" si="55"/>
        <v>142</v>
      </c>
      <c r="C293" s="40" t="s">
        <v>1419</v>
      </c>
      <c r="D293" s="310" t="s">
        <v>1452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8"/>
    </row>
    <row r="294" spans="1:13" ht="19.5" customHeight="1">
      <c r="A294" s="298" t="str">
        <f t="shared" si="54"/>
        <v>TP</v>
      </c>
      <c r="B294" s="311">
        <f t="shared" si="55"/>
        <v>143</v>
      </c>
      <c r="C294" s="302" t="s">
        <v>766</v>
      </c>
      <c r="D294" s="310" t="s">
        <v>1452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8"/>
    </row>
    <row r="295" spans="1:13" ht="19.5" customHeight="1">
      <c r="A295" s="298" t="str">
        <f t="shared" si="54"/>
        <v>TP</v>
      </c>
      <c r="B295" s="311">
        <f t="shared" si="55"/>
        <v>144</v>
      </c>
      <c r="C295" s="302" t="s">
        <v>960</v>
      </c>
      <c r="D295" s="310" t="s">
        <v>1452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8"/>
    </row>
    <row r="296" spans="1:13" ht="19.5" customHeight="1">
      <c r="A296" s="298" t="str">
        <f t="shared" si="54"/>
        <v>TP</v>
      </c>
      <c r="B296" s="311">
        <f t="shared" si="55"/>
        <v>145</v>
      </c>
      <c r="C296" s="40" t="s">
        <v>1397</v>
      </c>
      <c r="D296" s="310" t="s">
        <v>1452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8"/>
    </row>
    <row r="297" spans="1:13" ht="19.5" customHeight="1">
      <c r="A297" s="298" t="str">
        <f>IF(B297&lt;&gt;"","TP","")</f>
        <v>TP</v>
      </c>
      <c r="B297" s="311">
        <f>IF(C297&lt;&gt;"",B296+1,"")</f>
        <v>146</v>
      </c>
      <c r="C297" s="40" t="s">
        <v>1387</v>
      </c>
      <c r="D297" s="310" t="s">
        <v>1452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8"/>
    </row>
    <row r="298" spans="1:13" ht="19.5" customHeight="1">
      <c r="A298" s="298" t="str">
        <f t="shared" ref="A298:A308" si="56">IF(B298&lt;&gt;"","TP","")</f>
        <v>TP</v>
      </c>
      <c r="B298" s="311">
        <f t="shared" ref="B298:B300" si="57">IF(C298&lt;&gt;"",B297+1,"")</f>
        <v>147</v>
      </c>
      <c r="C298" s="40" t="s">
        <v>1388</v>
      </c>
      <c r="D298" s="310" t="s">
        <v>1452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8"/>
    </row>
    <row r="299" spans="1:13" ht="19.5" customHeight="1">
      <c r="A299" s="298" t="str">
        <f t="shared" si="56"/>
        <v>TP</v>
      </c>
      <c r="B299" s="311">
        <f t="shared" si="57"/>
        <v>148</v>
      </c>
      <c r="C299" s="302" t="s">
        <v>917</v>
      </c>
      <c r="D299" s="310" t="s">
        <v>1452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8"/>
    </row>
    <row r="300" spans="1:13" ht="19.5" customHeight="1">
      <c r="A300" s="298" t="str">
        <f t="shared" si="56"/>
        <v>TP</v>
      </c>
      <c r="B300" s="311">
        <f t="shared" si="57"/>
        <v>149</v>
      </c>
      <c r="C300" s="302" t="s">
        <v>1063</v>
      </c>
      <c r="D300" s="310" t="s">
        <v>1452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8"/>
    </row>
    <row r="301" spans="1:13" ht="19.5" customHeight="1">
      <c r="A301" s="298" t="str">
        <f t="shared" si="56"/>
        <v>TP</v>
      </c>
      <c r="B301" s="311">
        <f t="shared" ref="B301:B308" si="58">IF(C301&lt;&gt;"",B300+1,"")</f>
        <v>150</v>
      </c>
      <c r="C301" s="302" t="s">
        <v>1062</v>
      </c>
      <c r="D301" s="310" t="s">
        <v>1452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8"/>
    </row>
    <row r="302" spans="1:13" ht="19.5" customHeight="1">
      <c r="A302" s="298" t="str">
        <f t="shared" si="56"/>
        <v>TP</v>
      </c>
      <c r="B302" s="311">
        <f t="shared" si="58"/>
        <v>151</v>
      </c>
      <c r="C302" s="192" t="s">
        <v>1286</v>
      </c>
      <c r="D302" s="310" t="s">
        <v>1452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8"/>
    </row>
    <row r="303" spans="1:13" ht="19.5" customHeight="1">
      <c r="A303" s="298" t="str">
        <f t="shared" si="56"/>
        <v>TP</v>
      </c>
      <c r="B303" s="311">
        <f t="shared" si="58"/>
        <v>152</v>
      </c>
      <c r="C303" s="192" t="s">
        <v>1288</v>
      </c>
      <c r="D303" s="310" t="s">
        <v>1452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8"/>
    </row>
    <row r="304" spans="1:13" ht="19.5" customHeight="1">
      <c r="A304" s="298" t="str">
        <f t="shared" si="56"/>
        <v>TP</v>
      </c>
      <c r="B304" s="311">
        <f t="shared" si="58"/>
        <v>153</v>
      </c>
      <c r="C304" s="40" t="s">
        <v>1332</v>
      </c>
      <c r="D304" s="310" t="s">
        <v>1452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8"/>
    </row>
    <row r="305" spans="1:13" ht="19.5" customHeight="1">
      <c r="A305" s="298" t="str">
        <f t="shared" si="56"/>
        <v>TP</v>
      </c>
      <c r="B305" s="311">
        <f t="shared" si="58"/>
        <v>154</v>
      </c>
      <c r="C305" s="302" t="s">
        <v>1037</v>
      </c>
      <c r="D305" s="310" t="s">
        <v>1452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8"/>
    </row>
    <row r="306" spans="1:13" ht="19.5" customHeight="1">
      <c r="A306" s="298" t="str">
        <f t="shared" si="56"/>
        <v>TP</v>
      </c>
      <c r="B306" s="311">
        <f t="shared" si="58"/>
        <v>155</v>
      </c>
      <c r="C306" s="302" t="s">
        <v>936</v>
      </c>
      <c r="D306" s="310" t="s">
        <v>1452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8"/>
    </row>
    <row r="307" spans="1:13" ht="19.5" customHeight="1">
      <c r="A307" s="298" t="str">
        <f t="shared" si="56"/>
        <v>TP</v>
      </c>
      <c r="B307" s="311">
        <f t="shared" si="58"/>
        <v>156</v>
      </c>
      <c r="C307" s="302" t="s">
        <v>776</v>
      </c>
      <c r="D307" s="310" t="s">
        <v>1452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8"/>
    </row>
    <row r="308" spans="1:13" ht="19.5" customHeight="1">
      <c r="A308" s="298" t="str">
        <f t="shared" si="56"/>
        <v>TP</v>
      </c>
      <c r="B308" s="311">
        <f t="shared" si="58"/>
        <v>157</v>
      </c>
      <c r="C308" s="302" t="s">
        <v>1035</v>
      </c>
      <c r="D308" s="310" t="s">
        <v>1452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8"/>
    </row>
    <row r="309" spans="1:13" ht="19.5" customHeight="1">
      <c r="A309" s="298" t="str">
        <f t="shared" ref="A309:A316" si="59">IF(B309&lt;&gt;"","TP","")</f>
        <v>TP</v>
      </c>
      <c r="B309" s="311">
        <f t="shared" ref="B309:B316" si="60">IF(C309&lt;&gt;"",B308+1,"")</f>
        <v>158</v>
      </c>
      <c r="C309" s="302" t="s">
        <v>935</v>
      </c>
      <c r="D309" s="310" t="s">
        <v>1452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8"/>
    </row>
    <row r="310" spans="1:13" ht="19.5" customHeight="1">
      <c r="A310" s="298" t="str">
        <f t="shared" si="59"/>
        <v>TP</v>
      </c>
      <c r="B310" s="311">
        <f t="shared" si="60"/>
        <v>159</v>
      </c>
      <c r="C310" s="302" t="s">
        <v>909</v>
      </c>
      <c r="D310" s="310" t="s">
        <v>1452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8"/>
    </row>
    <row r="311" spans="1:13" ht="19.5" customHeight="1">
      <c r="A311" s="298" t="str">
        <f t="shared" si="59"/>
        <v>TP</v>
      </c>
      <c r="B311" s="311">
        <f t="shared" si="60"/>
        <v>160</v>
      </c>
      <c r="C311" s="302" t="s">
        <v>962</v>
      </c>
      <c r="D311" s="310" t="s">
        <v>1452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8"/>
    </row>
    <row r="312" spans="1:13" ht="19.5" customHeight="1">
      <c r="A312" s="298" t="str">
        <f t="shared" si="59"/>
        <v>TP</v>
      </c>
      <c r="B312" s="311">
        <f t="shared" si="60"/>
        <v>161</v>
      </c>
      <c r="C312" s="40" t="s">
        <v>1389</v>
      </c>
      <c r="D312" s="310" t="s">
        <v>1452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8"/>
    </row>
    <row r="313" spans="1:13" ht="19.5" customHeight="1">
      <c r="A313" s="298" t="str">
        <f t="shared" si="59"/>
        <v>TP</v>
      </c>
      <c r="B313" s="311">
        <f t="shared" si="60"/>
        <v>162</v>
      </c>
      <c r="C313" s="302" t="s">
        <v>782</v>
      </c>
      <c r="D313" s="310" t="s">
        <v>1452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8"/>
    </row>
    <row r="314" spans="1:13" ht="19.5" customHeight="1">
      <c r="A314" s="298" t="str">
        <f t="shared" si="59"/>
        <v>TP</v>
      </c>
      <c r="B314" s="311">
        <f t="shared" si="60"/>
        <v>163</v>
      </c>
      <c r="C314" s="40" t="s">
        <v>1410</v>
      </c>
      <c r="D314" s="310" t="s">
        <v>1452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8"/>
    </row>
    <row r="315" spans="1:13" ht="19.5" customHeight="1">
      <c r="A315" s="298" t="str">
        <f t="shared" si="59"/>
        <v>TP</v>
      </c>
      <c r="B315" s="311">
        <f t="shared" si="60"/>
        <v>164</v>
      </c>
      <c r="C315" s="192" t="s">
        <v>1292</v>
      </c>
      <c r="D315" s="310" t="s">
        <v>1452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8"/>
    </row>
    <row r="316" spans="1:13" ht="19.5" customHeight="1">
      <c r="A316" s="298" t="str">
        <f t="shared" si="59"/>
        <v>TP</v>
      </c>
      <c r="B316" s="311">
        <f t="shared" si="60"/>
        <v>165</v>
      </c>
      <c r="C316" s="40" t="s">
        <v>1327</v>
      </c>
      <c r="D316" s="310" t="s">
        <v>1452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8"/>
    </row>
    <row r="317" spans="1:13" ht="19.5" customHeight="1">
      <c r="A317" s="298" t="str">
        <f t="shared" ref="A317:A320" si="61">IF(B317&lt;&gt;"","TP","")</f>
        <v>TP</v>
      </c>
      <c r="B317" s="311">
        <f t="shared" ref="B317:B320" si="62">IF(C317&lt;&gt;"",B316+1,"")</f>
        <v>166</v>
      </c>
      <c r="C317" s="192" t="s">
        <v>1285</v>
      </c>
      <c r="D317" s="310" t="s">
        <v>1452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8"/>
    </row>
    <row r="318" spans="1:13" ht="19.5" customHeight="1">
      <c r="A318" s="298" t="str">
        <f t="shared" si="61"/>
        <v>TP</v>
      </c>
      <c r="B318" s="311">
        <f t="shared" si="62"/>
        <v>167</v>
      </c>
      <c r="C318" s="40" t="s">
        <v>1390</v>
      </c>
      <c r="D318" s="310" t="s">
        <v>1452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8"/>
    </row>
    <row r="319" spans="1:13" ht="19.5" customHeight="1">
      <c r="A319" s="298" t="str">
        <f t="shared" si="61"/>
        <v>TP</v>
      </c>
      <c r="B319" s="311">
        <f t="shared" si="62"/>
        <v>168</v>
      </c>
      <c r="C319" s="40" t="s">
        <v>1391</v>
      </c>
      <c r="D319" s="310" t="s">
        <v>1452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8"/>
    </row>
    <row r="320" spans="1:13" ht="19.5" customHeight="1">
      <c r="A320" s="298" t="str">
        <f t="shared" si="61"/>
        <v>TP</v>
      </c>
      <c r="B320" s="311">
        <f t="shared" si="62"/>
        <v>169</v>
      </c>
      <c r="C320" s="302" t="s">
        <v>773</v>
      </c>
      <c r="D320" s="310" t="s">
        <v>1452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8"/>
    </row>
    <row r="321" spans="1:13" ht="19.5" customHeight="1">
      <c r="A321" s="298" t="str">
        <f t="shared" ref="A321:A352" si="63">IF(B321&lt;&gt;"","TP","")</f>
        <v>TP</v>
      </c>
      <c r="B321" s="311">
        <f t="shared" ref="B321:B352" si="64">IF(C321&lt;&gt;"",B320+1,"")</f>
        <v>170</v>
      </c>
      <c r="C321" s="302" t="s">
        <v>775</v>
      </c>
      <c r="D321" s="310" t="s">
        <v>1452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8"/>
    </row>
    <row r="322" spans="1:13" ht="19.5" customHeight="1">
      <c r="A322" s="298" t="str">
        <f t="shared" si="63"/>
        <v>TP</v>
      </c>
      <c r="B322" s="311">
        <f t="shared" si="64"/>
        <v>171</v>
      </c>
      <c r="C322" s="302" t="s">
        <v>965</v>
      </c>
      <c r="D322" s="310" t="s">
        <v>1452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8"/>
    </row>
    <row r="323" spans="1:13" ht="19.5" customHeight="1">
      <c r="A323" s="298" t="str">
        <f t="shared" si="63"/>
        <v>TP</v>
      </c>
      <c r="B323" s="311">
        <f t="shared" si="64"/>
        <v>172</v>
      </c>
      <c r="C323" s="302" t="s">
        <v>961</v>
      </c>
      <c r="D323" s="310" t="s">
        <v>1452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8"/>
    </row>
    <row r="324" spans="1:13" ht="19.5" customHeight="1">
      <c r="A324" s="298" t="str">
        <f t="shared" si="63"/>
        <v>TP</v>
      </c>
      <c r="B324" s="311">
        <f t="shared" si="64"/>
        <v>173</v>
      </c>
      <c r="C324" s="302" t="s">
        <v>963</v>
      </c>
      <c r="D324" s="310" t="s">
        <v>1452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8"/>
    </row>
    <row r="325" spans="1:13" ht="19.5" customHeight="1">
      <c r="A325" s="298" t="str">
        <f t="shared" si="63"/>
        <v>TP</v>
      </c>
      <c r="B325" s="311">
        <f t="shared" si="64"/>
        <v>174</v>
      </c>
      <c r="C325" s="302" t="s">
        <v>919</v>
      </c>
      <c r="D325" s="310" t="s">
        <v>1452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8"/>
    </row>
    <row r="326" spans="1:13" ht="19.5" customHeight="1">
      <c r="A326" s="298" t="str">
        <f t="shared" si="63"/>
        <v>TP</v>
      </c>
      <c r="B326" s="311">
        <f t="shared" si="64"/>
        <v>175</v>
      </c>
      <c r="C326" s="40" t="s">
        <v>1392</v>
      </c>
      <c r="D326" s="310" t="s">
        <v>1452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8"/>
    </row>
    <row r="327" spans="1:13" ht="19.5" customHeight="1">
      <c r="A327" s="298" t="str">
        <f t="shared" si="63"/>
        <v>TP</v>
      </c>
      <c r="B327" s="311">
        <f t="shared" si="64"/>
        <v>176</v>
      </c>
      <c r="C327" s="40" t="s">
        <v>1393</v>
      </c>
      <c r="D327" s="310" t="s">
        <v>1452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8"/>
    </row>
    <row r="328" spans="1:13" ht="19.5" customHeight="1">
      <c r="A328" s="298" t="str">
        <f t="shared" si="63"/>
        <v>TP</v>
      </c>
      <c r="B328" s="311">
        <f t="shared" si="64"/>
        <v>177</v>
      </c>
      <c r="C328" s="192" t="s">
        <v>1280</v>
      </c>
      <c r="D328" s="310" t="s">
        <v>1452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8"/>
    </row>
    <row r="329" spans="1:13" ht="19.5" customHeight="1">
      <c r="A329" s="298" t="str">
        <f t="shared" si="63"/>
        <v>TP</v>
      </c>
      <c r="B329" s="311">
        <f t="shared" si="64"/>
        <v>178</v>
      </c>
      <c r="C329" s="40" t="s">
        <v>1360</v>
      </c>
      <c r="D329" s="310" t="s">
        <v>1452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8"/>
    </row>
    <row r="330" spans="1:13" ht="19.5" customHeight="1">
      <c r="A330" s="298" t="str">
        <f t="shared" si="63"/>
        <v>TP</v>
      </c>
      <c r="B330" s="311">
        <f t="shared" si="64"/>
        <v>179</v>
      </c>
      <c r="C330" s="40" t="s">
        <v>1363</v>
      </c>
      <c r="D330" s="310" t="s">
        <v>1452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8"/>
    </row>
    <row r="331" spans="1:13" ht="19.5" customHeight="1">
      <c r="A331" s="298" t="str">
        <f t="shared" si="63"/>
        <v>TP</v>
      </c>
      <c r="B331" s="311">
        <f t="shared" si="64"/>
        <v>180</v>
      </c>
      <c r="C331" s="40" t="s">
        <v>1362</v>
      </c>
      <c r="D331" s="310" t="s">
        <v>1452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8"/>
    </row>
    <row r="332" spans="1:13" ht="19.5" customHeight="1">
      <c r="A332" s="298" t="str">
        <f t="shared" si="63"/>
        <v>TP</v>
      </c>
      <c r="B332" s="311">
        <f t="shared" si="64"/>
        <v>181</v>
      </c>
      <c r="C332" s="302" t="s">
        <v>1049</v>
      </c>
      <c r="D332" s="310" t="s">
        <v>1452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8"/>
    </row>
    <row r="333" spans="1:13" ht="19.5" customHeight="1">
      <c r="A333" s="298" t="str">
        <f t="shared" si="63"/>
        <v>TP</v>
      </c>
      <c r="B333" s="311">
        <f t="shared" si="64"/>
        <v>182</v>
      </c>
      <c r="C333" s="302" t="s">
        <v>1048</v>
      </c>
      <c r="D333" s="310" t="s">
        <v>1452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8"/>
    </row>
    <row r="334" spans="1:13" ht="19.5" customHeight="1">
      <c r="A334" s="298" t="str">
        <f t="shared" si="63"/>
        <v>TP</v>
      </c>
      <c r="B334" s="311">
        <f t="shared" si="64"/>
        <v>183</v>
      </c>
      <c r="C334" s="302" t="s">
        <v>1082</v>
      </c>
      <c r="D334" s="310" t="s">
        <v>1452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8"/>
    </row>
    <row r="335" spans="1:13" ht="19.5" customHeight="1">
      <c r="A335" s="298" t="str">
        <f t="shared" si="63"/>
        <v>TP</v>
      </c>
      <c r="B335" s="311">
        <f t="shared" si="64"/>
        <v>184</v>
      </c>
      <c r="C335" s="302" t="s">
        <v>1090</v>
      </c>
      <c r="D335" s="310" t="s">
        <v>1452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8"/>
    </row>
    <row r="336" spans="1:13" ht="19.5" customHeight="1">
      <c r="A336" s="298" t="str">
        <f t="shared" si="63"/>
        <v>TP</v>
      </c>
      <c r="B336" s="311">
        <f t="shared" si="64"/>
        <v>185</v>
      </c>
      <c r="C336" s="302" t="s">
        <v>1087</v>
      </c>
      <c r="D336" s="310" t="s">
        <v>1452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8"/>
    </row>
    <row r="337" spans="1:13" ht="19.5" customHeight="1">
      <c r="A337" s="298" t="str">
        <f t="shared" si="63"/>
        <v>TP</v>
      </c>
      <c r="B337" s="311">
        <f t="shared" si="64"/>
        <v>186</v>
      </c>
      <c r="C337" s="302" t="s">
        <v>1091</v>
      </c>
      <c r="D337" s="310" t="s">
        <v>1452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8"/>
    </row>
    <row r="338" spans="1:13" ht="19.5" customHeight="1">
      <c r="A338" s="298" t="str">
        <f t="shared" si="63"/>
        <v>TP</v>
      </c>
      <c r="B338" s="311">
        <f t="shared" si="64"/>
        <v>187</v>
      </c>
      <c r="C338" s="302" t="s">
        <v>1083</v>
      </c>
      <c r="D338" s="310" t="s">
        <v>1452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8"/>
    </row>
    <row r="339" spans="1:13" ht="19.5" customHeight="1">
      <c r="A339" s="298" t="str">
        <f t="shared" si="63"/>
        <v>TP</v>
      </c>
      <c r="B339" s="311">
        <f t="shared" si="64"/>
        <v>188</v>
      </c>
      <c r="C339" s="302" t="s">
        <v>1088</v>
      </c>
      <c r="D339" s="310" t="s">
        <v>1452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8"/>
    </row>
    <row r="340" spans="1:13" ht="19.5" customHeight="1">
      <c r="A340" s="298" t="str">
        <f t="shared" si="63"/>
        <v>TP</v>
      </c>
      <c r="B340" s="311">
        <f t="shared" si="64"/>
        <v>189</v>
      </c>
      <c r="C340" s="302" t="s">
        <v>1084</v>
      </c>
      <c r="D340" s="310" t="s">
        <v>1452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8"/>
    </row>
    <row r="341" spans="1:13" ht="19.5" customHeight="1">
      <c r="A341" s="298" t="str">
        <f t="shared" si="63"/>
        <v>TP</v>
      </c>
      <c r="B341" s="311">
        <f t="shared" si="64"/>
        <v>190</v>
      </c>
      <c r="C341" s="302" t="s">
        <v>1085</v>
      </c>
      <c r="D341" s="310" t="s">
        <v>1452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8"/>
    </row>
    <row r="342" spans="1:13" ht="19.5" customHeight="1">
      <c r="A342" s="298" t="str">
        <f t="shared" si="63"/>
        <v>TP</v>
      </c>
      <c r="B342" s="311">
        <f t="shared" si="64"/>
        <v>191</v>
      </c>
      <c r="C342" s="302" t="s">
        <v>932</v>
      </c>
      <c r="D342" s="310" t="s">
        <v>1452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8"/>
    </row>
    <row r="343" spans="1:13" ht="19.5" customHeight="1">
      <c r="A343" s="298" t="str">
        <f t="shared" si="63"/>
        <v>TP</v>
      </c>
      <c r="B343" s="311">
        <f t="shared" si="64"/>
        <v>192</v>
      </c>
      <c r="C343" s="302" t="s">
        <v>931</v>
      </c>
      <c r="D343" s="310" t="s">
        <v>1452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8"/>
    </row>
    <row r="344" spans="1:13" ht="19.5" customHeight="1">
      <c r="A344" s="298" t="str">
        <f t="shared" si="63"/>
        <v>TP</v>
      </c>
      <c r="B344" s="311">
        <f t="shared" si="64"/>
        <v>193</v>
      </c>
      <c r="C344" s="302" t="s">
        <v>1086</v>
      </c>
      <c r="D344" s="310" t="s">
        <v>1452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8"/>
    </row>
    <row r="345" spans="1:13" ht="18" customHeight="1">
      <c r="A345" s="298" t="str">
        <f t="shared" si="63"/>
        <v>TP</v>
      </c>
      <c r="B345" s="311">
        <f t="shared" si="64"/>
        <v>194</v>
      </c>
      <c r="C345" s="302" t="s">
        <v>1092</v>
      </c>
      <c r="D345" s="310" t="s">
        <v>1452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8"/>
    </row>
    <row r="346" spans="1:13" ht="18" customHeight="1">
      <c r="A346" s="298" t="str">
        <f t="shared" si="63"/>
        <v>TP</v>
      </c>
      <c r="B346" s="311">
        <f t="shared" si="64"/>
        <v>195</v>
      </c>
      <c r="C346" s="302" t="s">
        <v>1089</v>
      </c>
      <c r="D346" s="310" t="s">
        <v>1452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8"/>
    </row>
    <row r="347" spans="1:13" ht="18.75" customHeight="1">
      <c r="A347" s="298" t="str">
        <f t="shared" si="63"/>
        <v>TP</v>
      </c>
      <c r="B347" s="311">
        <f t="shared" si="64"/>
        <v>196</v>
      </c>
      <c r="C347" s="302" t="s">
        <v>1093</v>
      </c>
      <c r="D347" s="310" t="s">
        <v>1452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8"/>
    </row>
    <row r="348" spans="1:13" ht="18.75" customHeight="1">
      <c r="A348" s="298" t="str">
        <f t="shared" si="63"/>
        <v>TP</v>
      </c>
      <c r="B348" s="311">
        <f t="shared" si="64"/>
        <v>197</v>
      </c>
      <c r="C348" s="302" t="s">
        <v>861</v>
      </c>
      <c r="D348" s="310" t="s">
        <v>1452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8"/>
    </row>
    <row r="349" spans="1:13" ht="18.75" customHeight="1">
      <c r="A349" s="298" t="str">
        <f t="shared" si="63"/>
        <v>TP</v>
      </c>
      <c r="B349" s="311">
        <f t="shared" si="64"/>
        <v>198</v>
      </c>
      <c r="C349" s="302" t="s">
        <v>866</v>
      </c>
      <c r="D349" s="310" t="s">
        <v>1452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8"/>
    </row>
    <row r="350" spans="1:13" ht="18.75" customHeight="1">
      <c r="A350" s="298" t="str">
        <f t="shared" si="63"/>
        <v>TP</v>
      </c>
      <c r="B350" s="311">
        <f t="shared" si="64"/>
        <v>199</v>
      </c>
      <c r="C350" s="302" t="s">
        <v>873</v>
      </c>
      <c r="D350" s="310" t="s">
        <v>1452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8"/>
    </row>
    <row r="351" spans="1:13" ht="18.75" customHeight="1">
      <c r="A351" s="298" t="str">
        <f t="shared" si="63"/>
        <v>TP</v>
      </c>
      <c r="B351" s="311">
        <f t="shared" si="64"/>
        <v>200</v>
      </c>
      <c r="C351" s="302" t="s">
        <v>1065</v>
      </c>
      <c r="D351" s="310" t="s">
        <v>1452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8"/>
    </row>
    <row r="352" spans="1:13" ht="18.75" customHeight="1">
      <c r="A352" s="298" t="str">
        <f t="shared" si="63"/>
        <v>TP</v>
      </c>
      <c r="B352" s="311">
        <f t="shared" si="64"/>
        <v>201</v>
      </c>
      <c r="C352" s="302" t="s">
        <v>874</v>
      </c>
      <c r="D352" s="310" t="s">
        <v>1452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8"/>
    </row>
    <row r="353" spans="1:13" ht="18.75" customHeight="1">
      <c r="A353" s="298" t="str">
        <f t="shared" ref="A353:A384" si="67">IF(B353&lt;&gt;"","TP","")</f>
        <v>TP</v>
      </c>
      <c r="B353" s="311">
        <f t="shared" ref="B353:B384" si="68">IF(C353&lt;&gt;"",B352+1,"")</f>
        <v>202</v>
      </c>
      <c r="C353" s="302" t="s">
        <v>864</v>
      </c>
      <c r="D353" s="310" t="s">
        <v>1452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8"/>
    </row>
    <row r="354" spans="1:13" ht="18.75" customHeight="1">
      <c r="A354" s="298" t="str">
        <f t="shared" si="67"/>
        <v>TP</v>
      </c>
      <c r="B354" s="311">
        <f t="shared" si="68"/>
        <v>203</v>
      </c>
      <c r="C354" s="302" t="s">
        <v>865</v>
      </c>
      <c r="D354" s="310" t="s">
        <v>1452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8"/>
    </row>
    <row r="355" spans="1:13" ht="18.75" customHeight="1">
      <c r="A355" s="298" t="str">
        <f t="shared" si="67"/>
        <v>TP</v>
      </c>
      <c r="B355" s="311">
        <f t="shared" si="68"/>
        <v>204</v>
      </c>
      <c r="C355" s="302" t="s">
        <v>1066</v>
      </c>
      <c r="D355" s="310" t="s">
        <v>1452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8"/>
    </row>
    <row r="356" spans="1:13" ht="18.75" customHeight="1">
      <c r="A356" s="298" t="str">
        <f t="shared" si="67"/>
        <v>TP</v>
      </c>
      <c r="B356" s="311">
        <f t="shared" si="68"/>
        <v>205</v>
      </c>
      <c r="C356" s="302" t="s">
        <v>863</v>
      </c>
      <c r="D356" s="310" t="s">
        <v>1452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8"/>
    </row>
    <row r="357" spans="1:13" ht="18.75" customHeight="1">
      <c r="A357" s="298" t="str">
        <f t="shared" si="67"/>
        <v>TP</v>
      </c>
      <c r="B357" s="311">
        <f t="shared" si="68"/>
        <v>206</v>
      </c>
      <c r="C357" s="302" t="s">
        <v>860</v>
      </c>
      <c r="D357" s="310" t="s">
        <v>1452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8"/>
    </row>
    <row r="358" spans="1:13" ht="18.75" customHeight="1">
      <c r="A358" s="298" t="str">
        <f t="shared" si="67"/>
        <v>TP</v>
      </c>
      <c r="B358" s="311">
        <f t="shared" si="68"/>
        <v>207</v>
      </c>
      <c r="C358" s="302" t="s">
        <v>1068</v>
      </c>
      <c r="D358" s="310" t="s">
        <v>1452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8"/>
    </row>
    <row r="359" spans="1:13" ht="18.75" customHeight="1">
      <c r="A359" s="298" t="str">
        <f t="shared" si="67"/>
        <v>TP</v>
      </c>
      <c r="B359" s="311">
        <f t="shared" si="68"/>
        <v>208</v>
      </c>
      <c r="C359" s="302" t="s">
        <v>862</v>
      </c>
      <c r="D359" s="310" t="s">
        <v>1452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8"/>
    </row>
    <row r="360" spans="1:13" ht="18.75" customHeight="1">
      <c r="A360" s="298" t="str">
        <f t="shared" si="67"/>
        <v>TP</v>
      </c>
      <c r="B360" s="311">
        <f t="shared" si="68"/>
        <v>209</v>
      </c>
      <c r="C360" s="302" t="s">
        <v>1073</v>
      </c>
      <c r="D360" s="310" t="s">
        <v>1452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8"/>
    </row>
    <row r="361" spans="1:13" ht="18.75" customHeight="1">
      <c r="A361" s="298" t="str">
        <f t="shared" si="67"/>
        <v>TP</v>
      </c>
      <c r="B361" s="311">
        <f t="shared" si="68"/>
        <v>210</v>
      </c>
      <c r="C361" s="302" t="s">
        <v>879</v>
      </c>
      <c r="D361" s="310" t="s">
        <v>1452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8"/>
    </row>
    <row r="362" spans="1:13" ht="18.75" customHeight="1">
      <c r="A362" s="298" t="str">
        <f t="shared" si="67"/>
        <v>TP</v>
      </c>
      <c r="B362" s="311">
        <f t="shared" si="68"/>
        <v>211</v>
      </c>
      <c r="C362" s="302" t="s">
        <v>1074</v>
      </c>
      <c r="D362" s="310" t="s">
        <v>1452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8"/>
    </row>
    <row r="363" spans="1:13" ht="18.75" customHeight="1">
      <c r="A363" s="298" t="str">
        <f t="shared" si="67"/>
        <v>TP</v>
      </c>
      <c r="B363" s="311">
        <f t="shared" si="68"/>
        <v>212</v>
      </c>
      <c r="C363" s="302" t="s">
        <v>1077</v>
      </c>
      <c r="D363" s="310" t="s">
        <v>1452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8"/>
    </row>
    <row r="364" spans="1:13" ht="18.75" customHeight="1">
      <c r="A364" s="298" t="str">
        <f t="shared" si="67"/>
        <v>TP</v>
      </c>
      <c r="B364" s="311">
        <f t="shared" si="68"/>
        <v>213</v>
      </c>
      <c r="C364" s="302" t="s">
        <v>867</v>
      </c>
      <c r="D364" s="310" t="s">
        <v>1452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8"/>
    </row>
    <row r="365" spans="1:13" ht="18.75" customHeight="1">
      <c r="A365" s="298" t="str">
        <f t="shared" si="67"/>
        <v>TP</v>
      </c>
      <c r="B365" s="311">
        <f t="shared" si="68"/>
        <v>214</v>
      </c>
      <c r="C365" s="302" t="s">
        <v>1067</v>
      </c>
      <c r="D365" s="310" t="s">
        <v>1452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8"/>
    </row>
    <row r="366" spans="1:13" ht="18.75" customHeight="1">
      <c r="A366" s="298" t="str">
        <f t="shared" si="67"/>
        <v>TP</v>
      </c>
      <c r="B366" s="311">
        <f t="shared" si="68"/>
        <v>215</v>
      </c>
      <c r="C366" s="302" t="s">
        <v>880</v>
      </c>
      <c r="D366" s="310" t="s">
        <v>1452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8"/>
    </row>
    <row r="367" spans="1:13" ht="18.75" customHeight="1">
      <c r="A367" s="298" t="str">
        <f t="shared" si="67"/>
        <v>TP</v>
      </c>
      <c r="B367" s="311">
        <f t="shared" si="68"/>
        <v>216</v>
      </c>
      <c r="C367" s="302" t="s">
        <v>1069</v>
      </c>
      <c r="D367" s="310" t="s">
        <v>1452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8"/>
    </row>
    <row r="368" spans="1:13" ht="18.75" customHeight="1">
      <c r="A368" s="298" t="str">
        <f t="shared" si="67"/>
        <v>TP</v>
      </c>
      <c r="B368" s="311">
        <f t="shared" si="68"/>
        <v>217</v>
      </c>
      <c r="C368" s="302" t="s">
        <v>1076</v>
      </c>
      <c r="D368" s="310" t="s">
        <v>1452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8"/>
    </row>
    <row r="369" spans="1:13" ht="18.75" customHeight="1">
      <c r="A369" s="298" t="str">
        <f t="shared" si="67"/>
        <v>TP</v>
      </c>
      <c r="B369" s="311">
        <f t="shared" si="68"/>
        <v>218</v>
      </c>
      <c r="C369" s="302" t="s">
        <v>1078</v>
      </c>
      <c r="D369" s="310" t="s">
        <v>1452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8"/>
    </row>
    <row r="370" spans="1:13" ht="18.75" customHeight="1">
      <c r="A370" s="298" t="str">
        <f t="shared" si="67"/>
        <v>TP</v>
      </c>
      <c r="B370" s="311">
        <f t="shared" si="68"/>
        <v>219</v>
      </c>
      <c r="C370" s="302" t="s">
        <v>882</v>
      </c>
      <c r="D370" s="310" t="s">
        <v>1452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8"/>
    </row>
    <row r="371" spans="1:13" ht="18.75" customHeight="1">
      <c r="A371" s="298" t="str">
        <f t="shared" si="67"/>
        <v>TP</v>
      </c>
      <c r="B371" s="311">
        <f t="shared" si="68"/>
        <v>220</v>
      </c>
      <c r="C371" s="302" t="s">
        <v>878</v>
      </c>
      <c r="D371" s="310" t="s">
        <v>1452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8"/>
    </row>
    <row r="372" spans="1:13" ht="18.75" customHeight="1">
      <c r="A372" s="298" t="str">
        <f t="shared" si="67"/>
        <v>TP</v>
      </c>
      <c r="B372" s="311">
        <f t="shared" si="68"/>
        <v>221</v>
      </c>
      <c r="C372" s="302" t="s">
        <v>1071</v>
      </c>
      <c r="D372" s="310" t="s">
        <v>1452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8"/>
    </row>
    <row r="373" spans="1:13" ht="18.75" customHeight="1">
      <c r="A373" s="298" t="str">
        <f t="shared" si="67"/>
        <v>TP</v>
      </c>
      <c r="B373" s="311">
        <f t="shared" si="68"/>
        <v>222</v>
      </c>
      <c r="C373" s="302" t="s">
        <v>1070</v>
      </c>
      <c r="D373" s="310" t="s">
        <v>1452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8"/>
    </row>
    <row r="374" spans="1:13" ht="18.75" customHeight="1">
      <c r="A374" s="298" t="str">
        <f t="shared" si="67"/>
        <v>TP</v>
      </c>
      <c r="B374" s="311">
        <f t="shared" si="68"/>
        <v>223</v>
      </c>
      <c r="C374" s="302" t="s">
        <v>883</v>
      </c>
      <c r="D374" s="310" t="s">
        <v>1452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8"/>
    </row>
    <row r="375" spans="1:13" ht="18.75" customHeight="1">
      <c r="A375" s="298" t="str">
        <f t="shared" si="67"/>
        <v>TP</v>
      </c>
      <c r="B375" s="311">
        <f t="shared" si="68"/>
        <v>224</v>
      </c>
      <c r="C375" s="302" t="s">
        <v>877</v>
      </c>
      <c r="D375" s="310" t="s">
        <v>1452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8"/>
    </row>
    <row r="376" spans="1:13" ht="18.75" customHeight="1">
      <c r="A376" s="298" t="str">
        <f t="shared" si="67"/>
        <v>TP</v>
      </c>
      <c r="B376" s="311">
        <f t="shared" si="68"/>
        <v>225</v>
      </c>
      <c r="C376" s="302" t="s">
        <v>1072</v>
      </c>
      <c r="D376" s="310" t="s">
        <v>1452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8"/>
    </row>
    <row r="377" spans="1:13" ht="18.75" customHeight="1">
      <c r="A377" s="298" t="str">
        <f t="shared" si="67"/>
        <v>TP</v>
      </c>
      <c r="B377" s="311">
        <f t="shared" si="68"/>
        <v>226</v>
      </c>
      <c r="C377" s="302" t="s">
        <v>881</v>
      </c>
      <c r="D377" s="310" t="s">
        <v>1452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8"/>
    </row>
    <row r="378" spans="1:13" ht="18.75" customHeight="1">
      <c r="A378" s="298" t="str">
        <f t="shared" si="67"/>
        <v>TP</v>
      </c>
      <c r="B378" s="311">
        <f t="shared" si="68"/>
        <v>227</v>
      </c>
      <c r="C378" s="302" t="s">
        <v>1064</v>
      </c>
      <c r="D378" s="310" t="s">
        <v>1452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8"/>
    </row>
    <row r="379" spans="1:13" ht="18.75" customHeight="1">
      <c r="A379" s="298" t="str">
        <f t="shared" si="67"/>
        <v>TP</v>
      </c>
      <c r="B379" s="311">
        <f t="shared" si="68"/>
        <v>228</v>
      </c>
      <c r="C379" s="302" t="s">
        <v>876</v>
      </c>
      <c r="D379" s="310" t="s">
        <v>1452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8"/>
    </row>
    <row r="380" spans="1:13" ht="18.75" customHeight="1">
      <c r="A380" s="298" t="str">
        <f t="shared" si="67"/>
        <v>TP</v>
      </c>
      <c r="B380" s="311">
        <f t="shared" si="68"/>
        <v>229</v>
      </c>
      <c r="C380" s="302" t="s">
        <v>1042</v>
      </c>
      <c r="D380" s="310" t="s">
        <v>1452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8"/>
    </row>
    <row r="381" spans="1:13" ht="18.75" customHeight="1">
      <c r="A381" s="298" t="str">
        <f t="shared" si="67"/>
        <v>TP</v>
      </c>
      <c r="B381" s="311">
        <f t="shared" si="68"/>
        <v>230</v>
      </c>
      <c r="C381" s="302" t="s">
        <v>967</v>
      </c>
      <c r="D381" s="310" t="s">
        <v>1452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8"/>
    </row>
    <row r="382" spans="1:13" ht="18.75" customHeight="1">
      <c r="A382" s="298" t="str">
        <f t="shared" si="67"/>
        <v>TP</v>
      </c>
      <c r="B382" s="311">
        <f t="shared" si="68"/>
        <v>231</v>
      </c>
      <c r="C382" s="302" t="s">
        <v>847</v>
      </c>
      <c r="D382" s="310" t="s">
        <v>1452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8"/>
    </row>
    <row r="383" spans="1:13" ht="18.75" customHeight="1">
      <c r="A383" s="298" t="str">
        <f t="shared" si="67"/>
        <v>TP</v>
      </c>
      <c r="B383" s="311">
        <f t="shared" si="68"/>
        <v>232</v>
      </c>
      <c r="C383" s="302" t="s">
        <v>968</v>
      </c>
      <c r="D383" s="310" t="s">
        <v>1452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8"/>
    </row>
    <row r="384" spans="1:13" ht="18.75" customHeight="1">
      <c r="A384" s="298" t="str">
        <f t="shared" si="67"/>
        <v>TP</v>
      </c>
      <c r="B384" s="311">
        <f t="shared" si="68"/>
        <v>233</v>
      </c>
      <c r="C384" s="302" t="s">
        <v>846</v>
      </c>
      <c r="D384" s="310" t="s">
        <v>1452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8"/>
    </row>
    <row r="385" spans="1:13" ht="18.75" customHeight="1">
      <c r="A385" s="298" t="str">
        <f t="shared" ref="A385:A416" si="69">IF(B385&lt;&gt;"","TP","")</f>
        <v>TP</v>
      </c>
      <c r="B385" s="311">
        <f t="shared" ref="B385:B416" si="70">IF(C385&lt;&gt;"",B384+1,"")</f>
        <v>234</v>
      </c>
      <c r="C385" s="302" t="s">
        <v>843</v>
      </c>
      <c r="D385" s="310" t="s">
        <v>1452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8"/>
    </row>
    <row r="386" spans="1:13" ht="18.75" customHeight="1">
      <c r="A386" s="298" t="str">
        <f t="shared" si="69"/>
        <v>TP</v>
      </c>
      <c r="B386" s="311">
        <f t="shared" si="70"/>
        <v>235</v>
      </c>
      <c r="C386" s="302" t="s">
        <v>844</v>
      </c>
      <c r="D386" s="310" t="s">
        <v>1452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8"/>
    </row>
    <row r="387" spans="1:13" ht="18.75" customHeight="1">
      <c r="A387" s="298" t="str">
        <f t="shared" si="69"/>
        <v>TP</v>
      </c>
      <c r="B387" s="311">
        <f t="shared" si="70"/>
        <v>236</v>
      </c>
      <c r="C387" s="302" t="s">
        <v>851</v>
      </c>
      <c r="D387" s="310" t="s">
        <v>1452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8"/>
    </row>
    <row r="388" spans="1:13" ht="18.75" customHeight="1">
      <c r="A388" s="298" t="str">
        <f t="shared" si="69"/>
        <v>TP</v>
      </c>
      <c r="B388" s="311">
        <f t="shared" si="70"/>
        <v>237</v>
      </c>
      <c r="C388" s="302" t="s">
        <v>848</v>
      </c>
      <c r="D388" s="310" t="s">
        <v>1452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8"/>
    </row>
    <row r="389" spans="1:13" ht="18.75" customHeight="1">
      <c r="A389" s="298" t="str">
        <f t="shared" si="69"/>
        <v>TP</v>
      </c>
      <c r="B389" s="311">
        <f t="shared" si="70"/>
        <v>238</v>
      </c>
      <c r="C389" s="302" t="s">
        <v>852</v>
      </c>
      <c r="D389" s="310" t="s">
        <v>1452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8"/>
    </row>
    <row r="390" spans="1:13" ht="18.75" customHeight="1">
      <c r="A390" s="298" t="str">
        <f t="shared" si="69"/>
        <v>TP</v>
      </c>
      <c r="B390" s="311">
        <f t="shared" si="70"/>
        <v>239</v>
      </c>
      <c r="C390" s="302" t="s">
        <v>875</v>
      </c>
      <c r="D390" s="310" t="s">
        <v>1452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8"/>
    </row>
    <row r="391" spans="1:13" ht="18.75" customHeight="1">
      <c r="A391" s="298" t="str">
        <f t="shared" si="69"/>
        <v>TP</v>
      </c>
      <c r="B391" s="311">
        <f t="shared" si="70"/>
        <v>240</v>
      </c>
      <c r="C391" s="302" t="s">
        <v>969</v>
      </c>
      <c r="D391" s="310" t="s">
        <v>1452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8"/>
    </row>
    <row r="392" spans="1:13" ht="18.75" customHeight="1">
      <c r="A392" s="298" t="str">
        <f t="shared" si="69"/>
        <v>TP</v>
      </c>
      <c r="B392" s="311">
        <f t="shared" si="70"/>
        <v>241</v>
      </c>
      <c r="C392" s="302" t="s">
        <v>845</v>
      </c>
      <c r="D392" s="310" t="s">
        <v>1452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8"/>
    </row>
    <row r="393" spans="1:13" ht="18.75" customHeight="1">
      <c r="A393" s="298" t="str">
        <f t="shared" si="69"/>
        <v>TP</v>
      </c>
      <c r="B393" s="311">
        <f t="shared" si="70"/>
        <v>242</v>
      </c>
      <c r="C393" s="302" t="s">
        <v>1040</v>
      </c>
      <c r="D393" s="310" t="s">
        <v>1452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8"/>
    </row>
    <row r="394" spans="1:13" ht="18.75" customHeight="1">
      <c r="A394" s="298" t="str">
        <f t="shared" si="69"/>
        <v>TP</v>
      </c>
      <c r="B394" s="311">
        <f t="shared" si="70"/>
        <v>243</v>
      </c>
      <c r="C394" s="302" t="s">
        <v>853</v>
      </c>
      <c r="D394" s="310" t="s">
        <v>1452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8"/>
    </row>
    <row r="395" spans="1:13" ht="18.75" customHeight="1">
      <c r="A395" s="298" t="str">
        <f t="shared" si="69"/>
        <v>TP</v>
      </c>
      <c r="B395" s="311">
        <f t="shared" si="70"/>
        <v>244</v>
      </c>
      <c r="C395" s="302" t="s">
        <v>966</v>
      </c>
      <c r="D395" s="310" t="s">
        <v>1452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8"/>
    </row>
    <row r="396" spans="1:13" ht="18.75" customHeight="1">
      <c r="A396" s="298" t="str">
        <f t="shared" si="69"/>
        <v>TP</v>
      </c>
      <c r="B396" s="311">
        <f t="shared" si="70"/>
        <v>245</v>
      </c>
      <c r="C396" s="302" t="s">
        <v>854</v>
      </c>
      <c r="D396" s="310" t="s">
        <v>1452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8"/>
    </row>
    <row r="397" spans="1:13" ht="18.75" customHeight="1">
      <c r="A397" s="298" t="str">
        <f t="shared" si="69"/>
        <v>TP</v>
      </c>
      <c r="B397" s="311">
        <f t="shared" si="70"/>
        <v>246</v>
      </c>
      <c r="C397" s="302" t="s">
        <v>857</v>
      </c>
      <c r="D397" s="310" t="s">
        <v>1452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8"/>
    </row>
    <row r="398" spans="1:13" ht="18.75" customHeight="1">
      <c r="A398" s="298" t="str">
        <f t="shared" si="69"/>
        <v>TP</v>
      </c>
      <c r="B398" s="311">
        <f t="shared" si="70"/>
        <v>247</v>
      </c>
      <c r="C398" s="302" t="s">
        <v>856</v>
      </c>
      <c r="D398" s="310" t="s">
        <v>1452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8"/>
    </row>
    <row r="399" spans="1:13" ht="18.75" customHeight="1">
      <c r="A399" s="298" t="str">
        <f t="shared" si="69"/>
        <v>TP</v>
      </c>
      <c r="B399" s="311">
        <f t="shared" si="70"/>
        <v>248</v>
      </c>
      <c r="C399" s="189" t="s">
        <v>855</v>
      </c>
      <c r="D399" s="310" t="s">
        <v>1452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8"/>
    </row>
    <row r="400" spans="1:13" ht="18.75" customHeight="1">
      <c r="A400" s="298" t="str">
        <f t="shared" si="69"/>
        <v>TP</v>
      </c>
      <c r="B400" s="311">
        <f t="shared" si="70"/>
        <v>249</v>
      </c>
      <c r="C400" s="302" t="s">
        <v>1041</v>
      </c>
      <c r="D400" s="310" t="s">
        <v>1452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8"/>
    </row>
    <row r="401" spans="1:13" ht="18.75" customHeight="1">
      <c r="A401" s="298" t="str">
        <f t="shared" si="69"/>
        <v>TP</v>
      </c>
      <c r="B401" s="311">
        <f t="shared" si="70"/>
        <v>250</v>
      </c>
      <c r="C401" s="302" t="s">
        <v>1043</v>
      </c>
      <c r="D401" s="310" t="s">
        <v>1452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8"/>
    </row>
    <row r="402" spans="1:13" ht="18.75" customHeight="1">
      <c r="A402" s="298" t="str">
        <f t="shared" si="69"/>
        <v>TP</v>
      </c>
      <c r="B402" s="311">
        <f t="shared" si="70"/>
        <v>251</v>
      </c>
      <c r="C402" s="460" t="s">
        <v>1374</v>
      </c>
      <c r="D402" s="310" t="s">
        <v>1452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8"/>
    </row>
    <row r="403" spans="1:13" ht="18.75" customHeight="1">
      <c r="A403" s="298" t="str">
        <f t="shared" si="69"/>
        <v>TP</v>
      </c>
      <c r="B403" s="311">
        <f t="shared" si="70"/>
        <v>252</v>
      </c>
      <c r="C403" s="40" t="s">
        <v>1230</v>
      </c>
      <c r="D403" s="310" t="s">
        <v>1452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8"/>
    </row>
    <row r="404" spans="1:13" ht="18.75" customHeight="1">
      <c r="A404" s="298" t="str">
        <f t="shared" si="69"/>
        <v>TP</v>
      </c>
      <c r="B404" s="311">
        <f t="shared" si="70"/>
        <v>253</v>
      </c>
      <c r="C404" s="192" t="s">
        <v>1258</v>
      </c>
      <c r="D404" s="310" t="s">
        <v>1452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8"/>
    </row>
    <row r="405" spans="1:13" ht="18.75" customHeight="1">
      <c r="A405" s="298" t="str">
        <f t="shared" si="69"/>
        <v>TP</v>
      </c>
      <c r="B405" s="311">
        <f t="shared" si="70"/>
        <v>254</v>
      </c>
      <c r="C405" s="192" t="s">
        <v>1260</v>
      </c>
      <c r="D405" s="310" t="s">
        <v>1452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8"/>
    </row>
    <row r="406" spans="1:13" ht="18.75" customHeight="1">
      <c r="A406" s="298" t="str">
        <f t="shared" si="69"/>
        <v>TP</v>
      </c>
      <c r="B406" s="311">
        <f t="shared" si="70"/>
        <v>255</v>
      </c>
      <c r="C406" s="40" t="s">
        <v>1406</v>
      </c>
      <c r="D406" s="310" t="s">
        <v>1452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8"/>
    </row>
    <row r="407" spans="1:13" ht="18.75" customHeight="1">
      <c r="A407" s="298" t="str">
        <f t="shared" si="69"/>
        <v>TP</v>
      </c>
      <c r="B407" s="311">
        <f t="shared" si="70"/>
        <v>256</v>
      </c>
      <c r="C407" s="40" t="s">
        <v>1365</v>
      </c>
      <c r="D407" s="310" t="s">
        <v>1452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8"/>
    </row>
    <row r="408" spans="1:13" ht="18.75" customHeight="1">
      <c r="A408" s="298" t="str">
        <f t="shared" si="69"/>
        <v>TP</v>
      </c>
      <c r="B408" s="311">
        <f t="shared" si="70"/>
        <v>257</v>
      </c>
      <c r="C408" s="40" t="s">
        <v>1367</v>
      </c>
      <c r="D408" s="310" t="s">
        <v>1452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8"/>
    </row>
    <row r="409" spans="1:13" ht="18.75" customHeight="1">
      <c r="A409" s="298" t="str">
        <f t="shared" si="69"/>
        <v>TP</v>
      </c>
      <c r="B409" s="311">
        <f t="shared" si="70"/>
        <v>258</v>
      </c>
      <c r="C409" s="302" t="s">
        <v>1047</v>
      </c>
      <c r="D409" s="310" t="s">
        <v>1452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8"/>
    </row>
    <row r="410" spans="1:13" ht="18.75" customHeight="1">
      <c r="A410" s="298" t="str">
        <f t="shared" si="69"/>
        <v>TP</v>
      </c>
      <c r="B410" s="311">
        <f t="shared" si="70"/>
        <v>259</v>
      </c>
      <c r="C410" s="302" t="s">
        <v>759</v>
      </c>
      <c r="D410" s="310" t="s">
        <v>1452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8"/>
    </row>
    <row r="411" spans="1:13" ht="18.75" customHeight="1">
      <c r="A411" s="298" t="str">
        <f t="shared" si="69"/>
        <v>TP</v>
      </c>
      <c r="B411" s="311">
        <f t="shared" si="70"/>
        <v>260</v>
      </c>
      <c r="C411" s="302" t="s">
        <v>762</v>
      </c>
      <c r="D411" s="310" t="s">
        <v>1452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8"/>
    </row>
    <row r="412" spans="1:13" ht="18.75" customHeight="1">
      <c r="A412" s="298" t="str">
        <f t="shared" si="69"/>
        <v>TP</v>
      </c>
      <c r="B412" s="311">
        <f t="shared" si="70"/>
        <v>261</v>
      </c>
      <c r="C412" s="192" t="s">
        <v>1270</v>
      </c>
      <c r="D412" s="310" t="s">
        <v>1452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8"/>
    </row>
    <row r="413" spans="1:13" ht="18.75" customHeight="1">
      <c r="A413" s="298" t="str">
        <f t="shared" si="69"/>
        <v>TP</v>
      </c>
      <c r="B413" s="311">
        <f t="shared" si="70"/>
        <v>262</v>
      </c>
      <c r="C413" s="302" t="s">
        <v>938</v>
      </c>
      <c r="D413" s="310" t="s">
        <v>1452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8"/>
    </row>
    <row r="414" spans="1:13" ht="18.75" customHeight="1">
      <c r="A414" s="298" t="str">
        <f t="shared" si="69"/>
        <v>TP</v>
      </c>
      <c r="B414" s="311">
        <f t="shared" si="70"/>
        <v>263</v>
      </c>
      <c r="C414" s="302" t="s">
        <v>898</v>
      </c>
      <c r="D414" s="310" t="s">
        <v>1452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8"/>
    </row>
    <row r="415" spans="1:13" ht="18.75" customHeight="1">
      <c r="A415" s="298" t="str">
        <f t="shared" si="69"/>
        <v>TP</v>
      </c>
      <c r="B415" s="311">
        <f t="shared" si="70"/>
        <v>264</v>
      </c>
      <c r="C415" s="302" t="s">
        <v>901</v>
      </c>
      <c r="D415" s="310" t="s">
        <v>1452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8"/>
    </row>
    <row r="416" spans="1:13" ht="18.75" customHeight="1">
      <c r="A416" s="298" t="str">
        <f t="shared" si="69"/>
        <v>TP</v>
      </c>
      <c r="B416" s="311">
        <f t="shared" si="70"/>
        <v>265</v>
      </c>
      <c r="C416" s="302" t="s">
        <v>896</v>
      </c>
      <c r="D416" s="310" t="s">
        <v>1452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8"/>
    </row>
    <row r="417" spans="1:13" ht="18.75" customHeight="1">
      <c r="A417" s="298" t="str">
        <f t="shared" ref="A417:A448" si="73">IF(B417&lt;&gt;"","TP","")</f>
        <v>TP</v>
      </c>
      <c r="B417" s="311">
        <f t="shared" ref="B417:B448" si="74">IF(C417&lt;&gt;"",B416+1,"")</f>
        <v>266</v>
      </c>
      <c r="C417" s="302" t="s">
        <v>902</v>
      </c>
      <c r="D417" s="310" t="s">
        <v>1452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8"/>
    </row>
    <row r="418" spans="1:13" ht="18.75" customHeight="1">
      <c r="A418" s="298" t="str">
        <f t="shared" si="73"/>
        <v>TP</v>
      </c>
      <c r="B418" s="311">
        <f t="shared" si="74"/>
        <v>267</v>
      </c>
      <c r="C418" s="302" t="s">
        <v>903</v>
      </c>
      <c r="D418" s="310" t="s">
        <v>1452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8"/>
    </row>
    <row r="419" spans="1:13" ht="18.75" customHeight="1">
      <c r="A419" s="298" t="str">
        <f t="shared" si="73"/>
        <v>TP</v>
      </c>
      <c r="B419" s="311">
        <f t="shared" si="74"/>
        <v>268</v>
      </c>
      <c r="C419" s="302" t="s">
        <v>906</v>
      </c>
      <c r="D419" s="310" t="s">
        <v>1452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8"/>
    </row>
    <row r="420" spans="1:13" ht="18.75" customHeight="1">
      <c r="A420" s="298" t="str">
        <f t="shared" si="73"/>
        <v>TP</v>
      </c>
      <c r="B420" s="311">
        <f t="shared" si="74"/>
        <v>269</v>
      </c>
      <c r="C420" s="302" t="s">
        <v>893</v>
      </c>
      <c r="D420" s="310" t="s">
        <v>1452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8"/>
    </row>
    <row r="421" spans="1:13" ht="18.75" customHeight="1">
      <c r="A421" s="298" t="str">
        <f t="shared" si="73"/>
        <v>TP</v>
      </c>
      <c r="B421" s="311">
        <f t="shared" si="74"/>
        <v>270</v>
      </c>
      <c r="C421" s="302" t="s">
        <v>904</v>
      </c>
      <c r="D421" s="310" t="s">
        <v>1452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8"/>
    </row>
    <row r="422" spans="1:13" ht="18.75" customHeight="1">
      <c r="A422" s="298" t="str">
        <f t="shared" si="73"/>
        <v>TP</v>
      </c>
      <c r="B422" s="311">
        <f t="shared" si="74"/>
        <v>271</v>
      </c>
      <c r="C422" s="302" t="s">
        <v>908</v>
      </c>
      <c r="D422" s="310" t="s">
        <v>1452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8"/>
    </row>
    <row r="423" spans="1:13" ht="18.75" customHeight="1">
      <c r="A423" s="298" t="str">
        <f t="shared" si="73"/>
        <v>TP</v>
      </c>
      <c r="B423" s="311">
        <f t="shared" si="74"/>
        <v>272</v>
      </c>
      <c r="C423" s="302" t="s">
        <v>892</v>
      </c>
      <c r="D423" s="310" t="s">
        <v>1452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8"/>
    </row>
    <row r="424" spans="1:13" ht="18.75" customHeight="1">
      <c r="A424" s="298" t="str">
        <f t="shared" si="73"/>
        <v>TP</v>
      </c>
      <c r="B424" s="311">
        <f t="shared" si="74"/>
        <v>273</v>
      </c>
      <c r="C424" s="302" t="s">
        <v>894</v>
      </c>
      <c r="D424" s="310" t="s">
        <v>1452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8"/>
    </row>
    <row r="425" spans="1:13" ht="18.75" customHeight="1">
      <c r="A425" s="298" t="str">
        <f t="shared" si="73"/>
        <v>TP</v>
      </c>
      <c r="B425" s="311">
        <f t="shared" si="74"/>
        <v>274</v>
      </c>
      <c r="C425" s="302" t="s">
        <v>911</v>
      </c>
      <c r="D425" s="310" t="s">
        <v>1452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8"/>
    </row>
    <row r="426" spans="1:13" ht="18.75" customHeight="1">
      <c r="A426" s="298" t="str">
        <f t="shared" si="73"/>
        <v>TP</v>
      </c>
      <c r="B426" s="311">
        <f t="shared" si="74"/>
        <v>275</v>
      </c>
      <c r="C426" s="302" t="s">
        <v>899</v>
      </c>
      <c r="D426" s="310" t="s">
        <v>1452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8"/>
    </row>
    <row r="427" spans="1:13" ht="18.75" customHeight="1">
      <c r="A427" s="298" t="str">
        <f t="shared" si="73"/>
        <v>TP</v>
      </c>
      <c r="B427" s="311">
        <f t="shared" si="74"/>
        <v>276</v>
      </c>
      <c r="C427" s="302" t="s">
        <v>1094</v>
      </c>
      <c r="D427" s="310" t="s">
        <v>1452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8"/>
    </row>
    <row r="428" spans="1:13" ht="18.75" customHeight="1">
      <c r="A428" s="298" t="str">
        <f t="shared" si="73"/>
        <v>TP</v>
      </c>
      <c r="B428" s="311">
        <f t="shared" si="74"/>
        <v>277</v>
      </c>
      <c r="C428" s="302" t="s">
        <v>1096</v>
      </c>
      <c r="D428" s="310" t="s">
        <v>1452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8"/>
    </row>
    <row r="429" spans="1:13" ht="18.75" customHeight="1">
      <c r="A429" s="298" t="str">
        <f t="shared" si="73"/>
        <v>TP</v>
      </c>
      <c r="B429" s="311">
        <f t="shared" si="74"/>
        <v>278</v>
      </c>
      <c r="C429" s="302" t="s">
        <v>915</v>
      </c>
      <c r="D429" s="310" t="s">
        <v>1452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8"/>
    </row>
    <row r="430" spans="1:13" ht="18.75" customHeight="1">
      <c r="A430" s="298" t="str">
        <f t="shared" si="73"/>
        <v>TP</v>
      </c>
      <c r="B430" s="311">
        <f t="shared" si="74"/>
        <v>279</v>
      </c>
      <c r="C430" s="302" t="s">
        <v>933</v>
      </c>
      <c r="D430" s="310" t="s">
        <v>1452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8"/>
    </row>
    <row r="431" spans="1:13" ht="18.75" customHeight="1">
      <c r="A431" s="298" t="str">
        <f t="shared" si="73"/>
        <v>TP</v>
      </c>
      <c r="B431" s="311">
        <f t="shared" si="74"/>
        <v>280</v>
      </c>
      <c r="C431" s="302" t="s">
        <v>910</v>
      </c>
      <c r="D431" s="310" t="s">
        <v>1452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8"/>
    </row>
    <row r="432" spans="1:13" ht="18.75" customHeight="1">
      <c r="A432" s="298" t="str">
        <f t="shared" si="73"/>
        <v>TP</v>
      </c>
      <c r="B432" s="311">
        <f t="shared" si="74"/>
        <v>281</v>
      </c>
      <c r="C432" s="302" t="s">
        <v>897</v>
      </c>
      <c r="D432" s="310" t="s">
        <v>1452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8"/>
    </row>
    <row r="433" spans="1:13" ht="18.75" customHeight="1">
      <c r="A433" s="298" t="str">
        <f t="shared" si="73"/>
        <v>TP</v>
      </c>
      <c r="B433" s="311">
        <f t="shared" si="74"/>
        <v>282</v>
      </c>
      <c r="C433" s="302" t="s">
        <v>900</v>
      </c>
      <c r="D433" s="310" t="s">
        <v>1452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8"/>
    </row>
    <row r="434" spans="1:13" ht="18.75" customHeight="1">
      <c r="A434" s="298" t="str">
        <f t="shared" si="73"/>
        <v>TP</v>
      </c>
      <c r="B434" s="311">
        <f t="shared" si="74"/>
        <v>283</v>
      </c>
      <c r="C434" s="302" t="s">
        <v>895</v>
      </c>
      <c r="D434" s="310" t="s">
        <v>1452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8"/>
    </row>
    <row r="435" spans="1:13" ht="18.75" customHeight="1">
      <c r="A435" s="298" t="str">
        <f t="shared" si="73"/>
        <v>TP</v>
      </c>
      <c r="B435" s="311">
        <f t="shared" si="74"/>
        <v>284</v>
      </c>
      <c r="C435" s="302" t="s">
        <v>1095</v>
      </c>
      <c r="D435" s="310" t="s">
        <v>1452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8"/>
    </row>
    <row r="436" spans="1:13" ht="18.75" customHeight="1">
      <c r="A436" s="298" t="str">
        <f t="shared" si="73"/>
        <v>TP</v>
      </c>
      <c r="B436" s="311">
        <f t="shared" si="74"/>
        <v>285</v>
      </c>
      <c r="C436" s="302" t="s">
        <v>891</v>
      </c>
      <c r="D436" s="310" t="s">
        <v>1452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8"/>
    </row>
    <row r="437" spans="1:13" ht="18.75" customHeight="1">
      <c r="A437" s="298" t="str">
        <f t="shared" si="73"/>
        <v>TP</v>
      </c>
      <c r="B437" s="311">
        <f t="shared" si="74"/>
        <v>286</v>
      </c>
      <c r="C437" s="302" t="s">
        <v>907</v>
      </c>
      <c r="D437" s="310" t="s">
        <v>1452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8"/>
    </row>
    <row r="438" spans="1:13" ht="18.75" customHeight="1">
      <c r="A438" s="298" t="str">
        <f t="shared" si="73"/>
        <v>TP</v>
      </c>
      <c r="B438" s="311">
        <f t="shared" si="74"/>
        <v>287</v>
      </c>
      <c r="C438" s="192" t="s">
        <v>1274</v>
      </c>
      <c r="D438" s="310" t="s">
        <v>1452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8"/>
    </row>
    <row r="439" spans="1:13" ht="18.75" customHeight="1">
      <c r="A439" s="298" t="str">
        <f t="shared" si="73"/>
        <v>TP</v>
      </c>
      <c r="B439" s="311">
        <f t="shared" si="74"/>
        <v>288</v>
      </c>
      <c r="C439" s="192" t="s">
        <v>1276</v>
      </c>
      <c r="D439" s="310" t="s">
        <v>1452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8"/>
    </row>
    <row r="440" spans="1:13" ht="18.75" customHeight="1">
      <c r="A440" s="298" t="str">
        <f t="shared" si="73"/>
        <v>TP</v>
      </c>
      <c r="B440" s="311">
        <f t="shared" si="74"/>
        <v>289</v>
      </c>
      <c r="C440" s="192" t="s">
        <v>1269</v>
      </c>
      <c r="D440" s="310" t="s">
        <v>1452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8"/>
    </row>
    <row r="441" spans="1:13" ht="18.75" customHeight="1">
      <c r="A441" s="298" t="str">
        <f t="shared" si="73"/>
        <v>TP</v>
      </c>
      <c r="B441" s="311">
        <f t="shared" si="74"/>
        <v>290</v>
      </c>
      <c r="C441" s="192" t="s">
        <v>1271</v>
      </c>
      <c r="D441" s="310" t="s">
        <v>1452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8"/>
    </row>
    <row r="442" spans="1:13" ht="18.75" customHeight="1">
      <c r="A442" s="298" t="str">
        <f t="shared" si="73"/>
        <v>TP</v>
      </c>
      <c r="B442" s="311">
        <f t="shared" si="74"/>
        <v>291</v>
      </c>
      <c r="C442" s="192" t="s">
        <v>1267</v>
      </c>
      <c r="D442" s="310" t="s">
        <v>1452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8"/>
    </row>
    <row r="443" spans="1:13" ht="18.75" customHeight="1">
      <c r="A443" s="298" t="str">
        <f t="shared" si="73"/>
        <v>TP</v>
      </c>
      <c r="B443" s="311">
        <f t="shared" si="74"/>
        <v>292</v>
      </c>
      <c r="C443" s="460" t="s">
        <v>1372</v>
      </c>
      <c r="D443" s="310" t="s">
        <v>1452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8"/>
    </row>
    <row r="444" spans="1:13" ht="18.75" customHeight="1">
      <c r="A444" s="298" t="str">
        <f t="shared" si="73"/>
        <v>TP</v>
      </c>
      <c r="B444" s="311">
        <f t="shared" si="74"/>
        <v>293</v>
      </c>
      <c r="C444" s="302" t="s">
        <v>1053</v>
      </c>
      <c r="D444" s="310" t="s">
        <v>1452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8"/>
    </row>
    <row r="445" spans="1:13" ht="18.75" customHeight="1">
      <c r="A445" s="298" t="str">
        <f t="shared" si="73"/>
        <v>TP</v>
      </c>
      <c r="B445" s="311">
        <f t="shared" si="74"/>
        <v>294</v>
      </c>
      <c r="C445" s="302" t="s">
        <v>1052</v>
      </c>
      <c r="D445" s="310" t="s">
        <v>1452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8"/>
    </row>
    <row r="446" spans="1:13" ht="18.75" customHeight="1">
      <c r="A446" s="298" t="str">
        <f t="shared" si="73"/>
        <v>TP</v>
      </c>
      <c r="B446" s="311">
        <f t="shared" si="74"/>
        <v>295</v>
      </c>
      <c r="C446" s="302" t="s">
        <v>1051</v>
      </c>
      <c r="D446" s="310" t="s">
        <v>1452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8"/>
    </row>
    <row r="447" spans="1:13" ht="18.75" customHeight="1">
      <c r="A447" s="298" t="str">
        <f t="shared" si="73"/>
        <v>TP</v>
      </c>
      <c r="B447" s="311">
        <f t="shared" si="74"/>
        <v>296</v>
      </c>
      <c r="C447" s="40" t="s">
        <v>1423</v>
      </c>
      <c r="D447" s="310" t="s">
        <v>1452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8"/>
    </row>
    <row r="448" spans="1:13" ht="18.75" customHeight="1">
      <c r="A448" s="298" t="str">
        <f t="shared" si="73"/>
        <v>TP</v>
      </c>
      <c r="B448" s="311">
        <f t="shared" si="74"/>
        <v>297</v>
      </c>
      <c r="C448" s="40" t="s">
        <v>1421</v>
      </c>
      <c r="D448" s="310" t="s">
        <v>1452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8"/>
    </row>
    <row r="449" spans="1:13" ht="18.75" customHeight="1">
      <c r="A449" s="298" t="str">
        <f t="shared" ref="A449:A468" si="75">IF(B449&lt;&gt;"","TP","")</f>
        <v>TP</v>
      </c>
      <c r="B449" s="311">
        <f t="shared" ref="B449:B468" si="76">IF(C449&lt;&gt;"",B448+1,"")</f>
        <v>298</v>
      </c>
      <c r="C449" s="302" t="s">
        <v>1075</v>
      </c>
      <c r="D449" s="310" t="s">
        <v>1452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8"/>
    </row>
    <row r="450" spans="1:13" ht="18.75" customHeight="1">
      <c r="A450" s="298" t="str">
        <f t="shared" si="75"/>
        <v>TP</v>
      </c>
      <c r="B450" s="311">
        <f t="shared" si="76"/>
        <v>299</v>
      </c>
      <c r="C450" s="302" t="s">
        <v>1097</v>
      </c>
      <c r="D450" s="310" t="s">
        <v>1452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8"/>
    </row>
    <row r="451" spans="1:13" ht="18.75" customHeight="1">
      <c r="A451" s="298" t="str">
        <f t="shared" si="75"/>
        <v>TP</v>
      </c>
      <c r="B451" s="311">
        <f t="shared" si="76"/>
        <v>300</v>
      </c>
      <c r="C451" s="302" t="s">
        <v>1080</v>
      </c>
      <c r="D451" s="310" t="s">
        <v>1452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8"/>
    </row>
    <row r="452" spans="1:13" ht="18.75" customHeight="1">
      <c r="A452" s="298" t="str">
        <f t="shared" si="75"/>
        <v>TP</v>
      </c>
      <c r="B452" s="311">
        <f t="shared" si="76"/>
        <v>301</v>
      </c>
      <c r="C452" s="302" t="s">
        <v>1079</v>
      </c>
      <c r="D452" s="310" t="s">
        <v>1452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8"/>
    </row>
    <row r="453" spans="1:13" ht="18.75" customHeight="1">
      <c r="A453" s="298" t="str">
        <f t="shared" si="75"/>
        <v>TP</v>
      </c>
      <c r="B453" s="311">
        <f t="shared" si="76"/>
        <v>302</v>
      </c>
      <c r="C453" s="302" t="s">
        <v>1046</v>
      </c>
      <c r="D453" s="310" t="s">
        <v>1452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8"/>
    </row>
    <row r="454" spans="1:13" ht="18.75" customHeight="1">
      <c r="A454" s="298" t="str">
        <f t="shared" si="75"/>
        <v>TP</v>
      </c>
      <c r="B454" s="311">
        <f t="shared" si="76"/>
        <v>303</v>
      </c>
      <c r="C454" s="302" t="s">
        <v>1045</v>
      </c>
      <c r="D454" s="310" t="s">
        <v>1452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8"/>
    </row>
    <row r="455" spans="1:13" ht="18.75" customHeight="1">
      <c r="A455" s="298" t="str">
        <f t="shared" si="75"/>
        <v>TP</v>
      </c>
      <c r="B455" s="311">
        <f t="shared" si="76"/>
        <v>304</v>
      </c>
      <c r="C455" s="302" t="s">
        <v>1044</v>
      </c>
      <c r="D455" s="310" t="s">
        <v>1452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8"/>
    </row>
    <row r="456" spans="1:13" ht="18.75" customHeight="1">
      <c r="A456" s="298" t="str">
        <f t="shared" si="75"/>
        <v>TP</v>
      </c>
      <c r="B456" s="311">
        <f t="shared" si="76"/>
        <v>305</v>
      </c>
      <c r="C456" s="192" t="s">
        <v>1273</v>
      </c>
      <c r="D456" s="310" t="s">
        <v>1452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8"/>
    </row>
    <row r="457" spans="1:13" ht="18.75" customHeight="1">
      <c r="A457" s="298" t="str">
        <f t="shared" si="75"/>
        <v>TP</v>
      </c>
      <c r="B457" s="311">
        <f t="shared" si="76"/>
        <v>306</v>
      </c>
      <c r="C457" s="192" t="s">
        <v>1272</v>
      </c>
      <c r="D457" s="310" t="s">
        <v>1452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8"/>
    </row>
    <row r="458" spans="1:13" ht="18.75" customHeight="1">
      <c r="A458" s="298" t="str">
        <f t="shared" si="75"/>
        <v>TP</v>
      </c>
      <c r="B458" s="311">
        <f t="shared" si="76"/>
        <v>307</v>
      </c>
      <c r="C458" s="192" t="s">
        <v>1265</v>
      </c>
      <c r="D458" s="310" t="s">
        <v>1452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8"/>
    </row>
    <row r="459" spans="1:13" ht="18.75" customHeight="1">
      <c r="A459" s="298" t="str">
        <f t="shared" si="75"/>
        <v>TP</v>
      </c>
      <c r="B459" s="311">
        <f t="shared" si="76"/>
        <v>308</v>
      </c>
      <c r="C459" s="192" t="s">
        <v>1268</v>
      </c>
      <c r="D459" s="310" t="s">
        <v>1452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8"/>
    </row>
    <row r="460" spans="1:13" ht="18.75" customHeight="1">
      <c r="A460" s="298" t="str">
        <f t="shared" si="75"/>
        <v>TP</v>
      </c>
      <c r="B460" s="311">
        <f t="shared" si="76"/>
        <v>309</v>
      </c>
      <c r="C460" s="40" t="s">
        <v>1424</v>
      </c>
      <c r="D460" s="310" t="s">
        <v>1452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8"/>
    </row>
    <row r="461" spans="1:13" ht="18.75" customHeight="1">
      <c r="A461" s="298" t="str">
        <f t="shared" si="75"/>
        <v>TP</v>
      </c>
      <c r="B461" s="311">
        <f t="shared" si="76"/>
        <v>310</v>
      </c>
      <c r="C461" s="302" t="s">
        <v>953</v>
      </c>
      <c r="D461" s="310" t="s">
        <v>406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8"/>
    </row>
    <row r="462" spans="1:13" ht="18.75" customHeight="1">
      <c r="A462" s="298" t="str">
        <f t="shared" si="75"/>
        <v>TP</v>
      </c>
      <c r="B462" s="311">
        <f t="shared" si="76"/>
        <v>311</v>
      </c>
      <c r="C462" s="40" t="s">
        <v>1341</v>
      </c>
      <c r="D462" s="310" t="s">
        <v>406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8"/>
    </row>
    <row r="463" spans="1:13" ht="18.75" customHeight="1">
      <c r="A463" s="298" t="str">
        <f t="shared" si="75"/>
        <v>TP</v>
      </c>
      <c r="B463" s="311">
        <f t="shared" si="76"/>
        <v>312</v>
      </c>
      <c r="C463" s="40" t="s">
        <v>1401</v>
      </c>
      <c r="D463" s="310" t="s">
        <v>406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8"/>
    </row>
    <row r="464" spans="1:13" ht="18.75" customHeight="1">
      <c r="A464" s="298" t="str">
        <f t="shared" si="75"/>
        <v>TP</v>
      </c>
      <c r="B464" s="311">
        <f t="shared" si="76"/>
        <v>313</v>
      </c>
      <c r="C464" s="40" t="s">
        <v>1402</v>
      </c>
      <c r="D464" s="310" t="s">
        <v>406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8"/>
    </row>
    <row r="465" spans="1:13" ht="18.75" customHeight="1">
      <c r="A465" s="298" t="str">
        <f t="shared" si="75"/>
        <v>TP</v>
      </c>
      <c r="B465" s="311">
        <f t="shared" si="76"/>
        <v>314</v>
      </c>
      <c r="C465" s="40" t="s">
        <v>1403</v>
      </c>
      <c r="D465" s="310" t="s">
        <v>406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8"/>
    </row>
    <row r="466" spans="1:13" ht="18.75" customHeight="1">
      <c r="A466" s="298" t="str">
        <f t="shared" si="75"/>
        <v>TP</v>
      </c>
      <c r="B466" s="311">
        <f t="shared" si="76"/>
        <v>315</v>
      </c>
      <c r="C466" s="40" t="s">
        <v>1350</v>
      </c>
      <c r="D466" s="310" t="s">
        <v>406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8"/>
    </row>
    <row r="467" spans="1:13" ht="18.75" customHeight="1">
      <c r="A467" s="298" t="str">
        <f t="shared" si="75"/>
        <v>TP</v>
      </c>
      <c r="B467" s="311">
        <f t="shared" si="76"/>
        <v>316</v>
      </c>
      <c r="C467" s="40" t="s">
        <v>1349</v>
      </c>
      <c r="D467" s="310" t="s">
        <v>406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8"/>
    </row>
    <row r="468" spans="1:13" ht="18.75" customHeight="1">
      <c r="A468" s="298" t="str">
        <f t="shared" si="75"/>
        <v>TP</v>
      </c>
      <c r="B468" s="311">
        <f t="shared" si="76"/>
        <v>317</v>
      </c>
      <c r="C468" s="40" t="s">
        <v>1414</v>
      </c>
      <c r="D468" s="310" t="s">
        <v>406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8"/>
    </row>
    <row r="469" spans="1:13" ht="18.75" customHeight="1">
      <c r="A469" s="298" t="str">
        <f t="shared" ref="A469:A476" si="77">IF(B469&lt;&gt;"","TP","")</f>
        <v>TP</v>
      </c>
      <c r="B469" s="311">
        <f t="shared" ref="B469:B476" si="78">IF(C469&lt;&gt;"",B468+1,"")</f>
        <v>318</v>
      </c>
      <c r="C469" s="40" t="s">
        <v>1340</v>
      </c>
      <c r="D469" s="310" t="s">
        <v>406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8"/>
    </row>
    <row r="470" spans="1:13" ht="18.75" customHeight="1">
      <c r="A470" s="298" t="str">
        <f t="shared" si="77"/>
        <v>TP</v>
      </c>
      <c r="B470" s="311">
        <f t="shared" si="78"/>
        <v>319</v>
      </c>
      <c r="C470" s="40" t="s">
        <v>1342</v>
      </c>
      <c r="D470" s="310" t="s">
        <v>406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8"/>
    </row>
    <row r="471" spans="1:13" ht="18.75" customHeight="1">
      <c r="A471" s="298" t="str">
        <f t="shared" si="77"/>
        <v>TP</v>
      </c>
      <c r="B471" s="311">
        <f t="shared" si="78"/>
        <v>320</v>
      </c>
      <c r="C471" s="40" t="s">
        <v>1339</v>
      </c>
      <c r="D471" s="310" t="s">
        <v>406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8"/>
    </row>
    <row r="472" spans="1:13" ht="18.75" customHeight="1">
      <c r="A472" s="298" t="str">
        <f t="shared" si="77"/>
        <v>TP</v>
      </c>
      <c r="B472" s="311">
        <f t="shared" si="78"/>
        <v>321</v>
      </c>
      <c r="C472" s="40" t="s">
        <v>1394</v>
      </c>
      <c r="D472" s="310" t="s">
        <v>406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8"/>
    </row>
    <row r="473" spans="1:13" ht="18.75" customHeight="1">
      <c r="A473" s="298" t="str">
        <f t="shared" si="77"/>
        <v>TP</v>
      </c>
      <c r="B473" s="311">
        <f t="shared" si="78"/>
        <v>322</v>
      </c>
      <c r="C473" s="40" t="s">
        <v>1348</v>
      </c>
      <c r="D473" s="310" t="s">
        <v>406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8"/>
    </row>
    <row r="474" spans="1:13" ht="18.75" customHeight="1">
      <c r="A474" s="298" t="str">
        <f t="shared" si="77"/>
        <v>TP</v>
      </c>
      <c r="B474" s="311">
        <f t="shared" si="78"/>
        <v>323</v>
      </c>
      <c r="C474" s="40" t="s">
        <v>1395</v>
      </c>
      <c r="D474" s="310" t="s">
        <v>406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8"/>
    </row>
    <row r="475" spans="1:13" ht="18.75" customHeight="1">
      <c r="A475" s="298" t="str">
        <f t="shared" si="77"/>
        <v>TP</v>
      </c>
      <c r="B475" s="311">
        <f t="shared" si="78"/>
        <v>324</v>
      </c>
      <c r="C475" s="40" t="s">
        <v>1346</v>
      </c>
      <c r="D475" s="310" t="s">
        <v>406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8"/>
    </row>
    <row r="476" spans="1:13" ht="18.75" customHeight="1">
      <c r="A476" s="298" t="str">
        <f t="shared" si="77"/>
        <v>TP</v>
      </c>
      <c r="B476" s="311">
        <f t="shared" si="78"/>
        <v>325</v>
      </c>
      <c r="C476" s="40" t="s">
        <v>1344</v>
      </c>
      <c r="D476" s="310" t="s">
        <v>406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8"/>
    </row>
    <row r="477" spans="1:13" ht="18.75" customHeight="1">
      <c r="A477" s="298" t="str">
        <f>IF(B477&lt;&gt;"","TP","")</f>
        <v>TP</v>
      </c>
      <c r="B477" s="311">
        <f>IF(C477&lt;&gt;"",B476+1,"")</f>
        <v>326</v>
      </c>
      <c r="C477" s="40" t="s">
        <v>1404</v>
      </c>
      <c r="D477" s="310" t="s">
        <v>406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8"/>
    </row>
    <row r="478" spans="1:13" ht="18.75" customHeight="1">
      <c r="A478" s="298" t="str">
        <f t="shared" ref="A478:A483" si="81">IF(B478&lt;&gt;"","TP","")</f>
        <v>TP</v>
      </c>
      <c r="B478" s="311">
        <f t="shared" ref="B478:B483" si="82">IF(C478&lt;&gt;"",B477+1,"")</f>
        <v>327</v>
      </c>
      <c r="C478" s="40" t="s">
        <v>1345</v>
      </c>
      <c r="D478" s="310" t="s">
        <v>406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8"/>
    </row>
    <row r="479" spans="1:13" ht="18.75" customHeight="1">
      <c r="A479" s="298" t="str">
        <f t="shared" si="81"/>
        <v>TP</v>
      </c>
      <c r="B479" s="311">
        <f t="shared" si="82"/>
        <v>328</v>
      </c>
      <c r="C479" s="40" t="s">
        <v>1405</v>
      </c>
      <c r="D479" s="310" t="s">
        <v>406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8"/>
    </row>
    <row r="480" spans="1:13" ht="18.75" customHeight="1">
      <c r="A480" s="298" t="str">
        <f t="shared" si="81"/>
        <v>TP</v>
      </c>
      <c r="B480" s="311">
        <f t="shared" si="82"/>
        <v>329</v>
      </c>
      <c r="C480" s="40" t="s">
        <v>1347</v>
      </c>
      <c r="D480" s="310" t="s">
        <v>406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8"/>
    </row>
    <row r="481" spans="1:13" ht="18.75" customHeight="1">
      <c r="A481" s="298" t="str">
        <f t="shared" si="81"/>
        <v>TP</v>
      </c>
      <c r="B481" s="311">
        <f t="shared" si="82"/>
        <v>330</v>
      </c>
      <c r="C481" s="40" t="s">
        <v>1343</v>
      </c>
      <c r="D481" s="310" t="s">
        <v>406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8"/>
    </row>
    <row r="482" spans="1:13" ht="18.75" customHeight="1">
      <c r="A482" s="298" t="str">
        <f t="shared" si="81"/>
        <v>TP</v>
      </c>
      <c r="B482" s="311">
        <f t="shared" si="82"/>
        <v>331</v>
      </c>
      <c r="C482" s="40" t="s">
        <v>1351</v>
      </c>
      <c r="D482" s="310" t="s">
        <v>406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8"/>
    </row>
    <row r="483" spans="1:13" ht="18.75" customHeight="1">
      <c r="A483" s="298" t="str">
        <f t="shared" si="81"/>
        <v>TP</v>
      </c>
      <c r="B483" s="311">
        <f t="shared" si="82"/>
        <v>332</v>
      </c>
      <c r="C483" s="302" t="s">
        <v>1081</v>
      </c>
      <c r="D483" s="310" t="s">
        <v>406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8"/>
    </row>
    <row r="484" spans="1:13" ht="18.75" customHeight="1">
      <c r="A484" s="298" t="str">
        <f t="shared" ref="A484:A486" si="83">IF(B484&lt;&gt;"","TP","")</f>
        <v/>
      </c>
      <c r="B484" s="311" t="str">
        <f>IF(C484&lt;&gt;"",#REF!+1,"")</f>
        <v/>
      </c>
      <c r="C484" s="313"/>
      <c r="D484" s="308"/>
      <c r="E484" s="8"/>
      <c r="F484" s="8"/>
      <c r="G484" s="309"/>
      <c r="H484" s="309"/>
      <c r="I484" s="309"/>
      <c r="J484" s="309"/>
      <c r="K484" s="309"/>
      <c r="L484" s="309"/>
      <c r="M484" s="298"/>
    </row>
    <row r="485" spans="1:13" ht="19.5" customHeight="1">
      <c r="A485" s="298" t="str">
        <f t="shared" si="83"/>
        <v/>
      </c>
      <c r="B485" s="297"/>
      <c r="C485" s="306" t="s">
        <v>207</v>
      </c>
      <c r="D485" s="297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8"/>
    </row>
    <row r="486" spans="1:13" ht="18.75" hidden="1" customHeight="1">
      <c r="A486" s="298" t="str">
        <f t="shared" si="83"/>
        <v/>
      </c>
      <c r="B486" s="493"/>
      <c r="C486" s="493"/>
      <c r="D486" s="492"/>
      <c r="E486" s="494">
        <f>F485-F486</f>
        <v>0</v>
      </c>
      <c r="F486" s="494">
        <f>CDPS!C25</f>
        <v>0</v>
      </c>
      <c r="G486" s="494">
        <f>H485-H486</f>
        <v>0</v>
      </c>
      <c r="H486" s="494">
        <f>CDPS!E25</f>
        <v>957706400</v>
      </c>
      <c r="I486" s="494">
        <f>J485-J486</f>
        <v>0</v>
      </c>
      <c r="J486" s="494">
        <f>CDPS!F25</f>
        <v>957706400</v>
      </c>
      <c r="K486" s="494">
        <f>L485-L486</f>
        <v>0</v>
      </c>
      <c r="L486" s="494">
        <f>CDPS!G25</f>
        <v>0</v>
      </c>
      <c r="M486" s="312"/>
    </row>
    <row r="487" spans="1:13" ht="18.75" hidden="1" customHeight="1"/>
    <row r="488" spans="1:13" ht="19.5" hidden="1" customHeight="1"/>
    <row r="489" spans="1:13" ht="19.5" customHeight="1">
      <c r="C489" s="1019"/>
      <c r="D489" s="1019"/>
      <c r="E489" s="1019"/>
      <c r="F489" s="935"/>
      <c r="G489" s="935"/>
      <c r="H489" s="935"/>
      <c r="I489" s="935"/>
      <c r="J489" s="1019" t="s">
        <v>1467</v>
      </c>
      <c r="K489" s="1019"/>
      <c r="L489" s="1019"/>
    </row>
    <row r="490" spans="1:13" ht="19.5" customHeight="1">
      <c r="C490" s="936"/>
      <c r="D490" s="936"/>
      <c r="E490" s="936"/>
      <c r="F490" s="1019"/>
      <c r="G490" s="1019"/>
      <c r="H490" s="1019"/>
      <c r="I490" s="935"/>
      <c r="J490" s="1019" t="s">
        <v>109</v>
      </c>
      <c r="K490" s="1019"/>
      <c r="L490" s="1019"/>
    </row>
    <row r="491" spans="1:13" ht="19.5" customHeight="1">
      <c r="C491" s="936"/>
      <c r="D491" s="936"/>
      <c r="E491" s="936"/>
      <c r="F491" s="1019"/>
      <c r="G491" s="1019"/>
      <c r="H491" s="1019"/>
      <c r="I491" s="293"/>
      <c r="J491" s="1019" t="s">
        <v>136</v>
      </c>
      <c r="K491" s="1019"/>
      <c r="L491" s="1019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91:H491"/>
    <mergeCell ref="J491:L491"/>
    <mergeCell ref="C489:E489"/>
    <mergeCell ref="J489:L489"/>
    <mergeCell ref="F490:H490"/>
    <mergeCell ref="J490:L49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7" customWidth="1"/>
    <col min="2" max="2" width="29.7109375" style="317" customWidth="1"/>
    <col min="3" max="3" width="5.7109375" style="317" customWidth="1"/>
    <col min="4" max="4" width="6.7109375" style="317" customWidth="1"/>
    <col min="5" max="5" width="12.7109375" style="317" customWidth="1"/>
    <col min="6" max="6" width="9.85546875" style="317" customWidth="1"/>
    <col min="7" max="7" width="11" style="317" customWidth="1"/>
    <col min="8" max="8" width="14" style="317" customWidth="1"/>
    <col min="9" max="9" width="4.28515625" style="317" customWidth="1"/>
    <col min="10" max="10" width="7.5703125" style="317" customWidth="1"/>
    <col min="11" max="11" width="3.140625" style="317" customWidth="1"/>
    <col min="12" max="12" width="5.7109375" style="317" customWidth="1"/>
    <col min="13" max="13" width="2.7109375" style="317" customWidth="1"/>
    <col min="14" max="14" width="4" style="317" customWidth="1"/>
    <col min="15" max="15" width="3.7109375" style="317" customWidth="1"/>
    <col min="16" max="16384" width="9.140625" style="317"/>
  </cols>
  <sheetData>
    <row r="1" spans="1:17" ht="5.25" hidden="1" customHeight="1"/>
    <row r="2" spans="1:17" s="692" customFormat="1" ht="12" customHeight="1">
      <c r="A2" s="691" t="str">
        <f>TH!A1</f>
        <v>Đơn vị: CÔNG TY TNHH SX TM KIM DUNG PHÁT</v>
      </c>
      <c r="G2" s="693" t="str">
        <f>+IF(LEFT($D$7,1)="N","Mẫu số 01 - VT","Mẫu số 02 - VT")</f>
        <v>Mẫu số 02 - VT</v>
      </c>
    </row>
    <row r="3" spans="1:17" s="692" customFormat="1" ht="12" customHeight="1">
      <c r="A3" s="69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93" t="s">
        <v>104</v>
      </c>
      <c r="O3" s="695"/>
      <c r="P3" s="696">
        <f>IF(J5="Quý I",1,IF(J5="Quý II",4,IF(J5="Quý III",7,IF(J5="Quý IV",10,""))))</f>
        <v>10</v>
      </c>
      <c r="Q3" s="696">
        <f>IF(J5="Quý I",3,IF(J5="Quý II",6,IF(J5="Quý III",9,IF(J5="Quý IV",12,""))))</f>
        <v>12</v>
      </c>
    </row>
    <row r="4" spans="1:17" s="69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7"/>
      <c r="M4" s="698"/>
      <c r="N4" s="693" t="s">
        <v>105</v>
      </c>
      <c r="O4" s="695"/>
    </row>
    <row r="5" spans="1:17" ht="18" customHeight="1" thickBot="1">
      <c r="D5" s="321" t="str">
        <f>+IF(LEFT($L$5,1)="N","PHIẾU NHẬP KHO","PHIẾU XUẤT KHO")</f>
        <v>PHIẾU XUẤT KHO</v>
      </c>
      <c r="J5" s="688" t="s">
        <v>1427</v>
      </c>
      <c r="K5" s="322"/>
      <c r="L5" s="689" t="s">
        <v>1454</v>
      </c>
      <c r="M5" s="323"/>
      <c r="N5" s="690">
        <v>2</v>
      </c>
      <c r="O5" s="318"/>
      <c r="P5" s="318"/>
    </row>
    <row r="6" spans="1:17" ht="10.5" customHeight="1">
      <c r="D6" s="70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701"/>
      <c r="M6" s="320"/>
      <c r="O6" s="318"/>
    </row>
    <row r="7" spans="1:17" ht="10.5" customHeight="1">
      <c r="C7" s="702" t="str">
        <f xml:space="preserve"> "Số:"</f>
        <v>Số:</v>
      </c>
      <c r="D7" s="703" t="str">
        <f xml:space="preserve"> RIGHT($L$5,2)&amp;"/"&amp;LEFT($L$5,1)&amp;IF($N$5&gt;=10,$N$5,"0"&amp;$N$5)</f>
        <v>TP/X02</v>
      </c>
      <c r="G7" s="317" t="str">
        <f ca="1">"Nợ:  "&amp;IF(ROWS($1:1)&gt;COUNT(Dong10),"",OFFSET(TH!L$1,SMALL(Dong10,ROWS($1:1)),))</f>
        <v>Nợ:  131</v>
      </c>
      <c r="M7" s="320"/>
      <c r="O7" s="318"/>
    </row>
    <row r="8" spans="1:17" ht="10.5" customHeight="1">
      <c r="D8" s="71"/>
      <c r="G8" s="317" t="str">
        <f ca="1">"Có:  "&amp;IF(ROWS($1:1)&gt;COUNT(Dong10),"",OFFSET(TH!M$1,SMALL(Dong10,ROWS($1:1)),))</f>
        <v>Có:  5112</v>
      </c>
      <c r="M8" s="320"/>
      <c r="O8" s="704"/>
    </row>
    <row r="9" spans="1:17" ht="11.25" customHeight="1">
      <c r="A9" s="31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20"/>
    </row>
    <row r="10" spans="1:17" ht="11.25" customHeight="1">
      <c r="A10" s="31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7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60" t="s">
        <v>35</v>
      </c>
      <c r="B14" s="1060" t="s">
        <v>208</v>
      </c>
      <c r="C14" s="1060" t="s">
        <v>209</v>
      </c>
      <c r="D14" s="1060" t="s">
        <v>200</v>
      </c>
      <c r="E14" s="1062" t="s">
        <v>210</v>
      </c>
      <c r="F14" s="1062"/>
      <c r="G14" s="1060" t="s">
        <v>211</v>
      </c>
      <c r="H14" s="1060" t="s">
        <v>212</v>
      </c>
    </row>
    <row r="15" spans="1:17" ht="12.75" customHeight="1">
      <c r="A15" s="1061"/>
      <c r="B15" s="1061"/>
      <c r="C15" s="1061"/>
      <c r="D15" s="1061"/>
      <c r="E15" s="705" t="s">
        <v>213</v>
      </c>
      <c r="F15" s="705" t="str">
        <f>IF(LEFT($D$7,1)="N","Thực nhập","Thực xuất")</f>
        <v>Thực xuất</v>
      </c>
      <c r="G15" s="1061"/>
      <c r="H15" s="1061"/>
    </row>
    <row r="16" spans="1:17" s="71" customFormat="1" ht="8.25" customHeight="1">
      <c r="A16" s="706" t="s">
        <v>2</v>
      </c>
      <c r="B16" s="706" t="s">
        <v>3</v>
      </c>
      <c r="C16" s="706" t="s">
        <v>4</v>
      </c>
      <c r="D16" s="706" t="s">
        <v>5</v>
      </c>
      <c r="E16" s="706">
        <v>1</v>
      </c>
      <c r="F16" s="706">
        <v>2</v>
      </c>
      <c r="G16" s="706">
        <v>3</v>
      </c>
      <c r="H16" s="706">
        <v>4</v>
      </c>
    </row>
    <row r="17" spans="1:8" ht="11.25" customHeight="1">
      <c r="A17" s="707">
        <f ca="1">IF(B17="","",ROW()-16)</f>
        <v>1</v>
      </c>
      <c r="B17" s="708" t="str">
        <f ca="1">IF(ROWS($1:1)&gt;COUNT(Dong10),"",OFFSET(TH!F$1,SMALL(Dong10,ROWS($1:1)),))</f>
        <v>Thùng carton (69x41x29)</v>
      </c>
      <c r="C17" s="709"/>
      <c r="D17" s="710" t="str">
        <f ca="1">IF(ISNA(VLOOKUP(B17,NXT!$C$12:$D$484,2,0)),"",VLOOKUP(B17,NXT!$C$12:$D$484,2,0))</f>
        <v>thùng</v>
      </c>
      <c r="E17" s="711"/>
      <c r="F17" s="712">
        <f ca="1">IF(ROWS($1:1)&gt;COUNT(Dong10),"",OFFSET(TH!I$1,SMALL(Dong10,ROWS($1:1)),))</f>
        <v>2954.1641048824595</v>
      </c>
      <c r="G17" s="712">
        <f ca="1">IF(ROWS($1:1)&gt;COUNT(Dong10),"",OFFSET(TH!J$1,SMALL(Dong10,ROWS($1:1)),))</f>
        <v>19908</v>
      </c>
      <c r="H17" s="711">
        <f ca="1">IF(F17&lt;&gt;"",ROUND(F17*G17,0),0)</f>
        <v>58811499</v>
      </c>
    </row>
    <row r="18" spans="1:8" ht="11.25" customHeight="1">
      <c r="A18" s="707" t="str">
        <f t="shared" ref="A18:A20" ca="1" si="0">IF(B18="","",A17+1)</f>
        <v/>
      </c>
      <c r="B18" s="708" t="str">
        <f ca="1">IF(ROWS($1:2)&gt;COUNT(Dong10),"",OFFSET(TH!F$1,SMALL(Dong10,ROWS($1:2)),))</f>
        <v/>
      </c>
      <c r="C18" s="709"/>
      <c r="D18" s="710" t="str">
        <f ca="1">IF(ISNA(VLOOKUP(B18,NXT!$C$12:$D$484,2,0)),"",VLOOKUP(B18,NXT!$C$12:$D$484,2,0))</f>
        <v/>
      </c>
      <c r="E18" s="711"/>
      <c r="F18" s="712" t="str">
        <f ca="1">IF(ROWS($1:2)&gt;COUNT(Dong10),"",OFFSET(TH!I$1,SMALL(Dong10,ROWS($1:2)),))</f>
        <v/>
      </c>
      <c r="G18" s="712" t="str">
        <f ca="1">IF(ROWS($1:2)&gt;COUNT(Dong10),"",OFFSET(TH!J$1,SMALL(Dong10,ROWS($1:2)),))</f>
        <v/>
      </c>
      <c r="H18" s="711">
        <f t="shared" ref="H18:H24" ca="1" si="1">IF(F18&lt;&gt;"",ROUND(F18*G18,0),0)</f>
        <v>0</v>
      </c>
    </row>
    <row r="19" spans="1:8" ht="11.25" customHeight="1">
      <c r="A19" s="707" t="str">
        <f t="shared" ca="1" si="0"/>
        <v/>
      </c>
      <c r="B19" s="708" t="str">
        <f ca="1">IF(ROWS($1:3)&gt;COUNT(Dong10),"",OFFSET(TH!F$1,SMALL(Dong10,ROWS($1:3)),))</f>
        <v/>
      </c>
      <c r="C19" s="709"/>
      <c r="D19" s="710" t="str">
        <f ca="1">IF(ISNA(VLOOKUP(B19,NXT!$C$12:$D$484,2,0)),"",VLOOKUP(B19,NXT!$C$12:$D$484,2,0))</f>
        <v/>
      </c>
      <c r="E19" s="711"/>
      <c r="F19" s="712" t="str">
        <f ca="1">IF(ROWS($1:3)&gt;COUNT(Dong10),"",OFFSET(TH!I$1,SMALL(Dong10,ROWS($1:3)),))</f>
        <v/>
      </c>
      <c r="G19" s="712" t="str">
        <f ca="1">IF(ROWS($1:3)&gt;COUNT(Dong10),"",OFFSET(TH!J$1,SMALL(Dong10,ROWS($1:3)),))</f>
        <v/>
      </c>
      <c r="H19" s="711">
        <f t="shared" ca="1" si="1"/>
        <v>0</v>
      </c>
    </row>
    <row r="20" spans="1:8" ht="11.25" customHeight="1">
      <c r="A20" s="707" t="str">
        <f t="shared" ca="1" si="0"/>
        <v/>
      </c>
      <c r="B20" s="708" t="str">
        <f ca="1">IF(ROWS($1:4)&gt;COUNT(Dong10),"",OFFSET(TH!F$1,SMALL(Dong10,ROWS($1:4)),))</f>
        <v/>
      </c>
      <c r="C20" s="709"/>
      <c r="D20" s="710" t="str">
        <f ca="1">IF(ISNA(VLOOKUP(B20,NXT!$C$12:$D$484,2,0)),"",VLOOKUP(B20,NXT!$C$12:$D$484,2,0))</f>
        <v/>
      </c>
      <c r="E20" s="711"/>
      <c r="F20" s="712" t="str">
        <f ca="1">IF(ROWS($1:4)&gt;COUNT(Dong10),"",OFFSET(TH!I$1,SMALL(Dong10,ROWS($1:4)),))</f>
        <v/>
      </c>
      <c r="G20" s="712" t="str">
        <f ca="1">IF(ROWS($1:4)&gt;COUNT(Dong10),"",OFFSET(TH!J$1,SMALL(Dong10,ROWS($1:4)),))</f>
        <v/>
      </c>
      <c r="H20" s="711">
        <f t="shared" ca="1" si="1"/>
        <v>0</v>
      </c>
    </row>
    <row r="21" spans="1:8" ht="11.25" customHeight="1">
      <c r="A21" s="707" t="str">
        <f t="shared" ref="A21:A23" ca="1" si="2">IF(B21="","",A20+1)</f>
        <v/>
      </c>
      <c r="B21" s="708" t="str">
        <f ca="1">IF(ROWS($1:5)&gt;COUNT(Dong10),"",OFFSET(TH!F$1,SMALL(Dong10,ROWS($1:5)),))</f>
        <v/>
      </c>
      <c r="C21" s="709"/>
      <c r="D21" s="710" t="str">
        <f ca="1">IF(ISNA(VLOOKUP(B21,NXT!$C$12:$D$484,2,0)),"",VLOOKUP(B21,NXT!$C$12:$D$484,2,0))</f>
        <v/>
      </c>
      <c r="E21" s="711"/>
      <c r="F21" s="712" t="str">
        <f ca="1">IF(ROWS($1:5)&gt;COUNT(Dong10),"",OFFSET(TH!I$1,SMALL(Dong10,ROWS($1:5)),))</f>
        <v/>
      </c>
      <c r="G21" s="712" t="str">
        <f ca="1">IF(ROWS($1:5)&gt;COUNT(Dong10),"",OFFSET(TH!J$1,SMALL(Dong10,ROWS($1:5)),))</f>
        <v/>
      </c>
      <c r="H21" s="711">
        <f t="shared" ca="1" si="1"/>
        <v>0</v>
      </c>
    </row>
    <row r="22" spans="1:8" ht="11.25" customHeight="1">
      <c r="A22" s="707" t="str">
        <f t="shared" ca="1" si="2"/>
        <v/>
      </c>
      <c r="B22" s="708" t="str">
        <f ca="1">IF(ROWS($1:6)&gt;COUNT(Dong10),"",OFFSET(TH!F$1,SMALL(Dong10,ROWS($1:6)),))</f>
        <v/>
      </c>
      <c r="C22" s="709"/>
      <c r="D22" s="710" t="str">
        <f ca="1">IF(ISNA(VLOOKUP(B22,NXT!$C$12:$D$484,2,0)),"",VLOOKUP(B22,NXT!$C$12:$D$484,2,0))</f>
        <v/>
      </c>
      <c r="E22" s="711"/>
      <c r="F22" s="712" t="str">
        <f ca="1">IF(ROWS($1:6)&gt;COUNT(Dong10),"",OFFSET(TH!I$1,SMALL(Dong10,ROWS($1:6)),))</f>
        <v/>
      </c>
      <c r="G22" s="712" t="str">
        <f ca="1">IF(ROWS($1:6)&gt;COUNT(Dong10),"",OFFSET(TH!J$1,SMALL(Dong10,ROWS($1:6)),))</f>
        <v/>
      </c>
      <c r="H22" s="711">
        <f t="shared" ca="1" si="1"/>
        <v>0</v>
      </c>
    </row>
    <row r="23" spans="1:8" ht="11.25" customHeight="1">
      <c r="A23" s="707" t="str">
        <f t="shared" ca="1" si="2"/>
        <v/>
      </c>
      <c r="B23" s="708" t="str">
        <f ca="1">IF(ROWS($1:7)&gt;COUNT(Dong10),"",OFFSET(TH!F$1,SMALL(Dong10,ROWS($1:7)),))</f>
        <v/>
      </c>
      <c r="C23" s="709"/>
      <c r="D23" s="710" t="str">
        <f ca="1">IF(ISNA(VLOOKUP(B23,NXT!$C$12:$D$484,2,0)),"",VLOOKUP(B23,NXT!$C$12:$D$484,2,0))</f>
        <v/>
      </c>
      <c r="E23" s="711"/>
      <c r="F23" s="712" t="str">
        <f ca="1">IF(ROWS($1:7)&gt;COUNT(Dong10),"",OFFSET(TH!I$1,SMALL(Dong10,ROWS($1:7)),))</f>
        <v/>
      </c>
      <c r="G23" s="712" t="str">
        <f ca="1">IF(ROWS($1:7)&gt;COUNT(Dong10),"",OFFSET(TH!J$1,SMALL(Dong10,ROWS($1:7)),))</f>
        <v/>
      </c>
      <c r="H23" s="711">
        <f t="shared" ca="1" si="1"/>
        <v>0</v>
      </c>
    </row>
    <row r="24" spans="1:8" ht="11.25" customHeight="1">
      <c r="A24" s="707" t="str">
        <f t="shared" ref="A24" ca="1" si="3">IF(B24="","",A23+1)</f>
        <v/>
      </c>
      <c r="B24" s="708" t="str">
        <f ca="1">IF(ROWS($1:8)&gt;COUNT(Dong10),"",OFFSET(TH!F$1,SMALL(Dong10,ROWS($1:8)),))</f>
        <v/>
      </c>
      <c r="C24" s="709"/>
      <c r="D24" s="710" t="str">
        <f ca="1">IF(ISNA(VLOOKUP(B24,NXT!$C$12:$D$484,2,0)),"",VLOOKUP(B24,NXT!$C$12:$D$484,2,0))</f>
        <v/>
      </c>
      <c r="E24" s="711"/>
      <c r="F24" s="712" t="str">
        <f ca="1">IF(ROWS($1:8)&gt;COUNT(Dong10),"",OFFSET(TH!I$1,SMALL(Dong10,ROWS($1:8)),))</f>
        <v/>
      </c>
      <c r="G24" s="712" t="str">
        <f ca="1">IF(ROWS($1:8)&gt;COUNT(Dong10),"",OFFSET(TH!J$1,SMALL(Dong10,ROWS($1:8)),))</f>
        <v/>
      </c>
      <c r="H24" s="711">
        <f t="shared" ca="1" si="1"/>
        <v>0</v>
      </c>
    </row>
    <row r="25" spans="1:8" ht="11.25" customHeight="1">
      <c r="A25" s="707" t="str">
        <f t="shared" ref="A25" ca="1" si="4">IF(B25="","",A24+1)</f>
        <v/>
      </c>
      <c r="B25" s="708" t="str">
        <f ca="1">IF(ROWS($1:9)&gt;COUNT(Dong10),"",OFFSET(TH!F$1,SMALL(Dong10,ROWS($1:9)),))</f>
        <v/>
      </c>
      <c r="C25" s="709"/>
      <c r="D25" s="710" t="str">
        <f ca="1">IF(ISNA(VLOOKUP(B25,NXT!$C$12:$D$484,2,0)),"",VLOOKUP(B25,NXT!$C$12:$D$484,2,0))</f>
        <v/>
      </c>
      <c r="E25" s="711"/>
      <c r="F25" s="712" t="str">
        <f ca="1">IF(ROWS($1:9)&gt;COUNT(Dong10),"",OFFSET(TH!I$1,SMALL(Dong10,ROWS($1:9)),))</f>
        <v/>
      </c>
      <c r="G25" s="712" t="str">
        <f ca="1">IF(ROWS($1:9)&gt;COUNT(Dong10),"",OFFSET(TH!J$1,SMALL(Dong10,ROWS($1:9)),))</f>
        <v/>
      </c>
      <c r="H25" s="711">
        <f t="shared" ref="H25" ca="1" si="5">IF(F25&lt;&gt;"",ROUND(F25*G25,0),0)</f>
        <v>0</v>
      </c>
    </row>
    <row r="26" spans="1:8" ht="11.25" customHeight="1">
      <c r="A26" s="707"/>
      <c r="B26" s="708"/>
      <c r="C26" s="709"/>
      <c r="D26" s="710"/>
      <c r="E26" s="711"/>
      <c r="F26" s="712"/>
      <c r="G26" s="713"/>
      <c r="H26" s="711"/>
    </row>
    <row r="27" spans="1:8" ht="11.25" customHeight="1">
      <c r="A27" s="1062" t="s">
        <v>214</v>
      </c>
      <c r="B27" s="1062"/>
      <c r="C27" s="714"/>
      <c r="D27" s="714"/>
      <c r="E27" s="715"/>
      <c r="F27" s="715"/>
      <c r="G27" s="715"/>
      <c r="H27" s="715">
        <f ca="1">SUM(H17:H26)</f>
        <v>58811499</v>
      </c>
    </row>
    <row r="28" spans="1:8" ht="3" customHeight="1">
      <c r="A28" s="716"/>
      <c r="B28" s="716"/>
      <c r="C28" s="320"/>
      <c r="D28" s="320"/>
      <c r="E28" s="717"/>
      <c r="F28" s="717"/>
      <c r="G28" s="717"/>
      <c r="H28" s="717"/>
    </row>
    <row r="29" spans="1:8" ht="11.25" customHeight="1">
      <c r="A29" s="317" t="e">
        <f ca="1">"Tổng số tiền (viết bằng chữ):  "&amp;[4]!VND(H27, TRUE)</f>
        <v>#NAME?</v>
      </c>
    </row>
    <row r="30" spans="1:8" ht="11.25" customHeight="1">
      <c r="A30" s="317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9" customFormat="1" ht="11.25" customHeight="1">
      <c r="A32" s="718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3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3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9" customFormat="1" ht="11.25" customHeight="1"/>
    <row r="39" spans="1:8" ht="11.25" customHeight="1">
      <c r="A39" s="325"/>
      <c r="F39" s="326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8" customWidth="1"/>
    <col min="2" max="2" width="8.5703125" style="328" customWidth="1"/>
    <col min="3" max="3" width="11" style="328" customWidth="1"/>
    <col min="4" max="4" width="41.7109375" style="328" customWidth="1"/>
    <col min="5" max="5" width="8" style="341" customWidth="1"/>
    <col min="6" max="6" width="8.85546875" style="328" customWidth="1"/>
    <col min="7" max="7" width="9" style="328" customWidth="1"/>
    <col min="8" max="8" width="14.140625" style="328" customWidth="1"/>
    <col min="9" max="9" width="8.85546875" style="328" customWidth="1"/>
    <col min="10" max="10" width="13.42578125" style="328" customWidth="1"/>
    <col min="11" max="11" width="10.140625" style="328" customWidth="1"/>
    <col min="12" max="12" width="13" style="328" customWidth="1"/>
    <col min="13" max="13" width="7.140625" style="328" customWidth="1"/>
    <col min="14" max="14" width="2" style="328" customWidth="1"/>
    <col min="15" max="15" width="5.5703125" style="328" customWidth="1"/>
    <col min="16" max="16" width="4.42578125" style="328" customWidth="1"/>
    <col min="17" max="16384" width="23.85546875" style="328"/>
  </cols>
  <sheetData>
    <row r="1" spans="1:17">
      <c r="A1" s="327" t="s">
        <v>217</v>
      </c>
      <c r="E1" s="328"/>
      <c r="O1" s="329"/>
    </row>
    <row r="2" spans="1:17" s="268" customFormat="1" ht="16.5" customHeight="1">
      <c r="B2" s="330" t="str">
        <f>TH!A1</f>
        <v>Đơn vị: CÔNG TY TNHH SX TM KIM DUNG PHÁT</v>
      </c>
      <c r="C2" s="331"/>
      <c r="D2" s="332"/>
      <c r="E2" s="333"/>
      <c r="F2" s="2"/>
      <c r="J2" s="1063" t="s">
        <v>218</v>
      </c>
      <c r="K2" s="1063"/>
      <c r="L2" s="1063"/>
      <c r="M2" s="1063"/>
      <c r="N2" s="334"/>
    </row>
    <row r="3" spans="1:17" s="268" customFormat="1" ht="16.5" customHeight="1">
      <c r="B3" s="636" t="str">
        <f>TH!A2</f>
        <v>Địa chỉ: 1A227/1 Ấp 1, Phạm Văn Hai, Bình Chánh, TPHCM</v>
      </c>
      <c r="C3" s="330"/>
      <c r="D3" s="330"/>
      <c r="E3" s="335"/>
      <c r="F3" s="330"/>
      <c r="J3" s="1064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4"/>
      <c r="L3" s="1064"/>
      <c r="M3" s="1064"/>
      <c r="N3" s="336"/>
    </row>
    <row r="4" spans="1:17" s="268" customFormat="1" ht="16.5" customHeight="1">
      <c r="B4" s="330"/>
      <c r="C4" s="330"/>
      <c r="D4" s="330"/>
      <c r="E4" s="335"/>
      <c r="F4" s="330"/>
      <c r="J4" s="1064"/>
      <c r="K4" s="1064"/>
      <c r="L4" s="1064"/>
      <c r="M4" s="1064"/>
      <c r="N4" s="336"/>
    </row>
    <row r="5" spans="1:17" ht="18.75" customHeight="1">
      <c r="B5" s="1065" t="s">
        <v>219</v>
      </c>
      <c r="C5" s="1065"/>
      <c r="D5" s="1065"/>
      <c r="E5" s="1065"/>
      <c r="F5" s="1065"/>
      <c r="G5" s="1065"/>
      <c r="H5" s="1065"/>
      <c r="I5" s="1065"/>
      <c r="J5" s="1065"/>
      <c r="K5" s="1065"/>
      <c r="L5" s="1065"/>
      <c r="M5" s="1065"/>
      <c r="N5" s="337"/>
    </row>
    <row r="6" spans="1:17" s="338" customFormat="1" ht="12.75">
      <c r="B6" s="1066" t="s">
        <v>220</v>
      </c>
      <c r="C6" s="1066"/>
      <c r="D6" s="1066"/>
      <c r="E6" s="1066"/>
      <c r="F6" s="1066"/>
      <c r="G6" s="1066"/>
      <c r="H6" s="1066"/>
      <c r="I6" s="1066"/>
      <c r="J6" s="1066"/>
      <c r="K6" s="1066"/>
      <c r="L6" s="1066"/>
      <c r="M6" s="1066"/>
      <c r="N6" s="339"/>
    </row>
    <row r="7" spans="1:17">
      <c r="C7" s="340"/>
      <c r="D7" s="340"/>
      <c r="F7" s="342" t="s">
        <v>295</v>
      </c>
      <c r="G7" s="481" t="str">
        <f>IF($O$10="VL","1522",IF($O$10="NL","1521",IF($O$10="TP","155","")))</f>
        <v>1521</v>
      </c>
      <c r="H7" s="342" t="s">
        <v>221</v>
      </c>
      <c r="I7" s="340" t="str">
        <f>IF($O$10="NL","Nguyên Liệu",IF($O$10="TP","Thành Phẩm",IF($O$10="VL","Vật Liệu","")))</f>
        <v>Nguyên Liệu</v>
      </c>
      <c r="J7" s="340"/>
      <c r="K7" s="340"/>
      <c r="L7" s="340"/>
      <c r="M7" s="340"/>
      <c r="N7" s="341"/>
    </row>
    <row r="8" spans="1:17">
      <c r="B8" s="341"/>
      <c r="C8" s="340"/>
      <c r="D8" s="340"/>
      <c r="F8" s="341" t="s">
        <v>222</v>
      </c>
      <c r="H8" s="340"/>
      <c r="I8" s="340"/>
      <c r="J8" s="1067" t="s">
        <v>410</v>
      </c>
      <c r="K8" s="1067"/>
      <c r="L8" s="1067"/>
      <c r="M8" s="340"/>
      <c r="N8" s="340"/>
    </row>
    <row r="9" spans="1:17">
      <c r="D9" s="343"/>
      <c r="E9" s="344"/>
      <c r="F9" s="343"/>
      <c r="G9" s="343"/>
      <c r="H9" s="343"/>
      <c r="I9" s="343"/>
      <c r="J9" s="343"/>
      <c r="K9" s="343" t="s">
        <v>123</v>
      </c>
      <c r="M9" s="345"/>
      <c r="N9" s="346"/>
    </row>
    <row r="10" spans="1:17" ht="15.75" customHeight="1">
      <c r="A10" s="1069" t="s">
        <v>35</v>
      </c>
      <c r="B10" s="1070" t="s">
        <v>1</v>
      </c>
      <c r="C10" s="1070"/>
      <c r="D10" s="1071" t="s">
        <v>0</v>
      </c>
      <c r="E10" s="1071" t="s">
        <v>223</v>
      </c>
      <c r="F10" s="1071" t="s">
        <v>211</v>
      </c>
      <c r="G10" s="1073" t="s">
        <v>224</v>
      </c>
      <c r="H10" s="1074"/>
      <c r="I10" s="1073" t="s">
        <v>225</v>
      </c>
      <c r="J10" s="1074"/>
      <c r="K10" s="1073" t="s">
        <v>226</v>
      </c>
      <c r="L10" s="1074"/>
      <c r="M10" s="1071" t="s">
        <v>127</v>
      </c>
      <c r="N10" s="347"/>
      <c r="O10" s="348" t="s">
        <v>217</v>
      </c>
    </row>
    <row r="11" spans="1:17" ht="31.5" customHeight="1">
      <c r="A11" s="1069"/>
      <c r="B11" s="349" t="s">
        <v>15</v>
      </c>
      <c r="C11" s="349" t="s">
        <v>32</v>
      </c>
      <c r="D11" s="1071"/>
      <c r="E11" s="1071"/>
      <c r="F11" s="1071"/>
      <c r="G11" s="349" t="s">
        <v>210</v>
      </c>
      <c r="H11" s="349" t="s">
        <v>212</v>
      </c>
      <c r="I11" s="349" t="s">
        <v>210</v>
      </c>
      <c r="J11" s="349" t="s">
        <v>212</v>
      </c>
      <c r="K11" s="349" t="s">
        <v>210</v>
      </c>
      <c r="L11" s="349" t="s">
        <v>212</v>
      </c>
      <c r="M11" s="1071"/>
      <c r="N11" s="347"/>
    </row>
    <row r="12" spans="1:17" s="341" customFormat="1">
      <c r="A12" s="350"/>
      <c r="B12" s="351" t="s">
        <v>2</v>
      </c>
      <c r="C12" s="352" t="s">
        <v>3</v>
      </c>
      <c r="D12" s="352" t="s">
        <v>4</v>
      </c>
      <c r="E12" s="351" t="s">
        <v>5</v>
      </c>
      <c r="F12" s="351">
        <v>1</v>
      </c>
      <c r="G12" s="351">
        <v>2</v>
      </c>
      <c r="H12" s="351" t="s">
        <v>228</v>
      </c>
      <c r="I12" s="351">
        <v>4</v>
      </c>
      <c r="J12" s="351" t="s">
        <v>229</v>
      </c>
      <c r="K12" s="351">
        <v>6</v>
      </c>
      <c r="L12" s="351" t="s">
        <v>230</v>
      </c>
      <c r="M12" s="351"/>
      <c r="N12" s="353"/>
    </row>
    <row r="13" spans="1:17">
      <c r="A13" s="354"/>
      <c r="B13" s="354"/>
      <c r="C13" s="354"/>
      <c r="D13" s="355" t="s">
        <v>144</v>
      </c>
      <c r="E13" s="356"/>
      <c r="F13" s="357"/>
      <c r="G13" s="357"/>
      <c r="H13" s="357"/>
      <c r="I13" s="357"/>
      <c r="J13" s="357"/>
      <c r="K13" s="358">
        <f>VLOOKUP($J$8,NXT!$C$12:$L$484,3,0)</f>
        <v>0</v>
      </c>
      <c r="L13" s="358">
        <f>VLOOKUP($J$8,NXT!$C$12:$L$484,4,0)</f>
        <v>0</v>
      </c>
      <c r="M13" s="357"/>
      <c r="N13" s="353"/>
    </row>
    <row r="14" spans="1:17">
      <c r="A14" s="324">
        <f ca="1">IF(B14="","",ROW()-13)</f>
        <v>1</v>
      </c>
      <c r="B14" s="359" t="str">
        <f ca="1">IF(ROWS($1:1)&gt;COUNT(Dong11),"",OFFSET(TH!D$1,SMALL(Dong11,ROWS($1:1)),))</f>
        <v>NL/N02</v>
      </c>
      <c r="C14" s="360">
        <f ca="1">IF(ROWS($1:1)&gt;COUNT(Dong11),"",OFFSET(TH!E$1,SMALL(Dong11,ROWS($1:1)),))</f>
        <v>40646</v>
      </c>
      <c r="D14" s="361" t="str">
        <f ca="1">IF(ROWS($1:1)&gt;COUNT(Dong11),"",OFFSET(TH!H$1,SMALL(Dong11,ROWS($1:1)),))</f>
        <v>Cty CP Hợp Tác Kinh Tế &amp; Xuất Nhập Khẩu</v>
      </c>
      <c r="E14" s="359" t="str">
        <f ca="1">IF(ROWS($1:1)&gt;COUNT(Dong11),"",IF(OFFSET(TH!L$1,SMALL(Dong11,ROWS($1:1)),)=$G$7,OFFSET(TH!M$1,SMALL(Dong11,ROWS($1:1)),),OFFSET(TH!L$1,SMALL(Dong11,ROWS($1:1)),)))</f>
        <v>331</v>
      </c>
      <c r="F14" s="362">
        <f ca="1">IF(ROWS($1:1)&gt;COUNT(Dong11),0,OFFSET(TH!J$1,SMALL(Dong11,ROWS($1:1)),))</f>
        <v>4449</v>
      </c>
      <c r="G14" s="362">
        <f ca="1">IF(ROWS($1:1)&gt;COUNT(Dong11),0,IF(MID(OFFSET(TH!D$1,SMALL(Dong11,ROWS($1:1)),),4,1)="N",OFFSET(TH!I$1,SMALL(Dong11,ROWS($1:1)),),0))</f>
        <v>2500</v>
      </c>
      <c r="H14" s="363">
        <f ca="1">ROUND(F14*G14,0)</f>
        <v>11122500</v>
      </c>
      <c r="I14" s="362">
        <f ca="1">IF(ROWS($1:1)&gt;COUNT(Dong11),0,IF(MID(OFFSET(TH!D$1,SMALL(Dong11,ROWS($1:1)),),4,1)="X",OFFSET(TH!I$1,SMALL(Dong11,ROWS($1:1)),),0))</f>
        <v>0</v>
      </c>
      <c r="J14" s="363">
        <f ca="1">ROUND(F14*I14,0)</f>
        <v>0</v>
      </c>
      <c r="K14" s="363">
        <f ca="1">IF(D14&lt;&gt;"",K13+G14-I14,0)</f>
        <v>2500</v>
      </c>
      <c r="L14" s="363">
        <f ca="1">IF(D14&lt;&gt;"",L13+H14-J14,0)</f>
        <v>11122500</v>
      </c>
      <c r="M14" s="363"/>
      <c r="N14" s="353"/>
    </row>
    <row r="15" spans="1:17">
      <c r="A15" s="324">
        <f t="shared" ref="A15:A24" ca="1" si="0">IF(B15="","",A14+1)</f>
        <v>2</v>
      </c>
      <c r="B15" s="359" t="str">
        <f ca="1">IF(ROWS($1:2)&gt;COUNT(Dong11),"",OFFSET(TH!D$1,SMALL(Dong11,ROWS($1:2)),))</f>
        <v>NL/X02</v>
      </c>
      <c r="C15" s="360">
        <f ca="1">IF(ROWS($1:2)&gt;COUNT(Dong11),"",OFFSET(TH!E$1,SMALL(Dong11,ROWS($1:2)),))</f>
        <v>40670</v>
      </c>
      <c r="D15" s="361" t="str">
        <f ca="1">IF(ROWS($1:2)&gt;COUNT(Dong11),"",OFFSET(TH!H$1,SMALL(Dong11,ROWS($1:2)),))</f>
        <v>Bộ phận SX</v>
      </c>
      <c r="E15" s="359" t="str">
        <f ca="1">IF(ROWS($1:2)&gt;COUNT(Dong11),"",IF(OFFSET(TH!L$1,SMALL(Dong11,ROWS($1:2)),)=$G$7,OFFSET(TH!M$1,SMALL(Dong11,ROWS($1:2)),),OFFSET(TH!L$1,SMALL(Dong11,ROWS($1:2)),)))</f>
        <v>154</v>
      </c>
      <c r="F15" s="362">
        <f ca="1">IF(ROWS($1:2)&gt;COUNT(Dong11),0,OFFSET(TH!J$1,SMALL(Dong11,ROWS($1:2)),))</f>
        <v>4449</v>
      </c>
      <c r="G15" s="362">
        <f ca="1">IF(ROWS($1:2)&gt;COUNT(Dong11),0,IF(MID(OFFSET(TH!D$1,SMALL(Dong11,ROWS($1:2)),),4,1)="N",OFFSET(TH!I$1,SMALL(Dong11,ROWS($1:2)),),0))</f>
        <v>0</v>
      </c>
      <c r="H15" s="363">
        <f t="shared" ref="H15:H24" ca="1" si="1">ROUND(F15*G15,0)</f>
        <v>0</v>
      </c>
      <c r="I15" s="362">
        <f ca="1">IF(ROWS($1:2)&gt;COUNT(Dong11),0,IF(MID(OFFSET(TH!D$1,SMALL(Dong11,ROWS($1:2)),),4,1)="X",OFFSET(TH!I$1,SMALL(Dong11,ROWS($1:2)),),0))</f>
        <v>75</v>
      </c>
      <c r="J15" s="363">
        <f t="shared" ref="J15:J24" ca="1" si="2">ROUND(F15*I15,0)</f>
        <v>333675</v>
      </c>
      <c r="K15" s="363">
        <f t="shared" ref="K15:K24" ca="1" si="3">IF(D15&lt;&gt;"",K14+G15-I15,0)</f>
        <v>2425</v>
      </c>
      <c r="L15" s="363">
        <f t="shared" ref="L15:L24" ca="1" si="4">IF(D15&lt;&gt;"",L14+H15-J15,0)</f>
        <v>10788825</v>
      </c>
      <c r="M15" s="363"/>
      <c r="N15" s="353"/>
      <c r="Q15" s="364"/>
    </row>
    <row r="16" spans="1:17">
      <c r="A16" s="324">
        <f t="shared" ca="1" si="0"/>
        <v>3</v>
      </c>
      <c r="B16" s="359" t="str">
        <f ca="1">IF(ROWS($1:3)&gt;COUNT(Dong11),"",OFFSET(TH!D$1,SMALL(Dong11,ROWS($1:3)),))</f>
        <v>NL/X02</v>
      </c>
      <c r="C16" s="360">
        <f ca="1">IF(ROWS($1:3)&gt;COUNT(Dong11),"",OFFSET(TH!E$1,SMALL(Dong11,ROWS($1:3)),))</f>
        <v>40670</v>
      </c>
      <c r="D16" s="361" t="str">
        <f ca="1">IF(ROWS($1:3)&gt;COUNT(Dong11),"",OFFSET(TH!H$1,SMALL(Dong11,ROWS($1:3)),))</f>
        <v>Bộ phận SX</v>
      </c>
      <c r="E16" s="359" t="str">
        <f ca="1">IF(ROWS($1:3)&gt;COUNT(Dong11),"",IF(OFFSET(TH!L$1,SMALL(Dong11,ROWS($1:3)),)=$G$7,OFFSET(TH!M$1,SMALL(Dong11,ROWS($1:3)),),OFFSET(TH!L$1,SMALL(Dong11,ROWS($1:3)),)))</f>
        <v>154</v>
      </c>
      <c r="F16" s="362">
        <f ca="1">IF(ROWS($1:3)&gt;COUNT(Dong11),0,OFFSET(TH!J$1,SMALL(Dong11,ROWS($1:3)),))</f>
        <v>4449</v>
      </c>
      <c r="G16" s="362">
        <f ca="1">IF(ROWS($1:3)&gt;COUNT(Dong11),0,IF(MID(OFFSET(TH!D$1,SMALL(Dong11,ROWS($1:3)),),4,1)="N",OFFSET(TH!I$1,SMALL(Dong11,ROWS($1:3)),),0))</f>
        <v>0</v>
      </c>
      <c r="H16" s="363">
        <f t="shared" ca="1" si="1"/>
        <v>0</v>
      </c>
      <c r="I16" s="362">
        <f ca="1">IF(ROWS($1:3)&gt;COUNT(Dong11),0,IF(MID(OFFSET(TH!D$1,SMALL(Dong11,ROWS($1:3)),),4,1)="X",OFFSET(TH!I$1,SMALL(Dong11,ROWS($1:3)),),0))</f>
        <v>45</v>
      </c>
      <c r="J16" s="363">
        <f t="shared" ca="1" si="2"/>
        <v>200205</v>
      </c>
      <c r="K16" s="363">
        <f t="shared" ca="1" si="3"/>
        <v>2380</v>
      </c>
      <c r="L16" s="363">
        <f t="shared" ca="1" si="4"/>
        <v>10588620</v>
      </c>
      <c r="M16" s="363"/>
      <c r="N16" s="353"/>
    </row>
    <row r="17" spans="1:16">
      <c r="A17" s="324">
        <f t="shared" ca="1" si="0"/>
        <v>4</v>
      </c>
      <c r="B17" s="359" t="str">
        <f ca="1">IF(ROWS($1:4)&gt;COUNT(Dong11),"",OFFSET(TH!D$1,SMALL(Dong11,ROWS($1:4)),))</f>
        <v>NL/X03</v>
      </c>
      <c r="C17" s="360">
        <f ca="1">IF(ROWS($1:4)&gt;COUNT(Dong11),"",OFFSET(TH!E$1,SMALL(Dong11,ROWS($1:4)),))</f>
        <v>40675</v>
      </c>
      <c r="D17" s="361" t="str">
        <f ca="1">IF(ROWS($1:4)&gt;COUNT(Dong11),"",OFFSET(TH!H$1,SMALL(Dong11,ROWS($1:4)),))</f>
        <v>Bộ phận SX</v>
      </c>
      <c r="E17" s="359" t="str">
        <f ca="1">IF(ROWS($1:4)&gt;COUNT(Dong11),"",IF(OFFSET(TH!L$1,SMALL(Dong11,ROWS($1:4)),)=$G$7,OFFSET(TH!M$1,SMALL(Dong11,ROWS($1:4)),),OFFSET(TH!L$1,SMALL(Dong11,ROWS($1:4)),)))</f>
        <v>154</v>
      </c>
      <c r="F17" s="362">
        <f ca="1">IF(ROWS($1:4)&gt;COUNT(Dong11),0,OFFSET(TH!J$1,SMALL(Dong11,ROWS($1:4)),))</f>
        <v>4449</v>
      </c>
      <c r="G17" s="362">
        <f ca="1">IF(ROWS($1:4)&gt;COUNT(Dong11),0,IF(MID(OFFSET(TH!D$1,SMALL(Dong11,ROWS($1:4)),),4,1)="N",OFFSET(TH!I$1,SMALL(Dong11,ROWS($1:4)),),0))</f>
        <v>0</v>
      </c>
      <c r="H17" s="363">
        <f t="shared" ca="1" si="1"/>
        <v>0</v>
      </c>
      <c r="I17" s="362">
        <f ca="1">IF(ROWS($1:4)&gt;COUNT(Dong11),0,IF(MID(OFFSET(TH!D$1,SMALL(Dong11,ROWS($1:4)),),4,1)="X",OFFSET(TH!I$1,SMALL(Dong11,ROWS($1:4)),),0))</f>
        <v>4</v>
      </c>
      <c r="J17" s="363">
        <f t="shared" ca="1" si="2"/>
        <v>17796</v>
      </c>
      <c r="K17" s="363">
        <f t="shared" ca="1" si="3"/>
        <v>2376</v>
      </c>
      <c r="L17" s="363">
        <f t="shared" ca="1" si="4"/>
        <v>10570824</v>
      </c>
      <c r="M17" s="363"/>
      <c r="N17" s="353"/>
      <c r="P17" s="365"/>
    </row>
    <row r="18" spans="1:16">
      <c r="A18" s="324">
        <f t="shared" ca="1" si="0"/>
        <v>5</v>
      </c>
      <c r="B18" s="359" t="str">
        <f ca="1">IF(ROWS($1:5)&gt;COUNT(Dong11),"",OFFSET(TH!D$1,SMALL(Dong11,ROWS($1:5)),))</f>
        <v>NL/X03</v>
      </c>
      <c r="C18" s="360">
        <f ca="1">IF(ROWS($1:5)&gt;COUNT(Dong11),"",OFFSET(TH!E$1,SMALL(Dong11,ROWS($1:5)),))</f>
        <v>40675</v>
      </c>
      <c r="D18" s="361" t="str">
        <f ca="1">IF(ROWS($1:5)&gt;COUNT(Dong11),"",OFFSET(TH!H$1,SMALL(Dong11,ROWS($1:5)),))</f>
        <v>Bộ phận SX</v>
      </c>
      <c r="E18" s="359" t="str">
        <f ca="1">IF(ROWS($1:5)&gt;COUNT(Dong11),"",IF(OFFSET(TH!L$1,SMALL(Dong11,ROWS($1:5)),)=$G$7,OFFSET(TH!M$1,SMALL(Dong11,ROWS($1:5)),),OFFSET(TH!L$1,SMALL(Dong11,ROWS($1:5)),)))</f>
        <v>154</v>
      </c>
      <c r="F18" s="362">
        <f ca="1">IF(ROWS($1:5)&gt;COUNT(Dong11),0,OFFSET(TH!J$1,SMALL(Dong11,ROWS($1:5)),))</f>
        <v>4449</v>
      </c>
      <c r="G18" s="362">
        <f ca="1">IF(ROWS($1:5)&gt;COUNT(Dong11),0,IF(MID(OFFSET(TH!D$1,SMALL(Dong11,ROWS($1:5)),),4,1)="N",OFFSET(TH!I$1,SMALL(Dong11,ROWS($1:5)),),0))</f>
        <v>0</v>
      </c>
      <c r="H18" s="363">
        <f t="shared" ca="1" si="1"/>
        <v>0</v>
      </c>
      <c r="I18" s="362">
        <f ca="1">IF(ROWS($1:5)&gt;COUNT(Dong11),0,IF(MID(OFFSET(TH!D$1,SMALL(Dong11,ROWS($1:5)),),4,1)="X",OFFSET(TH!I$1,SMALL(Dong11,ROWS($1:5)),),0))</f>
        <v>1</v>
      </c>
      <c r="J18" s="363">
        <f t="shared" ca="1" si="2"/>
        <v>4449</v>
      </c>
      <c r="K18" s="363">
        <f t="shared" ca="1" si="3"/>
        <v>2375</v>
      </c>
      <c r="L18" s="363">
        <f t="shared" ca="1" si="4"/>
        <v>10566375</v>
      </c>
      <c r="M18" s="363"/>
      <c r="N18" s="353"/>
    </row>
    <row r="19" spans="1:16">
      <c r="A19" s="324">
        <f t="shared" ca="1" si="0"/>
        <v>6</v>
      </c>
      <c r="B19" s="359" t="str">
        <f ca="1">IF(ROWS($1:6)&gt;COUNT(Dong11),"",OFFSET(TH!D$1,SMALL(Dong11,ROWS($1:6)),))</f>
        <v>NL/X05</v>
      </c>
      <c r="C19" s="360">
        <f ca="1">IF(ROWS($1:6)&gt;COUNT(Dong11),"",OFFSET(TH!E$1,SMALL(Dong11,ROWS($1:6)),))</f>
        <v>40681</v>
      </c>
      <c r="D19" s="361" t="str">
        <f ca="1">IF(ROWS($1:6)&gt;COUNT(Dong11),"",OFFSET(TH!H$1,SMALL(Dong11,ROWS($1:6)),))</f>
        <v>Bộ phận SX</v>
      </c>
      <c r="E19" s="359" t="str">
        <f ca="1">IF(ROWS($1:6)&gt;COUNT(Dong11),"",IF(OFFSET(TH!L$1,SMALL(Dong11,ROWS($1:6)),)=$G$7,OFFSET(TH!M$1,SMALL(Dong11,ROWS($1:6)),),OFFSET(TH!L$1,SMALL(Dong11,ROWS($1:6)),)))</f>
        <v>154</v>
      </c>
      <c r="F19" s="362">
        <f ca="1">IF(ROWS($1:6)&gt;COUNT(Dong11),0,OFFSET(TH!J$1,SMALL(Dong11,ROWS($1:6)),))</f>
        <v>4449</v>
      </c>
      <c r="G19" s="362">
        <f ca="1">IF(ROWS($1:6)&gt;COUNT(Dong11),0,IF(MID(OFFSET(TH!D$1,SMALL(Dong11,ROWS($1:6)),),4,1)="N",OFFSET(TH!I$1,SMALL(Dong11,ROWS($1:6)),),0))</f>
        <v>0</v>
      </c>
      <c r="H19" s="363">
        <f t="shared" ca="1" si="1"/>
        <v>0</v>
      </c>
      <c r="I19" s="362">
        <f ca="1">IF(ROWS($1:6)&gt;COUNT(Dong11),0,IF(MID(OFFSET(TH!D$1,SMALL(Dong11,ROWS($1:6)),),4,1)="X",OFFSET(TH!I$1,SMALL(Dong11,ROWS($1:6)),),0))</f>
        <v>64</v>
      </c>
      <c r="J19" s="363">
        <f t="shared" ca="1" si="2"/>
        <v>284736</v>
      </c>
      <c r="K19" s="363">
        <f t="shared" ca="1" si="3"/>
        <v>2311</v>
      </c>
      <c r="L19" s="363">
        <f t="shared" ca="1" si="4"/>
        <v>10281639</v>
      </c>
      <c r="M19" s="363"/>
      <c r="N19" s="353"/>
    </row>
    <row r="20" spans="1:16">
      <c r="A20" s="324">
        <f t="shared" ca="1" si="0"/>
        <v>7</v>
      </c>
      <c r="B20" s="359" t="str">
        <f ca="1">IF(ROWS($1:7)&gt;COUNT(Dong11),"",OFFSET(TH!D$1,SMALL(Dong11,ROWS($1:7)),))</f>
        <v>NL/X06</v>
      </c>
      <c r="C20" s="360">
        <f ca="1">IF(ROWS($1:7)&gt;COUNT(Dong11),"",OFFSET(TH!E$1,SMALL(Dong11,ROWS($1:7)),))</f>
        <v>40684</v>
      </c>
      <c r="D20" s="361" t="str">
        <f ca="1">IF(ROWS($1:7)&gt;COUNT(Dong11),"",OFFSET(TH!H$1,SMALL(Dong11,ROWS($1:7)),))</f>
        <v>Bộ phận SX</v>
      </c>
      <c r="E20" s="359" t="str">
        <f ca="1">IF(ROWS($1:7)&gt;COUNT(Dong11),"",IF(OFFSET(TH!L$1,SMALL(Dong11,ROWS($1:7)),)=$G$7,OFFSET(TH!M$1,SMALL(Dong11,ROWS($1:7)),),OFFSET(TH!L$1,SMALL(Dong11,ROWS($1:7)),)))</f>
        <v>154</v>
      </c>
      <c r="F20" s="362">
        <f ca="1">IF(ROWS($1:7)&gt;COUNT(Dong11),0,OFFSET(TH!J$1,SMALL(Dong11,ROWS($1:7)),))</f>
        <v>4449</v>
      </c>
      <c r="G20" s="362">
        <f ca="1">IF(ROWS($1:7)&gt;COUNT(Dong11),0,IF(MID(OFFSET(TH!D$1,SMALL(Dong11,ROWS($1:7)),),4,1)="N",OFFSET(TH!I$1,SMALL(Dong11,ROWS($1:7)),),0))</f>
        <v>0</v>
      </c>
      <c r="H20" s="363">
        <f t="shared" ca="1" si="1"/>
        <v>0</v>
      </c>
      <c r="I20" s="362">
        <f ca="1">IF(ROWS($1:7)&gt;COUNT(Dong11),0,IF(MID(OFFSET(TH!D$1,SMALL(Dong11,ROWS($1:7)),),4,1)="X",OFFSET(TH!I$1,SMALL(Dong11,ROWS($1:7)),),0))</f>
        <v>5</v>
      </c>
      <c r="J20" s="363">
        <f t="shared" ca="1" si="2"/>
        <v>22245</v>
      </c>
      <c r="K20" s="363">
        <f t="shared" ca="1" si="3"/>
        <v>2306</v>
      </c>
      <c r="L20" s="363">
        <f t="shared" ca="1" si="4"/>
        <v>10259394</v>
      </c>
      <c r="M20" s="363"/>
      <c r="N20" s="353"/>
    </row>
    <row r="21" spans="1:16">
      <c r="A21" s="324">
        <f t="shared" ca="1" si="0"/>
        <v>8</v>
      </c>
      <c r="B21" s="359" t="str">
        <f ca="1">IF(ROWS($1:8)&gt;COUNT(Dong11),"",OFFSET(TH!D$1,SMALL(Dong11,ROWS($1:8)),))</f>
        <v>NL/X08</v>
      </c>
      <c r="C21" s="360">
        <f ca="1">IF(ROWS($1:8)&gt;COUNT(Dong11),"",OFFSET(TH!E$1,SMALL(Dong11,ROWS($1:8)),))</f>
        <v>40688</v>
      </c>
      <c r="D21" s="361" t="str">
        <f ca="1">IF(ROWS($1:8)&gt;COUNT(Dong11),"",OFFSET(TH!H$1,SMALL(Dong11,ROWS($1:8)),))</f>
        <v>Bộ phận SX</v>
      </c>
      <c r="E21" s="359" t="str">
        <f ca="1">IF(ROWS($1:8)&gt;COUNT(Dong11),"",IF(OFFSET(TH!L$1,SMALL(Dong11,ROWS($1:8)),)=$G$7,OFFSET(TH!M$1,SMALL(Dong11,ROWS($1:8)),),OFFSET(TH!L$1,SMALL(Dong11,ROWS($1:8)),)))</f>
        <v>154</v>
      </c>
      <c r="F21" s="362">
        <f ca="1">IF(ROWS($1:8)&gt;COUNT(Dong11),0,OFFSET(TH!J$1,SMALL(Dong11,ROWS($1:8)),))</f>
        <v>4449</v>
      </c>
      <c r="G21" s="362">
        <f ca="1">IF(ROWS($1:8)&gt;COUNT(Dong11),0,IF(MID(OFFSET(TH!D$1,SMALL(Dong11,ROWS($1:8)),),4,1)="N",OFFSET(TH!I$1,SMALL(Dong11,ROWS($1:8)),),0))</f>
        <v>0</v>
      </c>
      <c r="H21" s="363">
        <f t="shared" ca="1" si="1"/>
        <v>0</v>
      </c>
      <c r="I21" s="362">
        <f ca="1">IF(ROWS($1:8)&gt;COUNT(Dong11),0,IF(MID(OFFSET(TH!D$1,SMALL(Dong11,ROWS($1:8)),),4,1)="X",OFFSET(TH!I$1,SMALL(Dong11,ROWS($1:8)),),0))</f>
        <v>239</v>
      </c>
      <c r="J21" s="363">
        <f t="shared" ca="1" si="2"/>
        <v>1063311</v>
      </c>
      <c r="K21" s="363">
        <f t="shared" ca="1" si="3"/>
        <v>2067</v>
      </c>
      <c r="L21" s="363">
        <f t="shared" ca="1" si="4"/>
        <v>9196083</v>
      </c>
      <c r="M21" s="363"/>
      <c r="N21" s="353"/>
    </row>
    <row r="22" spans="1:16">
      <c r="A22" s="324">
        <f t="shared" ca="1" si="0"/>
        <v>9</v>
      </c>
      <c r="B22" s="359" t="str">
        <f ca="1">IF(ROWS($1:9)&gt;COUNT(Dong11),"",OFFSET(TH!D$1,SMALL(Dong11,ROWS($1:9)),))</f>
        <v>NL/X08</v>
      </c>
      <c r="C22" s="360">
        <f ca="1">IF(ROWS($1:9)&gt;COUNT(Dong11),"",OFFSET(TH!E$1,SMALL(Dong11,ROWS($1:9)),))</f>
        <v>40688</v>
      </c>
      <c r="D22" s="361" t="str">
        <f ca="1">IF(ROWS($1:9)&gt;COUNT(Dong11),"",OFFSET(TH!H$1,SMALL(Dong11,ROWS($1:9)),))</f>
        <v>Bộ phận SX</v>
      </c>
      <c r="E22" s="359" t="str">
        <f ca="1">IF(ROWS($1:9)&gt;COUNT(Dong11),"",IF(OFFSET(TH!L$1,SMALL(Dong11,ROWS($1:9)),)=$G$7,OFFSET(TH!M$1,SMALL(Dong11,ROWS($1:9)),),OFFSET(TH!L$1,SMALL(Dong11,ROWS($1:9)),)))</f>
        <v>154</v>
      </c>
      <c r="F22" s="362">
        <f ca="1">IF(ROWS($1:9)&gt;COUNT(Dong11),0,OFFSET(TH!J$1,SMALL(Dong11,ROWS($1:9)),))</f>
        <v>4449</v>
      </c>
      <c r="G22" s="362">
        <f ca="1">IF(ROWS($1:9)&gt;COUNT(Dong11),0,IF(MID(OFFSET(TH!D$1,SMALL(Dong11,ROWS($1:9)),),4,1)="N",OFFSET(TH!I$1,SMALL(Dong11,ROWS($1:9)),),0))</f>
        <v>0</v>
      </c>
      <c r="H22" s="363">
        <f t="shared" ca="1" si="1"/>
        <v>0</v>
      </c>
      <c r="I22" s="362">
        <f ca="1">IF(ROWS($1:9)&gt;COUNT(Dong11),0,IF(MID(OFFSET(TH!D$1,SMALL(Dong11,ROWS($1:9)),),4,1)="X",OFFSET(TH!I$1,SMALL(Dong11,ROWS($1:9)),),0))</f>
        <v>51</v>
      </c>
      <c r="J22" s="363">
        <f t="shared" ca="1" si="2"/>
        <v>226899</v>
      </c>
      <c r="K22" s="363">
        <f t="shared" ca="1" si="3"/>
        <v>2016</v>
      </c>
      <c r="L22" s="363">
        <f t="shared" ca="1" si="4"/>
        <v>8969184</v>
      </c>
      <c r="M22" s="363"/>
      <c r="N22" s="353"/>
    </row>
    <row r="23" spans="1:16">
      <c r="A23" s="324">
        <f t="shared" ca="1" si="0"/>
        <v>10</v>
      </c>
      <c r="B23" s="359" t="str">
        <f ca="1">IF(ROWS($1:10)&gt;COUNT(Dong11),"",OFFSET(TH!D$1,SMALL(Dong11,ROWS($1:10)),))</f>
        <v>NL/X08</v>
      </c>
      <c r="C23" s="360">
        <f ca="1">IF(ROWS($1:10)&gt;COUNT(Dong11),"",OFFSET(TH!E$1,SMALL(Dong11,ROWS($1:10)),))</f>
        <v>40688</v>
      </c>
      <c r="D23" s="361" t="str">
        <f ca="1">IF(ROWS($1:10)&gt;COUNT(Dong11),"",OFFSET(TH!H$1,SMALL(Dong11,ROWS($1:10)),))</f>
        <v>Bộ phận SX</v>
      </c>
      <c r="E23" s="359" t="str">
        <f ca="1">IF(ROWS($1:10)&gt;COUNT(Dong11),"",IF(OFFSET(TH!L$1,SMALL(Dong11,ROWS($1:10)),)=$G$7,OFFSET(TH!M$1,SMALL(Dong11,ROWS($1:10)),),OFFSET(TH!L$1,SMALL(Dong11,ROWS($1:10)),)))</f>
        <v>154</v>
      </c>
      <c r="F23" s="362">
        <f ca="1">IF(ROWS($1:10)&gt;COUNT(Dong11),0,OFFSET(TH!J$1,SMALL(Dong11,ROWS($1:10)),))</f>
        <v>4449</v>
      </c>
      <c r="G23" s="362">
        <f ca="1">IF(ROWS($1:10)&gt;COUNT(Dong11),0,IF(MID(OFFSET(TH!D$1,SMALL(Dong11,ROWS($1:10)),),4,1)="N",OFFSET(TH!I$1,SMALL(Dong11,ROWS($1:10)),),0))</f>
        <v>0</v>
      </c>
      <c r="H23" s="363">
        <f t="shared" ca="1" si="1"/>
        <v>0</v>
      </c>
      <c r="I23" s="362">
        <f ca="1">IF(ROWS($1:10)&gt;COUNT(Dong11),0,IF(MID(OFFSET(TH!D$1,SMALL(Dong11,ROWS($1:10)),),4,1)="X",OFFSET(TH!I$1,SMALL(Dong11,ROWS($1:10)),),0))</f>
        <v>50</v>
      </c>
      <c r="J23" s="363">
        <f t="shared" ca="1" si="2"/>
        <v>222450</v>
      </c>
      <c r="K23" s="363">
        <f t="shared" ca="1" si="3"/>
        <v>1966</v>
      </c>
      <c r="L23" s="363">
        <f t="shared" ca="1" si="4"/>
        <v>8746734</v>
      </c>
      <c r="M23" s="363"/>
      <c r="N23" s="353"/>
    </row>
    <row r="24" spans="1:16">
      <c r="A24" s="324">
        <f t="shared" ca="1" si="0"/>
        <v>11</v>
      </c>
      <c r="B24" s="359" t="str">
        <f ca="1">IF(ROWS($1:11)&gt;COUNT(Dong11),"",OFFSET(TH!D$1,SMALL(Dong11,ROWS($1:11)),))</f>
        <v>NL/X08</v>
      </c>
      <c r="C24" s="360">
        <f ca="1">IF(ROWS($1:11)&gt;COUNT(Dong11),"",OFFSET(TH!E$1,SMALL(Dong11,ROWS($1:11)),))</f>
        <v>40688</v>
      </c>
      <c r="D24" s="361" t="str">
        <f ca="1">IF(ROWS($1:11)&gt;COUNT(Dong11),"",OFFSET(TH!H$1,SMALL(Dong11,ROWS($1:11)),))</f>
        <v>Bộ phận SX</v>
      </c>
      <c r="E24" s="359" t="str">
        <f ca="1">IF(ROWS($1:11)&gt;COUNT(Dong11),"",IF(OFFSET(TH!L$1,SMALL(Dong11,ROWS($1:11)),)=$G$7,OFFSET(TH!M$1,SMALL(Dong11,ROWS($1:11)),),OFFSET(TH!L$1,SMALL(Dong11,ROWS($1:11)),)))</f>
        <v>154</v>
      </c>
      <c r="F24" s="362">
        <f ca="1">IF(ROWS($1:11)&gt;COUNT(Dong11),0,OFFSET(TH!J$1,SMALL(Dong11,ROWS($1:11)),))</f>
        <v>4449</v>
      </c>
      <c r="G24" s="362">
        <f ca="1">IF(ROWS($1:11)&gt;COUNT(Dong11),0,IF(MID(OFFSET(TH!D$1,SMALL(Dong11,ROWS($1:11)),),4,1)="N",OFFSET(TH!I$1,SMALL(Dong11,ROWS($1:11)),),0))</f>
        <v>0</v>
      </c>
      <c r="H24" s="363">
        <f t="shared" ca="1" si="1"/>
        <v>0</v>
      </c>
      <c r="I24" s="362">
        <f ca="1">IF(ROWS($1:11)&gt;COUNT(Dong11),0,IF(MID(OFFSET(TH!D$1,SMALL(Dong11,ROWS($1:11)),),4,1)="X",OFFSET(TH!I$1,SMALL(Dong11,ROWS($1:11)),),0))</f>
        <v>17</v>
      </c>
      <c r="J24" s="363">
        <f t="shared" ca="1" si="2"/>
        <v>75633</v>
      </c>
      <c r="K24" s="363">
        <f t="shared" ca="1" si="3"/>
        <v>1949</v>
      </c>
      <c r="L24" s="363">
        <f t="shared" ca="1" si="4"/>
        <v>8671101</v>
      </c>
      <c r="M24" s="363"/>
      <c r="N24" s="353"/>
    </row>
    <row r="25" spans="1:16">
      <c r="A25" s="324">
        <f t="shared" ref="A25:A38" ca="1" si="5">IF(B25="","",A24+1)</f>
        <v>12</v>
      </c>
      <c r="B25" s="359" t="str">
        <f ca="1">IF(ROWS($1:12)&gt;COUNT(Dong11),"",OFFSET(TH!D$1,SMALL(Dong11,ROWS($1:12)),))</f>
        <v>NL/X08</v>
      </c>
      <c r="C25" s="360">
        <f ca="1">IF(ROWS($1:12)&gt;COUNT(Dong11),"",OFFSET(TH!E$1,SMALL(Dong11,ROWS($1:12)),))</f>
        <v>40688</v>
      </c>
      <c r="D25" s="361" t="str">
        <f ca="1">IF(ROWS($1:12)&gt;COUNT(Dong11),"",OFFSET(TH!H$1,SMALL(Dong11,ROWS($1:12)),))</f>
        <v>Bộ phận SX</v>
      </c>
      <c r="E25" s="359" t="str">
        <f ca="1">IF(ROWS($1:12)&gt;COUNT(Dong11),"",IF(OFFSET(TH!L$1,SMALL(Dong11,ROWS($1:12)),)=$G$7,OFFSET(TH!M$1,SMALL(Dong11,ROWS($1:12)),),OFFSET(TH!L$1,SMALL(Dong11,ROWS($1:12)),)))</f>
        <v>154</v>
      </c>
      <c r="F25" s="362">
        <f ca="1">IF(ROWS($1:12)&gt;COUNT(Dong11),0,OFFSET(TH!J$1,SMALL(Dong11,ROWS($1:12)),))</f>
        <v>4449</v>
      </c>
      <c r="G25" s="362">
        <f ca="1">IF(ROWS($1:12)&gt;COUNT(Dong11),0,IF(MID(OFFSET(TH!D$1,SMALL(Dong11,ROWS($1:12)),),4,1)="N",OFFSET(TH!I$1,SMALL(Dong11,ROWS($1:12)),),0))</f>
        <v>0</v>
      </c>
      <c r="H25" s="363">
        <f t="shared" ref="H25:H38" ca="1" si="6">ROUND(F25*G25,0)</f>
        <v>0</v>
      </c>
      <c r="I25" s="362">
        <f ca="1">IF(ROWS($1:12)&gt;COUNT(Dong11),0,IF(MID(OFFSET(TH!D$1,SMALL(Dong11,ROWS($1:12)),),4,1)="X",OFFSET(TH!I$1,SMALL(Dong11,ROWS($1:12)),),0))</f>
        <v>75</v>
      </c>
      <c r="J25" s="363">
        <f t="shared" ref="J25:J38" ca="1" si="7">ROUND(F25*I25,0)</f>
        <v>333675</v>
      </c>
      <c r="K25" s="363">
        <f t="shared" ref="K25:K38" ca="1" si="8">IF(D25&lt;&gt;"",K24+G25-I25,0)</f>
        <v>1874</v>
      </c>
      <c r="L25" s="363">
        <f t="shared" ref="L25:L38" ca="1" si="9">IF(D25&lt;&gt;"",L24+H25-J25,0)</f>
        <v>8337426</v>
      </c>
      <c r="M25" s="363"/>
      <c r="N25" s="353"/>
    </row>
    <row r="26" spans="1:16">
      <c r="A26" s="324">
        <f t="shared" ca="1" si="5"/>
        <v>13</v>
      </c>
      <c r="B26" s="359" t="str">
        <f ca="1">IF(ROWS($1:13)&gt;COUNT(Dong11),"",OFFSET(TH!D$1,SMALL(Dong11,ROWS($1:13)),))</f>
        <v>NL/X09</v>
      </c>
      <c r="C26" s="360">
        <f ca="1">IF(ROWS($1:13)&gt;COUNT(Dong11),"",OFFSET(TH!E$1,SMALL(Dong11,ROWS($1:13)),))</f>
        <v>40690</v>
      </c>
      <c r="D26" s="361" t="str">
        <f ca="1">IF(ROWS($1:13)&gt;COUNT(Dong11),"",OFFSET(TH!H$1,SMALL(Dong11,ROWS($1:13)),))</f>
        <v>Bộ phận SX</v>
      </c>
      <c r="E26" s="359" t="str">
        <f ca="1">IF(ROWS($1:13)&gt;COUNT(Dong11),"",IF(OFFSET(TH!L$1,SMALL(Dong11,ROWS($1:13)),)=$G$7,OFFSET(TH!M$1,SMALL(Dong11,ROWS($1:13)),),OFFSET(TH!L$1,SMALL(Dong11,ROWS($1:13)),)))</f>
        <v>154</v>
      </c>
      <c r="F26" s="362">
        <f ca="1">IF(ROWS($1:13)&gt;COUNT(Dong11),0,OFFSET(TH!J$1,SMALL(Dong11,ROWS($1:13)),))</f>
        <v>4449</v>
      </c>
      <c r="G26" s="362">
        <f ca="1">IF(ROWS($1:13)&gt;COUNT(Dong11),0,IF(MID(OFFSET(TH!D$1,SMALL(Dong11,ROWS($1:13)),),4,1)="N",OFFSET(TH!I$1,SMALL(Dong11,ROWS($1:13)),),0))</f>
        <v>0</v>
      </c>
      <c r="H26" s="363">
        <f t="shared" ca="1" si="6"/>
        <v>0</v>
      </c>
      <c r="I26" s="362">
        <f ca="1">IF(ROWS($1:13)&gt;COUNT(Dong11),0,IF(MID(OFFSET(TH!D$1,SMALL(Dong11,ROWS($1:13)),),4,1)="X",OFFSET(TH!I$1,SMALL(Dong11,ROWS($1:13)),),0))</f>
        <v>10</v>
      </c>
      <c r="J26" s="363">
        <f t="shared" ca="1" si="7"/>
        <v>44490</v>
      </c>
      <c r="K26" s="363">
        <f t="shared" ca="1" si="8"/>
        <v>1864</v>
      </c>
      <c r="L26" s="363">
        <f t="shared" ca="1" si="9"/>
        <v>8292936</v>
      </c>
      <c r="M26" s="363"/>
      <c r="N26" s="353"/>
    </row>
    <row r="27" spans="1:16">
      <c r="A27" s="324">
        <f t="shared" ca="1" si="5"/>
        <v>14</v>
      </c>
      <c r="B27" s="359" t="str">
        <f ca="1">IF(ROWS($1:14)&gt;COUNT(Dong11),"",OFFSET(TH!D$1,SMALL(Dong11,ROWS($1:14)),))</f>
        <v>NL/X09</v>
      </c>
      <c r="C27" s="360">
        <f ca="1">IF(ROWS($1:14)&gt;COUNT(Dong11),"",OFFSET(TH!E$1,SMALL(Dong11,ROWS($1:14)),))</f>
        <v>40690</v>
      </c>
      <c r="D27" s="361" t="str">
        <f ca="1">IF(ROWS($1:14)&gt;COUNT(Dong11),"",OFFSET(TH!H$1,SMALL(Dong11,ROWS($1:14)),))</f>
        <v>Bộ phận SX</v>
      </c>
      <c r="E27" s="359" t="str">
        <f ca="1">IF(ROWS($1:14)&gt;COUNT(Dong11),"",IF(OFFSET(TH!L$1,SMALL(Dong11,ROWS($1:14)),)=$G$7,OFFSET(TH!M$1,SMALL(Dong11,ROWS($1:14)),),OFFSET(TH!L$1,SMALL(Dong11,ROWS($1:14)),)))</f>
        <v>154</v>
      </c>
      <c r="F27" s="362">
        <f ca="1">IF(ROWS($1:14)&gt;COUNT(Dong11),0,OFFSET(TH!J$1,SMALL(Dong11,ROWS($1:14)),))</f>
        <v>4449</v>
      </c>
      <c r="G27" s="362">
        <f ca="1">IF(ROWS($1:14)&gt;COUNT(Dong11),0,IF(MID(OFFSET(TH!D$1,SMALL(Dong11,ROWS($1:14)),),4,1)="N",OFFSET(TH!I$1,SMALL(Dong11,ROWS($1:14)),),0))</f>
        <v>0</v>
      </c>
      <c r="H27" s="363">
        <f t="shared" ca="1" si="6"/>
        <v>0</v>
      </c>
      <c r="I27" s="362">
        <f ca="1">IF(ROWS($1:14)&gt;COUNT(Dong11),0,IF(MID(OFFSET(TH!D$1,SMALL(Dong11,ROWS($1:14)),),4,1)="X",OFFSET(TH!I$1,SMALL(Dong11,ROWS($1:14)),),0))</f>
        <v>17</v>
      </c>
      <c r="J27" s="363">
        <f t="shared" ca="1" si="7"/>
        <v>75633</v>
      </c>
      <c r="K27" s="363">
        <f t="shared" ca="1" si="8"/>
        <v>1847</v>
      </c>
      <c r="L27" s="363">
        <f t="shared" ca="1" si="9"/>
        <v>8217303</v>
      </c>
      <c r="M27" s="363"/>
      <c r="N27" s="353"/>
    </row>
    <row r="28" spans="1:16">
      <c r="A28" s="324">
        <f t="shared" ca="1" si="5"/>
        <v>15</v>
      </c>
      <c r="B28" s="359" t="str">
        <f ca="1">IF(ROWS($1:15)&gt;COUNT(Dong11),"",OFFSET(TH!D$1,SMALL(Dong11,ROWS($1:15)),))</f>
        <v>NL/X09</v>
      </c>
      <c r="C28" s="360">
        <f ca="1">IF(ROWS($1:15)&gt;COUNT(Dong11),"",OFFSET(TH!E$1,SMALL(Dong11,ROWS($1:15)),))</f>
        <v>40690</v>
      </c>
      <c r="D28" s="361" t="str">
        <f ca="1">IF(ROWS($1:15)&gt;COUNT(Dong11),"",OFFSET(TH!H$1,SMALL(Dong11,ROWS($1:15)),))</f>
        <v>Bộ phận SX</v>
      </c>
      <c r="E28" s="359" t="str">
        <f ca="1">IF(ROWS($1:15)&gt;COUNT(Dong11),"",IF(OFFSET(TH!L$1,SMALL(Dong11,ROWS($1:15)),)=$G$7,OFFSET(TH!M$1,SMALL(Dong11,ROWS($1:15)),),OFFSET(TH!L$1,SMALL(Dong11,ROWS($1:15)),)))</f>
        <v>154</v>
      </c>
      <c r="F28" s="362">
        <f ca="1">IF(ROWS($1:15)&gt;COUNT(Dong11),0,OFFSET(TH!J$1,SMALL(Dong11,ROWS($1:15)),))</f>
        <v>4449</v>
      </c>
      <c r="G28" s="362">
        <f ca="1">IF(ROWS($1:15)&gt;COUNT(Dong11),0,IF(MID(OFFSET(TH!D$1,SMALL(Dong11,ROWS($1:15)),),4,1)="N",OFFSET(TH!I$1,SMALL(Dong11,ROWS($1:15)),),0))</f>
        <v>0</v>
      </c>
      <c r="H28" s="363">
        <f t="shared" ca="1" si="6"/>
        <v>0</v>
      </c>
      <c r="I28" s="362">
        <f ca="1">IF(ROWS($1:15)&gt;COUNT(Dong11),0,IF(MID(OFFSET(TH!D$1,SMALL(Dong11,ROWS($1:15)),),4,1)="X",OFFSET(TH!I$1,SMALL(Dong11,ROWS($1:15)),),0))</f>
        <v>70</v>
      </c>
      <c r="J28" s="363">
        <f t="shared" ca="1" si="7"/>
        <v>311430</v>
      </c>
      <c r="K28" s="363">
        <f t="shared" ca="1" si="8"/>
        <v>1777</v>
      </c>
      <c r="L28" s="363">
        <f t="shared" ca="1" si="9"/>
        <v>7905873</v>
      </c>
      <c r="M28" s="363"/>
      <c r="N28" s="353"/>
    </row>
    <row r="29" spans="1:16">
      <c r="A29" s="324">
        <f t="shared" ca="1" si="5"/>
        <v>16</v>
      </c>
      <c r="B29" s="359" t="str">
        <f ca="1">IF(ROWS($1:16)&gt;COUNT(Dong11),"",OFFSET(TH!D$1,SMALL(Dong11,ROWS($1:16)),))</f>
        <v>NL/X10</v>
      </c>
      <c r="C29" s="360">
        <f ca="1">IF(ROWS($1:16)&gt;COUNT(Dong11),"",OFFSET(TH!E$1,SMALL(Dong11,ROWS($1:16)),))</f>
        <v>40692</v>
      </c>
      <c r="D29" s="361" t="str">
        <f ca="1">IF(ROWS($1:16)&gt;COUNT(Dong11),"",OFFSET(TH!H$1,SMALL(Dong11,ROWS($1:16)),))</f>
        <v>Bộ phận SX</v>
      </c>
      <c r="E29" s="359" t="str">
        <f ca="1">IF(ROWS($1:16)&gt;COUNT(Dong11),"",IF(OFFSET(TH!L$1,SMALL(Dong11,ROWS($1:16)),)=$G$7,OFFSET(TH!M$1,SMALL(Dong11,ROWS($1:16)),),OFFSET(TH!L$1,SMALL(Dong11,ROWS($1:16)),)))</f>
        <v>154</v>
      </c>
      <c r="F29" s="362">
        <f ca="1">IF(ROWS($1:16)&gt;COUNT(Dong11),0,OFFSET(TH!J$1,SMALL(Dong11,ROWS($1:16)),))</f>
        <v>4449</v>
      </c>
      <c r="G29" s="362">
        <f ca="1">IF(ROWS($1:16)&gt;COUNT(Dong11),0,IF(MID(OFFSET(TH!D$1,SMALL(Dong11,ROWS($1:16)),),4,1)="N",OFFSET(TH!I$1,SMALL(Dong11,ROWS($1:16)),),0))</f>
        <v>0</v>
      </c>
      <c r="H29" s="363">
        <f t="shared" ca="1" si="6"/>
        <v>0</v>
      </c>
      <c r="I29" s="362">
        <f ca="1">IF(ROWS($1:16)&gt;COUNT(Dong11),0,IF(MID(OFFSET(TH!D$1,SMALL(Dong11,ROWS($1:16)),),4,1)="X",OFFSET(TH!I$1,SMALL(Dong11,ROWS($1:16)),),0))</f>
        <v>303</v>
      </c>
      <c r="J29" s="363">
        <f t="shared" ca="1" si="7"/>
        <v>1348047</v>
      </c>
      <c r="K29" s="363">
        <f t="shared" ca="1" si="8"/>
        <v>1474</v>
      </c>
      <c r="L29" s="363">
        <f t="shared" ca="1" si="9"/>
        <v>6557826</v>
      </c>
      <c r="M29" s="363"/>
      <c r="N29" s="353"/>
    </row>
    <row r="30" spans="1:16">
      <c r="A30" s="324">
        <f t="shared" ca="1" si="5"/>
        <v>17</v>
      </c>
      <c r="B30" s="359" t="str">
        <f ca="1">IF(ROWS($1:17)&gt;COUNT(Dong11),"",OFFSET(TH!D$1,SMALL(Dong11,ROWS($1:17)),))</f>
        <v>NL/X12</v>
      </c>
      <c r="C30" s="360">
        <f ca="1">IF(ROWS($1:17)&gt;COUNT(Dong11),"",OFFSET(TH!E$1,SMALL(Dong11,ROWS($1:17)),))</f>
        <v>40702</v>
      </c>
      <c r="D30" s="361" t="str">
        <f ca="1">IF(ROWS($1:17)&gt;COUNT(Dong11),"",OFFSET(TH!H$1,SMALL(Dong11,ROWS($1:17)),))</f>
        <v>Bộ phận SX</v>
      </c>
      <c r="E30" s="359" t="str">
        <f ca="1">IF(ROWS($1:17)&gt;COUNT(Dong11),"",IF(OFFSET(TH!L$1,SMALL(Dong11,ROWS($1:17)),)=$G$7,OFFSET(TH!M$1,SMALL(Dong11,ROWS($1:17)),),OFFSET(TH!L$1,SMALL(Dong11,ROWS($1:17)),)))</f>
        <v>154</v>
      </c>
      <c r="F30" s="362">
        <f ca="1">IF(ROWS($1:17)&gt;COUNT(Dong11),0,OFFSET(TH!J$1,SMALL(Dong11,ROWS($1:17)),))</f>
        <v>4449</v>
      </c>
      <c r="G30" s="362">
        <f ca="1">IF(ROWS($1:17)&gt;COUNT(Dong11),0,IF(MID(OFFSET(TH!D$1,SMALL(Dong11,ROWS($1:17)),),4,1)="N",OFFSET(TH!I$1,SMALL(Dong11,ROWS($1:17)),),0))</f>
        <v>0</v>
      </c>
      <c r="H30" s="363">
        <f t="shared" ca="1" si="6"/>
        <v>0</v>
      </c>
      <c r="I30" s="362">
        <f ca="1">IF(ROWS($1:17)&gt;COUNT(Dong11),0,IF(MID(OFFSET(TH!D$1,SMALL(Dong11,ROWS($1:17)),),4,1)="X",OFFSET(TH!I$1,SMALL(Dong11,ROWS($1:17)),),0))</f>
        <v>1</v>
      </c>
      <c r="J30" s="363">
        <f t="shared" ca="1" si="7"/>
        <v>4449</v>
      </c>
      <c r="K30" s="363">
        <f t="shared" ca="1" si="8"/>
        <v>1473</v>
      </c>
      <c r="L30" s="363">
        <f t="shared" ca="1" si="9"/>
        <v>6553377</v>
      </c>
      <c r="M30" s="363"/>
      <c r="N30" s="353"/>
    </row>
    <row r="31" spans="1:16">
      <c r="A31" s="324">
        <f t="shared" ca="1" si="5"/>
        <v>18</v>
      </c>
      <c r="B31" s="359" t="str">
        <f ca="1">IF(ROWS($1:18)&gt;COUNT(Dong11),"",OFFSET(TH!D$1,SMALL(Dong11,ROWS($1:18)),))</f>
        <v>NL/X14</v>
      </c>
      <c r="C31" s="360">
        <f ca="1">IF(ROWS($1:18)&gt;COUNT(Dong11),"",OFFSET(TH!E$1,SMALL(Dong11,ROWS($1:18)),))</f>
        <v>40710</v>
      </c>
      <c r="D31" s="361" t="str">
        <f ca="1">IF(ROWS($1:18)&gt;COUNT(Dong11),"",OFFSET(TH!H$1,SMALL(Dong11,ROWS($1:18)),))</f>
        <v>Bộ phận SX</v>
      </c>
      <c r="E31" s="359" t="str">
        <f ca="1">IF(ROWS($1:18)&gt;COUNT(Dong11),"",IF(OFFSET(TH!L$1,SMALL(Dong11,ROWS($1:18)),)=$G$7,OFFSET(TH!M$1,SMALL(Dong11,ROWS($1:18)),),OFFSET(TH!L$1,SMALL(Dong11,ROWS($1:18)),)))</f>
        <v>154</v>
      </c>
      <c r="F31" s="362">
        <f ca="1">IF(ROWS($1:18)&gt;COUNT(Dong11),0,OFFSET(TH!J$1,SMALL(Dong11,ROWS($1:18)),))</f>
        <v>4449</v>
      </c>
      <c r="G31" s="362">
        <f ca="1">IF(ROWS($1:18)&gt;COUNT(Dong11),0,IF(MID(OFFSET(TH!D$1,SMALL(Dong11,ROWS($1:18)),),4,1)="N",OFFSET(TH!I$1,SMALL(Dong11,ROWS($1:18)),),0))</f>
        <v>0</v>
      </c>
      <c r="H31" s="363">
        <f t="shared" ca="1" si="6"/>
        <v>0</v>
      </c>
      <c r="I31" s="362">
        <f ca="1">IF(ROWS($1:18)&gt;COUNT(Dong11),0,IF(MID(OFFSET(TH!D$1,SMALL(Dong11,ROWS($1:18)),),4,1)="X",OFFSET(TH!I$1,SMALL(Dong11,ROWS($1:18)),),0))</f>
        <v>1</v>
      </c>
      <c r="J31" s="363">
        <f t="shared" ca="1" si="7"/>
        <v>4449</v>
      </c>
      <c r="K31" s="363">
        <f t="shared" ca="1" si="8"/>
        <v>1472</v>
      </c>
      <c r="L31" s="363">
        <f t="shared" ca="1" si="9"/>
        <v>6548928</v>
      </c>
      <c r="M31" s="363"/>
      <c r="N31" s="353"/>
    </row>
    <row r="32" spans="1:16">
      <c r="A32" s="324">
        <f t="shared" ca="1" si="5"/>
        <v>19</v>
      </c>
      <c r="B32" s="359" t="str">
        <f ca="1">IF(ROWS($1:19)&gt;COUNT(Dong11),"",OFFSET(TH!D$1,SMALL(Dong11,ROWS($1:19)),))</f>
        <v>NL/X15</v>
      </c>
      <c r="C32" s="360">
        <f ca="1">IF(ROWS($1:19)&gt;COUNT(Dong11),"",OFFSET(TH!E$1,SMALL(Dong11,ROWS($1:19)),))</f>
        <v>40713</v>
      </c>
      <c r="D32" s="361" t="str">
        <f ca="1">IF(ROWS($1:19)&gt;COUNT(Dong11),"",OFFSET(TH!H$1,SMALL(Dong11,ROWS($1:19)),))</f>
        <v>Bộ phận SX</v>
      </c>
      <c r="E32" s="359" t="str">
        <f ca="1">IF(ROWS($1:19)&gt;COUNT(Dong11),"",IF(OFFSET(TH!L$1,SMALL(Dong11,ROWS($1:19)),)=$G$7,OFFSET(TH!M$1,SMALL(Dong11,ROWS($1:19)),),OFFSET(TH!L$1,SMALL(Dong11,ROWS($1:19)),)))</f>
        <v>154</v>
      </c>
      <c r="F32" s="362">
        <f ca="1">IF(ROWS($1:19)&gt;COUNT(Dong11),0,OFFSET(TH!J$1,SMALL(Dong11,ROWS($1:19)),))</f>
        <v>4449</v>
      </c>
      <c r="G32" s="362">
        <f ca="1">IF(ROWS($1:19)&gt;COUNT(Dong11),0,IF(MID(OFFSET(TH!D$1,SMALL(Dong11,ROWS($1:19)),),4,1)="N",OFFSET(TH!I$1,SMALL(Dong11,ROWS($1:19)),),0))</f>
        <v>0</v>
      </c>
      <c r="H32" s="363">
        <f t="shared" ca="1" si="6"/>
        <v>0</v>
      </c>
      <c r="I32" s="362">
        <f ca="1">IF(ROWS($1:19)&gt;COUNT(Dong11),0,IF(MID(OFFSET(TH!D$1,SMALL(Dong11,ROWS($1:19)),),4,1)="X",OFFSET(TH!I$1,SMALL(Dong11,ROWS($1:19)),),0))</f>
        <v>2</v>
      </c>
      <c r="J32" s="363">
        <f t="shared" ca="1" si="7"/>
        <v>8898</v>
      </c>
      <c r="K32" s="363">
        <f t="shared" ca="1" si="8"/>
        <v>1470</v>
      </c>
      <c r="L32" s="363">
        <f t="shared" ca="1" si="9"/>
        <v>6540030</v>
      </c>
      <c r="M32" s="363"/>
      <c r="N32" s="353"/>
    </row>
    <row r="33" spans="1:14">
      <c r="A33" s="324">
        <f t="shared" ca="1" si="5"/>
        <v>20</v>
      </c>
      <c r="B33" s="359" t="str">
        <f ca="1">IF(ROWS($1:20)&gt;COUNT(Dong11),"",OFFSET(TH!D$1,SMALL(Dong11,ROWS($1:20)),))</f>
        <v>NL/X15</v>
      </c>
      <c r="C33" s="360">
        <f ca="1">IF(ROWS($1:20)&gt;COUNT(Dong11),"",OFFSET(TH!E$1,SMALL(Dong11,ROWS($1:20)),))</f>
        <v>40713</v>
      </c>
      <c r="D33" s="361" t="str">
        <f ca="1">IF(ROWS($1:20)&gt;COUNT(Dong11),"",OFFSET(TH!H$1,SMALL(Dong11,ROWS($1:20)),))</f>
        <v>Bộ phận SX</v>
      </c>
      <c r="E33" s="359" t="str">
        <f ca="1">IF(ROWS($1:20)&gt;COUNT(Dong11),"",IF(OFFSET(TH!L$1,SMALL(Dong11,ROWS($1:20)),)=$G$7,OFFSET(TH!M$1,SMALL(Dong11,ROWS($1:20)),),OFFSET(TH!L$1,SMALL(Dong11,ROWS($1:20)),)))</f>
        <v>154</v>
      </c>
      <c r="F33" s="362">
        <f ca="1">IF(ROWS($1:20)&gt;COUNT(Dong11),0,OFFSET(TH!J$1,SMALL(Dong11,ROWS($1:20)),))</f>
        <v>4449</v>
      </c>
      <c r="G33" s="362">
        <f ca="1">IF(ROWS($1:20)&gt;COUNT(Dong11),0,IF(MID(OFFSET(TH!D$1,SMALL(Dong11,ROWS($1:20)),),4,1)="N",OFFSET(TH!I$1,SMALL(Dong11,ROWS($1:20)),),0))</f>
        <v>0</v>
      </c>
      <c r="H33" s="363">
        <f t="shared" ca="1" si="6"/>
        <v>0</v>
      </c>
      <c r="I33" s="362">
        <f ca="1">IF(ROWS($1:20)&gt;COUNT(Dong11),0,IF(MID(OFFSET(TH!D$1,SMALL(Dong11,ROWS($1:20)),),4,1)="X",OFFSET(TH!I$1,SMALL(Dong11,ROWS($1:20)),),0))</f>
        <v>240</v>
      </c>
      <c r="J33" s="363">
        <f t="shared" ca="1" si="7"/>
        <v>1067760</v>
      </c>
      <c r="K33" s="363">
        <f t="shared" ca="1" si="8"/>
        <v>1230</v>
      </c>
      <c r="L33" s="363">
        <f t="shared" ca="1" si="9"/>
        <v>5472270</v>
      </c>
      <c r="M33" s="363"/>
      <c r="N33" s="353"/>
    </row>
    <row r="34" spans="1:14">
      <c r="A34" s="324">
        <f t="shared" ca="1" si="5"/>
        <v>21</v>
      </c>
      <c r="B34" s="359" t="str">
        <f ca="1">IF(ROWS($1:21)&gt;COUNT(Dong11),"",OFFSET(TH!D$1,SMALL(Dong11,ROWS($1:21)),))</f>
        <v>NL/X15</v>
      </c>
      <c r="C34" s="360">
        <f ca="1">IF(ROWS($1:21)&gt;COUNT(Dong11),"",OFFSET(TH!E$1,SMALL(Dong11,ROWS($1:21)),))</f>
        <v>40713</v>
      </c>
      <c r="D34" s="361" t="str">
        <f ca="1">IF(ROWS($1:21)&gt;COUNT(Dong11),"",OFFSET(TH!H$1,SMALL(Dong11,ROWS($1:21)),))</f>
        <v>Bộ phận SX</v>
      </c>
      <c r="E34" s="359" t="str">
        <f ca="1">IF(ROWS($1:21)&gt;COUNT(Dong11),"",IF(OFFSET(TH!L$1,SMALL(Dong11,ROWS($1:21)),)=$G$7,OFFSET(TH!M$1,SMALL(Dong11,ROWS($1:21)),),OFFSET(TH!L$1,SMALL(Dong11,ROWS($1:21)),)))</f>
        <v>154</v>
      </c>
      <c r="F34" s="362">
        <f ca="1">IF(ROWS($1:21)&gt;COUNT(Dong11),0,OFFSET(TH!J$1,SMALL(Dong11,ROWS($1:21)),))</f>
        <v>4449</v>
      </c>
      <c r="G34" s="362">
        <f ca="1">IF(ROWS($1:21)&gt;COUNT(Dong11),0,IF(MID(OFFSET(TH!D$1,SMALL(Dong11,ROWS($1:21)),),4,1)="N",OFFSET(TH!I$1,SMALL(Dong11,ROWS($1:21)),),0))</f>
        <v>0</v>
      </c>
      <c r="H34" s="363">
        <f t="shared" ca="1" si="6"/>
        <v>0</v>
      </c>
      <c r="I34" s="362">
        <f ca="1">IF(ROWS($1:21)&gt;COUNT(Dong11),0,IF(MID(OFFSET(TH!D$1,SMALL(Dong11,ROWS($1:21)),),4,1)="X",OFFSET(TH!I$1,SMALL(Dong11,ROWS($1:21)),),0))</f>
        <v>42.5</v>
      </c>
      <c r="J34" s="363">
        <f t="shared" ca="1" si="7"/>
        <v>189083</v>
      </c>
      <c r="K34" s="363">
        <f t="shared" ca="1" si="8"/>
        <v>1187.5</v>
      </c>
      <c r="L34" s="363">
        <f t="shared" ca="1" si="9"/>
        <v>5283187</v>
      </c>
      <c r="M34" s="363"/>
      <c r="N34" s="353"/>
    </row>
    <row r="35" spans="1:14">
      <c r="A35" s="324">
        <f t="shared" ca="1" si="5"/>
        <v>22</v>
      </c>
      <c r="B35" s="359" t="str">
        <f ca="1">IF(ROWS($1:22)&gt;COUNT(Dong11),"",OFFSET(TH!D$1,SMALL(Dong11,ROWS($1:22)),))</f>
        <v>NL/X16</v>
      </c>
      <c r="C35" s="360">
        <f ca="1">IF(ROWS($1:22)&gt;COUNT(Dong11),"",OFFSET(TH!E$1,SMALL(Dong11,ROWS($1:22)),))</f>
        <v>40714</v>
      </c>
      <c r="D35" s="361" t="str">
        <f ca="1">IF(ROWS($1:22)&gt;COUNT(Dong11),"",OFFSET(TH!H$1,SMALL(Dong11,ROWS($1:22)),))</f>
        <v>Bộ phận SX</v>
      </c>
      <c r="E35" s="359" t="str">
        <f ca="1">IF(ROWS($1:22)&gt;COUNT(Dong11),"",IF(OFFSET(TH!L$1,SMALL(Dong11,ROWS($1:22)),)=$G$7,OFFSET(TH!M$1,SMALL(Dong11,ROWS($1:22)),),OFFSET(TH!L$1,SMALL(Dong11,ROWS($1:22)),)))</f>
        <v>154</v>
      </c>
      <c r="F35" s="362">
        <f ca="1">IF(ROWS($1:22)&gt;COUNT(Dong11),0,OFFSET(TH!J$1,SMALL(Dong11,ROWS($1:22)),))</f>
        <v>4449</v>
      </c>
      <c r="G35" s="362">
        <f ca="1">IF(ROWS($1:22)&gt;COUNT(Dong11),0,IF(MID(OFFSET(TH!D$1,SMALL(Dong11,ROWS($1:22)),),4,1)="N",OFFSET(TH!I$1,SMALL(Dong11,ROWS($1:22)),),0))</f>
        <v>0</v>
      </c>
      <c r="H35" s="363">
        <f t="shared" ca="1" si="6"/>
        <v>0</v>
      </c>
      <c r="I35" s="362">
        <f ca="1">IF(ROWS($1:22)&gt;COUNT(Dong11),0,IF(MID(OFFSET(TH!D$1,SMALL(Dong11,ROWS($1:22)),),4,1)="X",OFFSET(TH!I$1,SMALL(Dong11,ROWS($1:22)),),0))</f>
        <v>22.5</v>
      </c>
      <c r="J35" s="363">
        <f t="shared" ca="1" si="7"/>
        <v>100103</v>
      </c>
      <c r="K35" s="363">
        <f t="shared" ca="1" si="8"/>
        <v>1165</v>
      </c>
      <c r="L35" s="363">
        <f t="shared" ca="1" si="9"/>
        <v>5183084</v>
      </c>
      <c r="M35" s="363"/>
      <c r="N35" s="353"/>
    </row>
    <row r="36" spans="1:14">
      <c r="A36" s="324">
        <f t="shared" ca="1" si="5"/>
        <v>23</v>
      </c>
      <c r="B36" s="359" t="str">
        <f ca="1">IF(ROWS($1:23)&gt;COUNT(Dong11),"",OFFSET(TH!D$1,SMALL(Dong11,ROWS($1:23)),))</f>
        <v>NL/X16</v>
      </c>
      <c r="C36" s="360">
        <f ca="1">IF(ROWS($1:23)&gt;COUNT(Dong11),"",OFFSET(TH!E$1,SMALL(Dong11,ROWS($1:23)),))</f>
        <v>40714</v>
      </c>
      <c r="D36" s="361" t="str">
        <f ca="1">IF(ROWS($1:23)&gt;COUNT(Dong11),"",OFFSET(TH!H$1,SMALL(Dong11,ROWS($1:23)),))</f>
        <v>Bộ phận SX</v>
      </c>
      <c r="E36" s="359" t="str">
        <f ca="1">IF(ROWS($1:23)&gt;COUNT(Dong11),"",IF(OFFSET(TH!L$1,SMALL(Dong11,ROWS($1:23)),)=$G$7,OFFSET(TH!M$1,SMALL(Dong11,ROWS($1:23)),),OFFSET(TH!L$1,SMALL(Dong11,ROWS($1:23)),)))</f>
        <v>154</v>
      </c>
      <c r="F36" s="362">
        <f ca="1">IF(ROWS($1:23)&gt;COUNT(Dong11),0,OFFSET(TH!J$1,SMALL(Dong11,ROWS($1:23)),))</f>
        <v>4449</v>
      </c>
      <c r="G36" s="362">
        <f ca="1">IF(ROWS($1:23)&gt;COUNT(Dong11),0,IF(MID(OFFSET(TH!D$1,SMALL(Dong11,ROWS($1:23)),),4,1)="N",OFFSET(TH!I$1,SMALL(Dong11,ROWS($1:23)),),0))</f>
        <v>0</v>
      </c>
      <c r="H36" s="363">
        <f t="shared" ca="1" si="6"/>
        <v>0</v>
      </c>
      <c r="I36" s="362">
        <f ca="1">IF(ROWS($1:23)&gt;COUNT(Dong11),0,IF(MID(OFFSET(TH!D$1,SMALL(Dong11,ROWS($1:23)),),4,1)="X",OFFSET(TH!I$1,SMALL(Dong11,ROWS($1:23)),),0))</f>
        <v>41</v>
      </c>
      <c r="J36" s="363">
        <f t="shared" ca="1" si="7"/>
        <v>182409</v>
      </c>
      <c r="K36" s="363">
        <f t="shared" ca="1" si="8"/>
        <v>1124</v>
      </c>
      <c r="L36" s="363">
        <f t="shared" ca="1" si="9"/>
        <v>5000675</v>
      </c>
      <c r="M36" s="363"/>
      <c r="N36" s="353"/>
    </row>
    <row r="37" spans="1:14">
      <c r="A37" s="324">
        <f t="shared" ca="1" si="5"/>
        <v>24</v>
      </c>
      <c r="B37" s="359" t="str">
        <f ca="1">IF(ROWS($1:24)&gt;COUNT(Dong11),"",OFFSET(TH!D$1,SMALL(Dong11,ROWS($1:24)),))</f>
        <v>NL/X16</v>
      </c>
      <c r="C37" s="360">
        <f ca="1">IF(ROWS($1:24)&gt;COUNT(Dong11),"",OFFSET(TH!E$1,SMALL(Dong11,ROWS($1:24)),))</f>
        <v>40714</v>
      </c>
      <c r="D37" s="361" t="str">
        <f ca="1">IF(ROWS($1:24)&gt;COUNT(Dong11),"",OFFSET(TH!H$1,SMALL(Dong11,ROWS($1:24)),))</f>
        <v>Bộ phận SX</v>
      </c>
      <c r="E37" s="359" t="str">
        <f ca="1">IF(ROWS($1:24)&gt;COUNT(Dong11),"",IF(OFFSET(TH!L$1,SMALL(Dong11,ROWS($1:24)),)=$G$7,OFFSET(TH!M$1,SMALL(Dong11,ROWS($1:24)),),OFFSET(TH!L$1,SMALL(Dong11,ROWS($1:24)),)))</f>
        <v>154</v>
      </c>
      <c r="F37" s="362">
        <f ca="1">IF(ROWS($1:24)&gt;COUNT(Dong11),0,OFFSET(TH!J$1,SMALL(Dong11,ROWS($1:24)),))</f>
        <v>4449</v>
      </c>
      <c r="G37" s="362">
        <f ca="1">IF(ROWS($1:24)&gt;COUNT(Dong11),0,IF(MID(OFFSET(TH!D$1,SMALL(Dong11,ROWS($1:24)),),4,1)="N",OFFSET(TH!I$1,SMALL(Dong11,ROWS($1:24)),),0))</f>
        <v>0</v>
      </c>
      <c r="H37" s="363">
        <f t="shared" ca="1" si="6"/>
        <v>0</v>
      </c>
      <c r="I37" s="362">
        <f ca="1">IF(ROWS($1:24)&gt;COUNT(Dong11),0,IF(MID(OFFSET(TH!D$1,SMALL(Dong11,ROWS($1:24)),),4,1)="X",OFFSET(TH!I$1,SMALL(Dong11,ROWS($1:24)),),0))</f>
        <v>210</v>
      </c>
      <c r="J37" s="363">
        <f t="shared" ca="1" si="7"/>
        <v>934290</v>
      </c>
      <c r="K37" s="363">
        <f t="shared" ca="1" si="8"/>
        <v>914</v>
      </c>
      <c r="L37" s="363">
        <f t="shared" ca="1" si="9"/>
        <v>4066385</v>
      </c>
      <c r="M37" s="363"/>
      <c r="N37" s="353"/>
    </row>
    <row r="38" spans="1:14">
      <c r="A38" s="324">
        <f t="shared" ca="1" si="5"/>
        <v>25</v>
      </c>
      <c r="B38" s="359" t="str">
        <f ca="1">IF(ROWS($1:25)&gt;COUNT(Dong11),"",OFFSET(TH!D$1,SMALL(Dong11,ROWS($1:25)),))</f>
        <v>NL/X16</v>
      </c>
      <c r="C38" s="360">
        <f ca="1">IF(ROWS($1:25)&gt;COUNT(Dong11),"",OFFSET(TH!E$1,SMALL(Dong11,ROWS($1:25)),))</f>
        <v>40714</v>
      </c>
      <c r="D38" s="361" t="str">
        <f ca="1">IF(ROWS($1:25)&gt;COUNT(Dong11),"",OFFSET(TH!H$1,SMALL(Dong11,ROWS($1:25)),))</f>
        <v>Bộ phận SX</v>
      </c>
      <c r="E38" s="359" t="str">
        <f ca="1">IF(ROWS($1:25)&gt;COUNT(Dong11),"",IF(OFFSET(TH!L$1,SMALL(Dong11,ROWS($1:25)),)=$G$7,OFFSET(TH!M$1,SMALL(Dong11,ROWS($1:25)),),OFFSET(TH!L$1,SMALL(Dong11,ROWS($1:25)),)))</f>
        <v>154</v>
      </c>
      <c r="F38" s="362">
        <f ca="1">IF(ROWS($1:25)&gt;COUNT(Dong11),0,OFFSET(TH!J$1,SMALL(Dong11,ROWS($1:25)),))</f>
        <v>4449</v>
      </c>
      <c r="G38" s="362">
        <f ca="1">IF(ROWS($1:25)&gt;COUNT(Dong11),0,IF(MID(OFFSET(TH!D$1,SMALL(Dong11,ROWS($1:25)),),4,1)="N",OFFSET(TH!I$1,SMALL(Dong11,ROWS($1:25)),),0))</f>
        <v>0</v>
      </c>
      <c r="H38" s="363">
        <f t="shared" ca="1" si="6"/>
        <v>0</v>
      </c>
      <c r="I38" s="362">
        <f ca="1">IF(ROWS($1:25)&gt;COUNT(Dong11),0,IF(MID(OFFSET(TH!D$1,SMALL(Dong11,ROWS($1:25)),),4,1)="X",OFFSET(TH!I$1,SMALL(Dong11,ROWS($1:25)),),0))</f>
        <v>211</v>
      </c>
      <c r="J38" s="363">
        <f t="shared" ca="1" si="7"/>
        <v>938739</v>
      </c>
      <c r="K38" s="363">
        <f t="shared" ca="1" si="8"/>
        <v>703</v>
      </c>
      <c r="L38" s="363">
        <f t="shared" ca="1" si="9"/>
        <v>3127646</v>
      </c>
      <c r="M38" s="363"/>
      <c r="N38" s="353"/>
    </row>
    <row r="39" spans="1:14">
      <c r="A39" s="324">
        <f t="shared" ref="A39:A62" ca="1" si="10">IF(B39="","",A38+1)</f>
        <v>26</v>
      </c>
      <c r="B39" s="359" t="str">
        <f ca="1">IF(ROWS($1:26)&gt;COUNT(Dong11),"",OFFSET(TH!D$1,SMALL(Dong11,ROWS($1:26)),))</f>
        <v>NL/X18</v>
      </c>
      <c r="C39" s="360">
        <f ca="1">IF(ROWS($1:26)&gt;COUNT(Dong11),"",OFFSET(TH!E$1,SMALL(Dong11,ROWS($1:26)),))</f>
        <v>40719</v>
      </c>
      <c r="D39" s="361" t="str">
        <f ca="1">IF(ROWS($1:26)&gt;COUNT(Dong11),"",OFFSET(TH!H$1,SMALL(Dong11,ROWS($1:26)),))</f>
        <v>Bộ phận SX</v>
      </c>
      <c r="E39" s="359" t="str">
        <f ca="1">IF(ROWS($1:26)&gt;COUNT(Dong11),"",IF(OFFSET(TH!L$1,SMALL(Dong11,ROWS($1:26)),)=$G$7,OFFSET(TH!M$1,SMALL(Dong11,ROWS($1:26)),),OFFSET(TH!L$1,SMALL(Dong11,ROWS($1:26)),)))</f>
        <v>154</v>
      </c>
      <c r="F39" s="362">
        <f ca="1">IF(ROWS($1:26)&gt;COUNT(Dong11),0,OFFSET(TH!J$1,SMALL(Dong11,ROWS($1:26)),))</f>
        <v>4449</v>
      </c>
      <c r="G39" s="362">
        <f ca="1">IF(ROWS($1:26)&gt;COUNT(Dong11),0,IF(MID(OFFSET(TH!D$1,SMALL(Dong11,ROWS($1:26)),),4,1)="N",OFFSET(TH!I$1,SMALL(Dong11,ROWS($1:26)),),0))</f>
        <v>0</v>
      </c>
      <c r="H39" s="363">
        <f t="shared" ref="H39:H62" ca="1" si="11">ROUND(F39*G39,0)</f>
        <v>0</v>
      </c>
      <c r="I39" s="362">
        <f ca="1">IF(ROWS($1:26)&gt;COUNT(Dong11),0,IF(MID(OFFSET(TH!D$1,SMALL(Dong11,ROWS($1:26)),),4,1)="X",OFFSET(TH!I$1,SMALL(Dong11,ROWS($1:26)),),0))</f>
        <v>35</v>
      </c>
      <c r="J39" s="363">
        <f t="shared" ref="J39:J62" ca="1" si="12">ROUND(F39*I39,0)</f>
        <v>155715</v>
      </c>
      <c r="K39" s="363">
        <f t="shared" ref="K39:K62" ca="1" si="13">IF(D39&lt;&gt;"",K38+G39-I39,0)</f>
        <v>668</v>
      </c>
      <c r="L39" s="363">
        <f t="shared" ref="L39:L62" ca="1" si="14">IF(D39&lt;&gt;"",L38+H39-J39,0)</f>
        <v>2971931</v>
      </c>
      <c r="M39" s="363"/>
      <c r="N39" s="353"/>
    </row>
    <row r="40" spans="1:14">
      <c r="A40" s="324">
        <f t="shared" ca="1" si="10"/>
        <v>27</v>
      </c>
      <c r="B40" s="359" t="str">
        <f ca="1">IF(ROWS($1:27)&gt;COUNT(Dong11),"",OFFSET(TH!D$1,SMALL(Dong11,ROWS($1:27)),))</f>
        <v>NL/X01</v>
      </c>
      <c r="C40" s="360">
        <f ca="1">IF(ROWS($1:27)&gt;COUNT(Dong11),"",OFFSET(TH!E$1,SMALL(Dong11,ROWS($1:27)),))</f>
        <v>40729</v>
      </c>
      <c r="D40" s="361" t="str">
        <f ca="1">IF(ROWS($1:27)&gt;COUNT(Dong11),"",OFFSET(TH!H$1,SMALL(Dong11,ROWS($1:27)),))</f>
        <v>Bộ phận SX</v>
      </c>
      <c r="E40" s="359" t="str">
        <f ca="1">IF(ROWS($1:27)&gt;COUNT(Dong11),"",IF(OFFSET(TH!L$1,SMALL(Dong11,ROWS($1:27)),)=$G$7,OFFSET(TH!M$1,SMALL(Dong11,ROWS($1:27)),),OFFSET(TH!L$1,SMALL(Dong11,ROWS($1:27)),)))</f>
        <v>154</v>
      </c>
      <c r="F40" s="362">
        <f ca="1">IF(ROWS($1:27)&gt;COUNT(Dong11),0,OFFSET(TH!J$1,SMALL(Dong11,ROWS($1:27)),))</f>
        <v>4449</v>
      </c>
      <c r="G40" s="362">
        <f ca="1">IF(ROWS($1:27)&gt;COUNT(Dong11),0,IF(MID(OFFSET(TH!D$1,SMALL(Dong11,ROWS($1:27)),),4,1)="N",OFFSET(TH!I$1,SMALL(Dong11,ROWS($1:27)),),0))</f>
        <v>0</v>
      </c>
      <c r="H40" s="363">
        <f t="shared" ca="1" si="11"/>
        <v>0</v>
      </c>
      <c r="I40" s="362">
        <f ca="1">IF(ROWS($1:27)&gt;COUNT(Dong11),0,IF(MID(OFFSET(TH!D$1,SMALL(Dong11,ROWS($1:27)),),4,1)="X",OFFSET(TH!I$1,SMALL(Dong11,ROWS($1:27)),),0))</f>
        <v>60</v>
      </c>
      <c r="J40" s="363">
        <f t="shared" ca="1" si="12"/>
        <v>266940</v>
      </c>
      <c r="K40" s="363">
        <f t="shared" ca="1" si="13"/>
        <v>608</v>
      </c>
      <c r="L40" s="363">
        <f t="shared" ca="1" si="14"/>
        <v>2704991</v>
      </c>
      <c r="M40" s="363"/>
      <c r="N40" s="353"/>
    </row>
    <row r="41" spans="1:14">
      <c r="A41" s="324">
        <f t="shared" ca="1" si="10"/>
        <v>28</v>
      </c>
      <c r="B41" s="359" t="str">
        <f ca="1">IF(ROWS($1:28)&gt;COUNT(Dong11),"",OFFSET(TH!D$1,SMALL(Dong11,ROWS($1:28)),))</f>
        <v>NL/X01</v>
      </c>
      <c r="C41" s="360">
        <f ca="1">IF(ROWS($1:28)&gt;COUNT(Dong11),"",OFFSET(TH!E$1,SMALL(Dong11,ROWS($1:28)),))</f>
        <v>40729</v>
      </c>
      <c r="D41" s="361" t="str">
        <f ca="1">IF(ROWS($1:28)&gt;COUNT(Dong11),"",OFFSET(TH!H$1,SMALL(Dong11,ROWS($1:28)),))</f>
        <v>Bộ phận SX</v>
      </c>
      <c r="E41" s="359" t="str">
        <f ca="1">IF(ROWS($1:28)&gt;COUNT(Dong11),"",IF(OFFSET(TH!L$1,SMALL(Dong11,ROWS($1:28)),)=$G$7,OFFSET(TH!M$1,SMALL(Dong11,ROWS($1:28)),),OFFSET(TH!L$1,SMALL(Dong11,ROWS($1:28)),)))</f>
        <v>154</v>
      </c>
      <c r="F41" s="362">
        <f ca="1">IF(ROWS($1:28)&gt;COUNT(Dong11),0,OFFSET(TH!J$1,SMALL(Dong11,ROWS($1:28)),))</f>
        <v>4449</v>
      </c>
      <c r="G41" s="362">
        <f ca="1">IF(ROWS($1:28)&gt;COUNT(Dong11),0,IF(MID(OFFSET(TH!D$1,SMALL(Dong11,ROWS($1:28)),),4,1)="N",OFFSET(TH!I$1,SMALL(Dong11,ROWS($1:28)),),0))</f>
        <v>0</v>
      </c>
      <c r="H41" s="363">
        <f t="shared" ca="1" si="11"/>
        <v>0</v>
      </c>
      <c r="I41" s="362">
        <f ca="1">IF(ROWS($1:28)&gt;COUNT(Dong11),0,IF(MID(OFFSET(TH!D$1,SMALL(Dong11,ROWS($1:28)),),4,1)="X",OFFSET(TH!I$1,SMALL(Dong11,ROWS($1:28)),),0))</f>
        <v>60</v>
      </c>
      <c r="J41" s="363">
        <f t="shared" ca="1" si="12"/>
        <v>266940</v>
      </c>
      <c r="K41" s="363">
        <f t="shared" ca="1" si="13"/>
        <v>548</v>
      </c>
      <c r="L41" s="363">
        <f t="shared" ca="1" si="14"/>
        <v>2438051</v>
      </c>
      <c r="M41" s="363"/>
      <c r="N41" s="353"/>
    </row>
    <row r="42" spans="1:14">
      <c r="A42" s="324">
        <f t="shared" ca="1" si="10"/>
        <v>29</v>
      </c>
      <c r="B42" s="359" t="str">
        <f ca="1">IF(ROWS($1:29)&gt;COUNT(Dong11),"",OFFSET(TH!D$1,SMALL(Dong11,ROWS($1:29)),))</f>
        <v>NL/X01</v>
      </c>
      <c r="C42" s="360">
        <f ca="1">IF(ROWS($1:29)&gt;COUNT(Dong11),"",OFFSET(TH!E$1,SMALL(Dong11,ROWS($1:29)),))</f>
        <v>40729</v>
      </c>
      <c r="D42" s="361" t="str">
        <f ca="1">IF(ROWS($1:29)&gt;COUNT(Dong11),"",OFFSET(TH!H$1,SMALL(Dong11,ROWS($1:29)),))</f>
        <v>Bộ phận SX</v>
      </c>
      <c r="E42" s="359" t="str">
        <f ca="1">IF(ROWS($1:29)&gt;COUNT(Dong11),"",IF(OFFSET(TH!L$1,SMALL(Dong11,ROWS($1:29)),)=$G$7,OFFSET(TH!M$1,SMALL(Dong11,ROWS($1:29)),),OFFSET(TH!L$1,SMALL(Dong11,ROWS($1:29)),)))</f>
        <v>154</v>
      </c>
      <c r="F42" s="362">
        <f ca="1">IF(ROWS($1:29)&gt;COUNT(Dong11),0,OFFSET(TH!J$1,SMALL(Dong11,ROWS($1:29)),))</f>
        <v>4448.97</v>
      </c>
      <c r="G42" s="362">
        <f ca="1">IF(ROWS($1:29)&gt;COUNT(Dong11),0,IF(MID(OFFSET(TH!D$1,SMALL(Dong11,ROWS($1:29)),),4,1)="N",OFFSET(TH!I$1,SMALL(Dong11,ROWS($1:29)),),0))</f>
        <v>0</v>
      </c>
      <c r="H42" s="363">
        <f t="shared" ca="1" si="11"/>
        <v>0</v>
      </c>
      <c r="I42" s="362">
        <f ca="1">IF(ROWS($1:29)&gt;COUNT(Dong11),0,IF(MID(OFFSET(TH!D$1,SMALL(Dong11,ROWS($1:29)),),4,1)="X",OFFSET(TH!I$1,SMALL(Dong11,ROWS($1:29)),),0))</f>
        <v>100</v>
      </c>
      <c r="J42" s="363">
        <f t="shared" ca="1" si="12"/>
        <v>444897</v>
      </c>
      <c r="K42" s="363">
        <f t="shared" ca="1" si="13"/>
        <v>448</v>
      </c>
      <c r="L42" s="363">
        <f t="shared" ca="1" si="14"/>
        <v>1993154</v>
      </c>
      <c r="M42" s="363"/>
      <c r="N42" s="353"/>
    </row>
    <row r="43" spans="1:14">
      <c r="A43" s="324">
        <f t="shared" ca="1" si="10"/>
        <v>30</v>
      </c>
      <c r="B43" s="359" t="str">
        <f ca="1">IF(ROWS($1:30)&gt;COUNT(Dong11),"",OFFSET(TH!D$1,SMALL(Dong11,ROWS($1:30)),))</f>
        <v>NL/X01</v>
      </c>
      <c r="C43" s="360">
        <f ca="1">IF(ROWS($1:30)&gt;COUNT(Dong11),"",OFFSET(TH!E$1,SMALL(Dong11,ROWS($1:30)),))</f>
        <v>40729</v>
      </c>
      <c r="D43" s="361" t="str">
        <f ca="1">IF(ROWS($1:30)&gt;COUNT(Dong11),"",OFFSET(TH!H$1,SMALL(Dong11,ROWS($1:30)),))</f>
        <v>Bộ phận SX</v>
      </c>
      <c r="E43" s="359" t="str">
        <f ca="1">IF(ROWS($1:30)&gt;COUNT(Dong11),"",IF(OFFSET(TH!L$1,SMALL(Dong11,ROWS($1:30)),)=$G$7,OFFSET(TH!M$1,SMALL(Dong11,ROWS($1:30)),),OFFSET(TH!L$1,SMALL(Dong11,ROWS($1:30)),)))</f>
        <v>154</v>
      </c>
      <c r="F43" s="362">
        <f ca="1">IF(ROWS($1:30)&gt;COUNT(Dong11),0,OFFSET(TH!J$1,SMALL(Dong11,ROWS($1:30)),))</f>
        <v>4449</v>
      </c>
      <c r="G43" s="362">
        <f ca="1">IF(ROWS($1:30)&gt;COUNT(Dong11),0,IF(MID(OFFSET(TH!D$1,SMALL(Dong11,ROWS($1:30)),),4,1)="N",OFFSET(TH!I$1,SMALL(Dong11,ROWS($1:30)),),0))</f>
        <v>0</v>
      </c>
      <c r="H43" s="363">
        <f t="shared" ca="1" si="11"/>
        <v>0</v>
      </c>
      <c r="I43" s="362">
        <f ca="1">IF(ROWS($1:30)&gt;COUNT(Dong11),0,IF(MID(OFFSET(TH!D$1,SMALL(Dong11,ROWS($1:30)),),4,1)="X",OFFSET(TH!I$1,SMALL(Dong11,ROWS($1:30)),),0))</f>
        <v>6</v>
      </c>
      <c r="J43" s="363">
        <f t="shared" ca="1" si="12"/>
        <v>26694</v>
      </c>
      <c r="K43" s="363">
        <f t="shared" ca="1" si="13"/>
        <v>442</v>
      </c>
      <c r="L43" s="363">
        <f t="shared" ca="1" si="14"/>
        <v>1966460</v>
      </c>
      <c r="M43" s="363"/>
      <c r="N43" s="353"/>
    </row>
    <row r="44" spans="1:14">
      <c r="A44" s="324">
        <f t="shared" ca="1" si="10"/>
        <v>31</v>
      </c>
      <c r="B44" s="359" t="str">
        <f ca="1">IF(ROWS($1:31)&gt;COUNT(Dong11),"",OFFSET(TH!D$1,SMALL(Dong11,ROWS($1:31)),))</f>
        <v>NL/X03</v>
      </c>
      <c r="C44" s="360">
        <f ca="1">IF(ROWS($1:31)&gt;COUNT(Dong11),"",OFFSET(TH!E$1,SMALL(Dong11,ROWS($1:31)),))</f>
        <v>40737</v>
      </c>
      <c r="D44" s="361" t="str">
        <f ca="1">IF(ROWS($1:31)&gt;COUNT(Dong11),"",OFFSET(TH!H$1,SMALL(Dong11,ROWS($1:31)),))</f>
        <v>Bộ phận SX</v>
      </c>
      <c r="E44" s="359" t="str">
        <f ca="1">IF(ROWS($1:31)&gt;COUNT(Dong11),"",IF(OFFSET(TH!L$1,SMALL(Dong11,ROWS($1:31)),)=$G$7,OFFSET(TH!M$1,SMALL(Dong11,ROWS($1:31)),),OFFSET(TH!L$1,SMALL(Dong11,ROWS($1:31)),)))</f>
        <v>154</v>
      </c>
      <c r="F44" s="362">
        <f ca="1">IF(ROWS($1:31)&gt;COUNT(Dong11),0,OFFSET(TH!J$1,SMALL(Dong11,ROWS($1:31)),))</f>
        <v>4449</v>
      </c>
      <c r="G44" s="362">
        <f ca="1">IF(ROWS($1:31)&gt;COUNT(Dong11),0,IF(MID(OFFSET(TH!D$1,SMALL(Dong11,ROWS($1:31)),),4,1)="N",OFFSET(TH!I$1,SMALL(Dong11,ROWS($1:31)),),0))</f>
        <v>0</v>
      </c>
      <c r="H44" s="363">
        <f t="shared" ca="1" si="11"/>
        <v>0</v>
      </c>
      <c r="I44" s="362">
        <f ca="1">IF(ROWS($1:31)&gt;COUNT(Dong11),0,IF(MID(OFFSET(TH!D$1,SMALL(Dong11,ROWS($1:31)),),4,1)="X",OFFSET(TH!I$1,SMALL(Dong11,ROWS($1:31)),),0))</f>
        <v>0.5</v>
      </c>
      <c r="J44" s="363">
        <f t="shared" ca="1" si="12"/>
        <v>2225</v>
      </c>
      <c r="K44" s="363">
        <f t="shared" ca="1" si="13"/>
        <v>441.5</v>
      </c>
      <c r="L44" s="363">
        <f t="shared" ca="1" si="14"/>
        <v>1964235</v>
      </c>
      <c r="M44" s="363"/>
      <c r="N44" s="353"/>
    </row>
    <row r="45" spans="1:14">
      <c r="A45" s="324">
        <f t="shared" ca="1" si="10"/>
        <v>32</v>
      </c>
      <c r="B45" s="359" t="str">
        <f ca="1">IF(ROWS($1:32)&gt;COUNT(Dong11),"",OFFSET(TH!D$1,SMALL(Dong11,ROWS($1:32)),))</f>
        <v>NL/X03</v>
      </c>
      <c r="C45" s="360">
        <f ca="1">IF(ROWS($1:32)&gt;COUNT(Dong11),"",OFFSET(TH!E$1,SMALL(Dong11,ROWS($1:32)),))</f>
        <v>40737</v>
      </c>
      <c r="D45" s="361" t="str">
        <f ca="1">IF(ROWS($1:32)&gt;COUNT(Dong11),"",OFFSET(TH!H$1,SMALL(Dong11,ROWS($1:32)),))</f>
        <v>Bộ phận SX</v>
      </c>
      <c r="E45" s="359" t="str">
        <f ca="1">IF(ROWS($1:32)&gt;COUNT(Dong11),"",IF(OFFSET(TH!L$1,SMALL(Dong11,ROWS($1:32)),)=$G$7,OFFSET(TH!M$1,SMALL(Dong11,ROWS($1:32)),),OFFSET(TH!L$1,SMALL(Dong11,ROWS($1:32)),)))</f>
        <v>154</v>
      </c>
      <c r="F45" s="362">
        <f ca="1">IF(ROWS($1:32)&gt;COUNT(Dong11),0,OFFSET(TH!J$1,SMALL(Dong11,ROWS($1:32)),))</f>
        <v>4449</v>
      </c>
      <c r="G45" s="362">
        <f ca="1">IF(ROWS($1:32)&gt;COUNT(Dong11),0,IF(MID(OFFSET(TH!D$1,SMALL(Dong11,ROWS($1:32)),),4,1)="N",OFFSET(TH!I$1,SMALL(Dong11,ROWS($1:32)),),0))</f>
        <v>0</v>
      </c>
      <c r="H45" s="363">
        <f t="shared" ca="1" si="11"/>
        <v>0</v>
      </c>
      <c r="I45" s="362">
        <f ca="1">IF(ROWS($1:32)&gt;COUNT(Dong11),0,IF(MID(OFFSET(TH!D$1,SMALL(Dong11,ROWS($1:32)),),4,1)="X",OFFSET(TH!I$1,SMALL(Dong11,ROWS($1:32)),),0))</f>
        <v>1</v>
      </c>
      <c r="J45" s="363">
        <f t="shared" ca="1" si="12"/>
        <v>4449</v>
      </c>
      <c r="K45" s="363">
        <f t="shared" ca="1" si="13"/>
        <v>440.5</v>
      </c>
      <c r="L45" s="363">
        <f t="shared" ca="1" si="14"/>
        <v>1959786</v>
      </c>
      <c r="M45" s="363"/>
      <c r="N45" s="353"/>
    </row>
    <row r="46" spans="1:14">
      <c r="A46" s="324">
        <f t="shared" ca="1" si="10"/>
        <v>33</v>
      </c>
      <c r="B46" s="359" t="str">
        <f ca="1">IF(ROWS($1:33)&gt;COUNT(Dong11),"",OFFSET(TH!D$1,SMALL(Dong11,ROWS($1:33)),))</f>
        <v>NL/X03</v>
      </c>
      <c r="C46" s="360">
        <f ca="1">IF(ROWS($1:33)&gt;COUNT(Dong11),"",OFFSET(TH!E$1,SMALL(Dong11,ROWS($1:33)),))</f>
        <v>40737</v>
      </c>
      <c r="D46" s="361" t="str">
        <f ca="1">IF(ROWS($1:33)&gt;COUNT(Dong11),"",OFFSET(TH!H$1,SMALL(Dong11,ROWS($1:33)),))</f>
        <v>Bộ phận SX</v>
      </c>
      <c r="E46" s="359" t="str">
        <f ca="1">IF(ROWS($1:33)&gt;COUNT(Dong11),"",IF(OFFSET(TH!L$1,SMALL(Dong11,ROWS($1:33)),)=$G$7,OFFSET(TH!M$1,SMALL(Dong11,ROWS($1:33)),),OFFSET(TH!L$1,SMALL(Dong11,ROWS($1:33)),)))</f>
        <v>154</v>
      </c>
      <c r="F46" s="362">
        <f ca="1">IF(ROWS($1:33)&gt;COUNT(Dong11),0,OFFSET(TH!J$1,SMALL(Dong11,ROWS($1:33)),))</f>
        <v>4449</v>
      </c>
      <c r="G46" s="362">
        <f ca="1">IF(ROWS($1:33)&gt;COUNT(Dong11),0,IF(MID(OFFSET(TH!D$1,SMALL(Dong11,ROWS($1:33)),),4,1)="N",OFFSET(TH!I$1,SMALL(Dong11,ROWS($1:33)),),0))</f>
        <v>0</v>
      </c>
      <c r="H46" s="363">
        <f t="shared" ca="1" si="11"/>
        <v>0</v>
      </c>
      <c r="I46" s="362">
        <f ca="1">IF(ROWS($1:33)&gt;COUNT(Dong11),0,IF(MID(OFFSET(TH!D$1,SMALL(Dong11,ROWS($1:33)),),4,1)="X",OFFSET(TH!I$1,SMALL(Dong11,ROWS($1:33)),),0))</f>
        <v>1</v>
      </c>
      <c r="J46" s="363">
        <f t="shared" ca="1" si="12"/>
        <v>4449</v>
      </c>
      <c r="K46" s="363">
        <f t="shared" ca="1" si="13"/>
        <v>439.5</v>
      </c>
      <c r="L46" s="363">
        <f t="shared" ca="1" si="14"/>
        <v>1955337</v>
      </c>
      <c r="M46" s="363"/>
      <c r="N46" s="353"/>
    </row>
    <row r="47" spans="1:14">
      <c r="A47" s="324">
        <f t="shared" ca="1" si="10"/>
        <v>34</v>
      </c>
      <c r="B47" s="359" t="str">
        <f ca="1">IF(ROWS($1:34)&gt;COUNT(Dong11),"",OFFSET(TH!D$1,SMALL(Dong11,ROWS($1:34)),))</f>
        <v>NL/X07</v>
      </c>
      <c r="C47" s="360">
        <f ca="1">IF(ROWS($1:34)&gt;COUNT(Dong11),"",OFFSET(TH!E$1,SMALL(Dong11,ROWS($1:34)),))</f>
        <v>40744</v>
      </c>
      <c r="D47" s="361" t="str">
        <f ca="1">IF(ROWS($1:34)&gt;COUNT(Dong11),"",OFFSET(TH!H$1,SMALL(Dong11,ROWS($1:34)),))</f>
        <v>Bộ phận SX</v>
      </c>
      <c r="E47" s="359" t="str">
        <f ca="1">IF(ROWS($1:34)&gt;COUNT(Dong11),"",IF(OFFSET(TH!L$1,SMALL(Dong11,ROWS($1:34)),)=$G$7,OFFSET(TH!M$1,SMALL(Dong11,ROWS($1:34)),),OFFSET(TH!L$1,SMALL(Dong11,ROWS($1:34)),)))</f>
        <v>154</v>
      </c>
      <c r="F47" s="362">
        <f ca="1">IF(ROWS($1:34)&gt;COUNT(Dong11),0,OFFSET(TH!J$1,SMALL(Dong11,ROWS($1:34)),))</f>
        <v>4449</v>
      </c>
      <c r="G47" s="362">
        <f ca="1">IF(ROWS($1:34)&gt;COUNT(Dong11),0,IF(MID(OFFSET(TH!D$1,SMALL(Dong11,ROWS($1:34)),),4,1)="N",OFFSET(TH!I$1,SMALL(Dong11,ROWS($1:34)),),0))</f>
        <v>0</v>
      </c>
      <c r="H47" s="363">
        <f t="shared" ca="1" si="11"/>
        <v>0</v>
      </c>
      <c r="I47" s="362">
        <f ca="1">IF(ROWS($1:34)&gt;COUNT(Dong11),0,IF(MID(OFFSET(TH!D$1,SMALL(Dong11,ROWS($1:34)),),4,1)="X",OFFSET(TH!I$1,SMALL(Dong11,ROWS($1:34)),),0))</f>
        <v>28</v>
      </c>
      <c r="J47" s="363">
        <f t="shared" ca="1" si="12"/>
        <v>124572</v>
      </c>
      <c r="K47" s="363">
        <f t="shared" ca="1" si="13"/>
        <v>411.5</v>
      </c>
      <c r="L47" s="363">
        <f t="shared" ca="1" si="14"/>
        <v>1830765</v>
      </c>
      <c r="M47" s="363"/>
      <c r="N47" s="353"/>
    </row>
    <row r="48" spans="1:14">
      <c r="A48" s="324">
        <f t="shared" ca="1" si="10"/>
        <v>35</v>
      </c>
      <c r="B48" s="359" t="str">
        <f ca="1">IF(ROWS($1:35)&gt;COUNT(Dong11),"",OFFSET(TH!D$1,SMALL(Dong11,ROWS($1:35)),))</f>
        <v>NL/X07</v>
      </c>
      <c r="C48" s="360">
        <f ca="1">IF(ROWS($1:35)&gt;COUNT(Dong11),"",OFFSET(TH!E$1,SMALL(Dong11,ROWS($1:35)),))</f>
        <v>40744</v>
      </c>
      <c r="D48" s="361" t="str">
        <f ca="1">IF(ROWS($1:35)&gt;COUNT(Dong11),"",OFFSET(TH!H$1,SMALL(Dong11,ROWS($1:35)),))</f>
        <v>Bộ phận SX</v>
      </c>
      <c r="E48" s="359" t="str">
        <f ca="1">IF(ROWS($1:35)&gt;COUNT(Dong11),"",IF(OFFSET(TH!L$1,SMALL(Dong11,ROWS($1:35)),)=$G$7,OFFSET(TH!M$1,SMALL(Dong11,ROWS($1:35)),),OFFSET(TH!L$1,SMALL(Dong11,ROWS($1:35)),)))</f>
        <v>154</v>
      </c>
      <c r="F48" s="362">
        <f ca="1">IF(ROWS($1:35)&gt;COUNT(Dong11),0,OFFSET(TH!J$1,SMALL(Dong11,ROWS($1:35)),))</f>
        <v>4449</v>
      </c>
      <c r="G48" s="362">
        <f ca="1">IF(ROWS($1:35)&gt;COUNT(Dong11),0,IF(MID(OFFSET(TH!D$1,SMALL(Dong11,ROWS($1:35)),),4,1)="N",OFFSET(TH!I$1,SMALL(Dong11,ROWS($1:35)),),0))</f>
        <v>0</v>
      </c>
      <c r="H48" s="363">
        <f t="shared" ca="1" si="11"/>
        <v>0</v>
      </c>
      <c r="I48" s="362">
        <f ca="1">IF(ROWS($1:35)&gt;COUNT(Dong11),0,IF(MID(OFFSET(TH!D$1,SMALL(Dong11,ROWS($1:35)),),4,1)="X",OFFSET(TH!I$1,SMALL(Dong11,ROWS($1:35)),),0))</f>
        <v>0.5</v>
      </c>
      <c r="J48" s="363">
        <f t="shared" ca="1" si="12"/>
        <v>2225</v>
      </c>
      <c r="K48" s="363">
        <f t="shared" ca="1" si="13"/>
        <v>411</v>
      </c>
      <c r="L48" s="363">
        <f t="shared" ca="1" si="14"/>
        <v>1828540</v>
      </c>
      <c r="M48" s="363"/>
      <c r="N48" s="353"/>
    </row>
    <row r="49" spans="1:14">
      <c r="A49" s="324">
        <f t="shared" ca="1" si="10"/>
        <v>36</v>
      </c>
      <c r="B49" s="359" t="str">
        <f ca="1">IF(ROWS($1:36)&gt;COUNT(Dong11),"",OFFSET(TH!D$1,SMALL(Dong11,ROWS($1:36)),))</f>
        <v>NL/X07</v>
      </c>
      <c r="C49" s="360">
        <f ca="1">IF(ROWS($1:36)&gt;COUNT(Dong11),"",OFFSET(TH!E$1,SMALL(Dong11,ROWS($1:36)),))</f>
        <v>40744</v>
      </c>
      <c r="D49" s="361" t="str">
        <f ca="1">IF(ROWS($1:36)&gt;COUNT(Dong11),"",OFFSET(TH!H$1,SMALL(Dong11,ROWS($1:36)),))</f>
        <v>Bộ phận SX</v>
      </c>
      <c r="E49" s="359" t="str">
        <f ca="1">IF(ROWS($1:36)&gt;COUNT(Dong11),"",IF(OFFSET(TH!L$1,SMALL(Dong11,ROWS($1:36)),)=$G$7,OFFSET(TH!M$1,SMALL(Dong11,ROWS($1:36)),),OFFSET(TH!L$1,SMALL(Dong11,ROWS($1:36)),)))</f>
        <v>154</v>
      </c>
      <c r="F49" s="362">
        <f ca="1">IF(ROWS($1:36)&gt;COUNT(Dong11),0,OFFSET(TH!J$1,SMALL(Dong11,ROWS($1:36)),))</f>
        <v>4449</v>
      </c>
      <c r="G49" s="362">
        <f ca="1">IF(ROWS($1:36)&gt;COUNT(Dong11),0,IF(MID(OFFSET(TH!D$1,SMALL(Dong11,ROWS($1:36)),),4,1)="N",OFFSET(TH!I$1,SMALL(Dong11,ROWS($1:36)),),0))</f>
        <v>0</v>
      </c>
      <c r="H49" s="363">
        <f t="shared" ca="1" si="11"/>
        <v>0</v>
      </c>
      <c r="I49" s="362">
        <f ca="1">IF(ROWS($1:36)&gt;COUNT(Dong11),0,IF(MID(OFFSET(TH!D$1,SMALL(Dong11,ROWS($1:36)),),4,1)="X",OFFSET(TH!I$1,SMALL(Dong11,ROWS($1:36)),),0))</f>
        <v>1</v>
      </c>
      <c r="J49" s="363">
        <f t="shared" ca="1" si="12"/>
        <v>4449</v>
      </c>
      <c r="K49" s="363">
        <f t="shared" ca="1" si="13"/>
        <v>410</v>
      </c>
      <c r="L49" s="363">
        <f t="shared" ca="1" si="14"/>
        <v>1824091</v>
      </c>
      <c r="M49" s="363"/>
      <c r="N49" s="353"/>
    </row>
    <row r="50" spans="1:14">
      <c r="A50" s="324">
        <f t="shared" ca="1" si="10"/>
        <v>37</v>
      </c>
      <c r="B50" s="359" t="str">
        <f ca="1">IF(ROWS($1:37)&gt;COUNT(Dong11),"",OFFSET(TH!D$1,SMALL(Dong11,ROWS($1:37)),))</f>
        <v>NL/X08</v>
      </c>
      <c r="C50" s="360">
        <f ca="1">IF(ROWS($1:37)&gt;COUNT(Dong11),"",OFFSET(TH!E$1,SMALL(Dong11,ROWS($1:37)),))</f>
        <v>40746</v>
      </c>
      <c r="D50" s="361" t="str">
        <f ca="1">IF(ROWS($1:37)&gt;COUNT(Dong11),"",OFFSET(TH!H$1,SMALL(Dong11,ROWS($1:37)),))</f>
        <v>Bộ phận SX</v>
      </c>
      <c r="E50" s="359" t="str">
        <f ca="1">IF(ROWS($1:37)&gt;COUNT(Dong11),"",IF(OFFSET(TH!L$1,SMALL(Dong11,ROWS($1:37)),)=$G$7,OFFSET(TH!M$1,SMALL(Dong11,ROWS($1:37)),),OFFSET(TH!L$1,SMALL(Dong11,ROWS($1:37)),)))</f>
        <v>154</v>
      </c>
      <c r="F50" s="362">
        <f ca="1">IF(ROWS($1:37)&gt;COUNT(Dong11),0,OFFSET(TH!J$1,SMALL(Dong11,ROWS($1:37)),))</f>
        <v>4449</v>
      </c>
      <c r="G50" s="362">
        <f ca="1">IF(ROWS($1:37)&gt;COUNT(Dong11),0,IF(MID(OFFSET(TH!D$1,SMALL(Dong11,ROWS($1:37)),),4,1)="N",OFFSET(TH!I$1,SMALL(Dong11,ROWS($1:37)),),0))</f>
        <v>0</v>
      </c>
      <c r="H50" s="363">
        <f t="shared" ca="1" si="11"/>
        <v>0</v>
      </c>
      <c r="I50" s="362">
        <f ca="1">IF(ROWS($1:37)&gt;COUNT(Dong11),0,IF(MID(OFFSET(TH!D$1,SMALL(Dong11,ROWS($1:37)),),4,1)="X",OFFSET(TH!I$1,SMALL(Dong11,ROWS($1:37)),),0))</f>
        <v>11</v>
      </c>
      <c r="J50" s="363">
        <f t="shared" ca="1" si="12"/>
        <v>48939</v>
      </c>
      <c r="K50" s="363">
        <f t="shared" ca="1" si="13"/>
        <v>399</v>
      </c>
      <c r="L50" s="363">
        <f t="shared" ca="1" si="14"/>
        <v>1775152</v>
      </c>
      <c r="M50" s="363"/>
      <c r="N50" s="353"/>
    </row>
    <row r="51" spans="1:14">
      <c r="A51" s="324">
        <f t="shared" ca="1" si="10"/>
        <v>38</v>
      </c>
      <c r="B51" s="359" t="str">
        <f ca="1">IF(ROWS($1:38)&gt;COUNT(Dong11),"",OFFSET(TH!D$1,SMALL(Dong11,ROWS($1:38)),))</f>
        <v>NL/X12</v>
      </c>
      <c r="C51" s="360">
        <f ca="1">IF(ROWS($1:38)&gt;COUNT(Dong11),"",OFFSET(TH!E$1,SMALL(Dong11,ROWS($1:38)),))</f>
        <v>40760</v>
      </c>
      <c r="D51" s="361" t="str">
        <f ca="1">IF(ROWS($1:38)&gt;COUNT(Dong11),"",OFFSET(TH!H$1,SMALL(Dong11,ROWS($1:38)),))</f>
        <v>Bộ phận SX</v>
      </c>
      <c r="E51" s="359" t="str">
        <f ca="1">IF(ROWS($1:38)&gt;COUNT(Dong11),"",IF(OFFSET(TH!L$1,SMALL(Dong11,ROWS($1:38)),)=$G$7,OFFSET(TH!M$1,SMALL(Dong11,ROWS($1:38)),),OFFSET(TH!L$1,SMALL(Dong11,ROWS($1:38)),)))</f>
        <v>154</v>
      </c>
      <c r="F51" s="362">
        <f ca="1">IF(ROWS($1:38)&gt;COUNT(Dong11),0,OFFSET(TH!J$1,SMALL(Dong11,ROWS($1:38)),))</f>
        <v>4449</v>
      </c>
      <c r="G51" s="362">
        <f ca="1">IF(ROWS($1:38)&gt;COUNT(Dong11),0,IF(MID(OFFSET(TH!D$1,SMALL(Dong11,ROWS($1:38)),),4,1)="N",OFFSET(TH!I$1,SMALL(Dong11,ROWS($1:38)),),0))</f>
        <v>0</v>
      </c>
      <c r="H51" s="363">
        <f t="shared" ca="1" si="11"/>
        <v>0</v>
      </c>
      <c r="I51" s="362">
        <f ca="1">IF(ROWS($1:38)&gt;COUNT(Dong11),0,IF(MID(OFFSET(TH!D$1,SMALL(Dong11,ROWS($1:38)),),4,1)="X",OFFSET(TH!I$1,SMALL(Dong11,ROWS($1:38)),),0))</f>
        <v>1</v>
      </c>
      <c r="J51" s="363">
        <f t="shared" ca="1" si="12"/>
        <v>4449</v>
      </c>
      <c r="K51" s="363">
        <f t="shared" ca="1" si="13"/>
        <v>398</v>
      </c>
      <c r="L51" s="363">
        <f t="shared" ca="1" si="14"/>
        <v>1770703</v>
      </c>
      <c r="M51" s="363"/>
      <c r="N51" s="353"/>
    </row>
    <row r="52" spans="1:14">
      <c r="A52" s="324">
        <f t="shared" ca="1" si="10"/>
        <v>39</v>
      </c>
      <c r="B52" s="359" t="str">
        <f ca="1">IF(ROWS($1:39)&gt;COUNT(Dong11),"",OFFSET(TH!D$1,SMALL(Dong11,ROWS($1:39)),))</f>
        <v>NL/X13</v>
      </c>
      <c r="C52" s="360">
        <f ca="1">IF(ROWS($1:39)&gt;COUNT(Dong11),"",OFFSET(TH!E$1,SMALL(Dong11,ROWS($1:39)),))</f>
        <v>40763</v>
      </c>
      <c r="D52" s="361" t="str">
        <f ca="1">IF(ROWS($1:39)&gt;COUNT(Dong11),"",OFFSET(TH!H$1,SMALL(Dong11,ROWS($1:39)),))</f>
        <v>Bộ phận SX</v>
      </c>
      <c r="E52" s="359" t="str">
        <f ca="1">IF(ROWS($1:39)&gt;COUNT(Dong11),"",IF(OFFSET(TH!L$1,SMALL(Dong11,ROWS($1:39)),)=$G$7,OFFSET(TH!M$1,SMALL(Dong11,ROWS($1:39)),),OFFSET(TH!L$1,SMALL(Dong11,ROWS($1:39)),)))</f>
        <v>154</v>
      </c>
      <c r="F52" s="362">
        <f ca="1">IF(ROWS($1:39)&gt;COUNT(Dong11),0,OFFSET(TH!J$1,SMALL(Dong11,ROWS($1:39)),))</f>
        <v>4449</v>
      </c>
      <c r="G52" s="362">
        <f ca="1">IF(ROWS($1:39)&gt;COUNT(Dong11),0,IF(MID(OFFSET(TH!D$1,SMALL(Dong11,ROWS($1:39)),),4,1)="N",OFFSET(TH!I$1,SMALL(Dong11,ROWS($1:39)),),0))</f>
        <v>0</v>
      </c>
      <c r="H52" s="363">
        <f t="shared" ca="1" si="11"/>
        <v>0</v>
      </c>
      <c r="I52" s="362">
        <f ca="1">IF(ROWS($1:39)&gt;COUNT(Dong11),0,IF(MID(OFFSET(TH!D$1,SMALL(Dong11,ROWS($1:39)),),4,1)="X",OFFSET(TH!I$1,SMALL(Dong11,ROWS($1:39)),),0))</f>
        <v>22.5</v>
      </c>
      <c r="J52" s="363">
        <f t="shared" ca="1" si="12"/>
        <v>100103</v>
      </c>
      <c r="K52" s="363">
        <f t="shared" ca="1" si="13"/>
        <v>375.5</v>
      </c>
      <c r="L52" s="363">
        <f t="shared" ca="1" si="14"/>
        <v>1670600</v>
      </c>
      <c r="M52" s="363"/>
      <c r="N52" s="353"/>
    </row>
    <row r="53" spans="1:14">
      <c r="A53" s="324">
        <f t="shared" ca="1" si="10"/>
        <v>40</v>
      </c>
      <c r="B53" s="359" t="str">
        <f ca="1">IF(ROWS($1:40)&gt;COUNT(Dong11),"",OFFSET(TH!D$1,SMALL(Dong11,ROWS($1:40)),))</f>
        <v>NL/X14</v>
      </c>
      <c r="C53" s="360">
        <f ca="1">IF(ROWS($1:40)&gt;COUNT(Dong11),"",OFFSET(TH!E$1,SMALL(Dong11,ROWS($1:40)),))</f>
        <v>40768</v>
      </c>
      <c r="D53" s="361" t="str">
        <f ca="1">IF(ROWS($1:40)&gt;COUNT(Dong11),"",OFFSET(TH!H$1,SMALL(Dong11,ROWS($1:40)),))</f>
        <v>Bộ phận SX</v>
      </c>
      <c r="E53" s="359" t="str">
        <f ca="1">IF(ROWS($1:40)&gt;COUNT(Dong11),"",IF(OFFSET(TH!L$1,SMALL(Dong11,ROWS($1:40)),)=$G$7,OFFSET(TH!M$1,SMALL(Dong11,ROWS($1:40)),),OFFSET(TH!L$1,SMALL(Dong11,ROWS($1:40)),)))</f>
        <v>154</v>
      </c>
      <c r="F53" s="362">
        <f ca="1">IF(ROWS($1:40)&gt;COUNT(Dong11),0,OFFSET(TH!J$1,SMALL(Dong11,ROWS($1:40)),))</f>
        <v>4449</v>
      </c>
      <c r="G53" s="362">
        <f ca="1">IF(ROWS($1:40)&gt;COUNT(Dong11),0,IF(MID(OFFSET(TH!D$1,SMALL(Dong11,ROWS($1:40)),),4,1)="N",OFFSET(TH!I$1,SMALL(Dong11,ROWS($1:40)),),0))</f>
        <v>0</v>
      </c>
      <c r="H53" s="363">
        <f t="shared" ca="1" si="11"/>
        <v>0</v>
      </c>
      <c r="I53" s="362">
        <f ca="1">IF(ROWS($1:40)&gt;COUNT(Dong11),0,IF(MID(OFFSET(TH!D$1,SMALL(Dong11,ROWS($1:40)),),4,1)="X",OFFSET(TH!I$1,SMALL(Dong11,ROWS($1:40)),),0))</f>
        <v>75</v>
      </c>
      <c r="J53" s="363">
        <f t="shared" ca="1" si="12"/>
        <v>333675</v>
      </c>
      <c r="K53" s="363">
        <f t="shared" ca="1" si="13"/>
        <v>300.5</v>
      </c>
      <c r="L53" s="363">
        <f t="shared" ca="1" si="14"/>
        <v>1336925</v>
      </c>
      <c r="M53" s="363"/>
      <c r="N53" s="353"/>
    </row>
    <row r="54" spans="1:14">
      <c r="A54" s="324">
        <f t="shared" ca="1" si="10"/>
        <v>41</v>
      </c>
      <c r="B54" s="359" t="str">
        <f ca="1">IF(ROWS($1:41)&gt;COUNT(Dong11),"",OFFSET(TH!D$1,SMALL(Dong11,ROWS($1:41)),))</f>
        <v>NL/X14</v>
      </c>
      <c r="C54" s="360">
        <f ca="1">IF(ROWS($1:41)&gt;COUNT(Dong11),"",OFFSET(TH!E$1,SMALL(Dong11,ROWS($1:41)),))</f>
        <v>40768</v>
      </c>
      <c r="D54" s="361" t="str">
        <f ca="1">IF(ROWS($1:41)&gt;COUNT(Dong11),"",OFFSET(TH!H$1,SMALL(Dong11,ROWS($1:41)),))</f>
        <v>Bộ phận SX</v>
      </c>
      <c r="E54" s="359" t="str">
        <f ca="1">IF(ROWS($1:41)&gt;COUNT(Dong11),"",IF(OFFSET(TH!L$1,SMALL(Dong11,ROWS($1:41)),)=$G$7,OFFSET(TH!M$1,SMALL(Dong11,ROWS($1:41)),),OFFSET(TH!L$1,SMALL(Dong11,ROWS($1:41)),)))</f>
        <v>154</v>
      </c>
      <c r="F54" s="362">
        <f ca="1">IF(ROWS($1:41)&gt;COUNT(Dong11),0,OFFSET(TH!J$1,SMALL(Dong11,ROWS($1:41)),))</f>
        <v>4449</v>
      </c>
      <c r="G54" s="362">
        <f ca="1">IF(ROWS($1:41)&gt;COUNT(Dong11),0,IF(MID(OFFSET(TH!D$1,SMALL(Dong11,ROWS($1:41)),),4,1)="N",OFFSET(TH!I$1,SMALL(Dong11,ROWS($1:41)),),0))</f>
        <v>0</v>
      </c>
      <c r="H54" s="363">
        <f t="shared" ca="1" si="11"/>
        <v>0</v>
      </c>
      <c r="I54" s="362">
        <f ca="1">IF(ROWS($1:41)&gt;COUNT(Dong11),0,IF(MID(OFFSET(TH!D$1,SMALL(Dong11,ROWS($1:41)),),4,1)="X",OFFSET(TH!I$1,SMALL(Dong11,ROWS($1:41)),),0))</f>
        <v>0.5</v>
      </c>
      <c r="J54" s="363">
        <f t="shared" ca="1" si="12"/>
        <v>2225</v>
      </c>
      <c r="K54" s="363">
        <f t="shared" ca="1" si="13"/>
        <v>300</v>
      </c>
      <c r="L54" s="363">
        <f t="shared" ca="1" si="14"/>
        <v>1334700</v>
      </c>
      <c r="M54" s="363"/>
      <c r="N54" s="353"/>
    </row>
    <row r="55" spans="1:14">
      <c r="A55" s="324">
        <f t="shared" ca="1" si="10"/>
        <v>42</v>
      </c>
      <c r="B55" s="359" t="str">
        <f ca="1">IF(ROWS($1:42)&gt;COUNT(Dong11),"",OFFSET(TH!D$1,SMALL(Dong11,ROWS($1:42)),))</f>
        <v>NL/X16</v>
      </c>
      <c r="C55" s="360">
        <f ca="1">IF(ROWS($1:42)&gt;COUNT(Dong11),"",OFFSET(TH!E$1,SMALL(Dong11,ROWS($1:42)),))</f>
        <v>40775</v>
      </c>
      <c r="D55" s="361" t="str">
        <f ca="1">IF(ROWS($1:42)&gt;COUNT(Dong11),"",OFFSET(TH!H$1,SMALL(Dong11,ROWS($1:42)),))</f>
        <v>Bộ phận SX</v>
      </c>
      <c r="E55" s="359" t="str">
        <f ca="1">IF(ROWS($1:42)&gt;COUNT(Dong11),"",IF(OFFSET(TH!L$1,SMALL(Dong11,ROWS($1:42)),)=$G$7,OFFSET(TH!M$1,SMALL(Dong11,ROWS($1:42)),),OFFSET(TH!L$1,SMALL(Dong11,ROWS($1:42)),)))</f>
        <v>154</v>
      </c>
      <c r="F55" s="362">
        <f ca="1">IF(ROWS($1:42)&gt;COUNT(Dong11),0,OFFSET(TH!J$1,SMALL(Dong11,ROWS($1:42)),))</f>
        <v>4449</v>
      </c>
      <c r="G55" s="362">
        <f ca="1">IF(ROWS($1:42)&gt;COUNT(Dong11),0,IF(MID(OFFSET(TH!D$1,SMALL(Dong11,ROWS($1:42)),),4,1)="N",OFFSET(TH!I$1,SMALL(Dong11,ROWS($1:42)),),0))</f>
        <v>0</v>
      </c>
      <c r="H55" s="363">
        <f t="shared" ca="1" si="11"/>
        <v>0</v>
      </c>
      <c r="I55" s="362">
        <f ca="1">IF(ROWS($1:42)&gt;COUNT(Dong11),0,IF(MID(OFFSET(TH!D$1,SMALL(Dong11,ROWS($1:42)),),4,1)="X",OFFSET(TH!I$1,SMALL(Dong11,ROWS($1:42)),),0))</f>
        <v>86</v>
      </c>
      <c r="J55" s="363">
        <f t="shared" ca="1" si="12"/>
        <v>382614</v>
      </c>
      <c r="K55" s="363">
        <f t="shared" ca="1" si="13"/>
        <v>214</v>
      </c>
      <c r="L55" s="363">
        <f t="shared" ca="1" si="14"/>
        <v>952086</v>
      </c>
      <c r="M55" s="363"/>
      <c r="N55" s="353"/>
    </row>
    <row r="56" spans="1:14">
      <c r="A56" s="324">
        <f t="shared" ca="1" si="10"/>
        <v>43</v>
      </c>
      <c r="B56" s="359" t="str">
        <f ca="1">IF(ROWS($1:43)&gt;COUNT(Dong11),"",OFFSET(TH!D$1,SMALL(Dong11,ROWS($1:43)),))</f>
        <v>NL/X18</v>
      </c>
      <c r="C56" s="360">
        <f ca="1">IF(ROWS($1:43)&gt;COUNT(Dong11),"",OFFSET(TH!E$1,SMALL(Dong11,ROWS($1:43)),))</f>
        <v>40791</v>
      </c>
      <c r="D56" s="361" t="str">
        <f ca="1">IF(ROWS($1:43)&gt;COUNT(Dong11),"",OFFSET(TH!H$1,SMALL(Dong11,ROWS($1:43)),))</f>
        <v>Bộ phận SX</v>
      </c>
      <c r="E56" s="359" t="str">
        <f ca="1">IF(ROWS($1:43)&gt;COUNT(Dong11),"",IF(OFFSET(TH!L$1,SMALL(Dong11,ROWS($1:43)),)=$G$7,OFFSET(TH!M$1,SMALL(Dong11,ROWS($1:43)),),OFFSET(TH!L$1,SMALL(Dong11,ROWS($1:43)),)))</f>
        <v>154</v>
      </c>
      <c r="F56" s="362">
        <f ca="1">IF(ROWS($1:43)&gt;COUNT(Dong11),0,OFFSET(TH!J$1,SMALL(Dong11,ROWS($1:43)),))</f>
        <v>4449</v>
      </c>
      <c r="G56" s="362">
        <f ca="1">IF(ROWS($1:43)&gt;COUNT(Dong11),0,IF(MID(OFFSET(TH!D$1,SMALL(Dong11,ROWS($1:43)),),4,1)="N",OFFSET(TH!I$1,SMALL(Dong11,ROWS($1:43)),),0))</f>
        <v>0</v>
      </c>
      <c r="H56" s="363">
        <f t="shared" ca="1" si="11"/>
        <v>0</v>
      </c>
      <c r="I56" s="362">
        <f ca="1">IF(ROWS($1:43)&gt;COUNT(Dong11),0,IF(MID(OFFSET(TH!D$1,SMALL(Dong11,ROWS($1:43)),),4,1)="X",OFFSET(TH!I$1,SMALL(Dong11,ROWS($1:43)),),0))</f>
        <v>5</v>
      </c>
      <c r="J56" s="363">
        <f t="shared" ca="1" si="12"/>
        <v>22245</v>
      </c>
      <c r="K56" s="363">
        <f t="shared" ca="1" si="13"/>
        <v>209</v>
      </c>
      <c r="L56" s="363">
        <f t="shared" ca="1" si="14"/>
        <v>929841</v>
      </c>
      <c r="M56" s="363"/>
      <c r="N56" s="353"/>
    </row>
    <row r="57" spans="1:14">
      <c r="A57" s="324">
        <f t="shared" ca="1" si="10"/>
        <v>44</v>
      </c>
      <c r="B57" s="359" t="str">
        <f ca="1">IF(ROWS($1:44)&gt;COUNT(Dong11),"",OFFSET(TH!D$1,SMALL(Dong11,ROWS($1:44)),))</f>
        <v>NL/X20</v>
      </c>
      <c r="C57" s="360">
        <f ca="1">IF(ROWS($1:44)&gt;COUNT(Dong11),"",OFFSET(TH!E$1,SMALL(Dong11,ROWS($1:44)),))</f>
        <v>40797</v>
      </c>
      <c r="D57" s="361" t="str">
        <f ca="1">IF(ROWS($1:44)&gt;COUNT(Dong11),"",OFFSET(TH!H$1,SMALL(Dong11,ROWS($1:44)),))</f>
        <v>Bộ phận SX</v>
      </c>
      <c r="E57" s="359" t="str">
        <f ca="1">IF(ROWS($1:44)&gt;COUNT(Dong11),"",IF(OFFSET(TH!L$1,SMALL(Dong11,ROWS($1:44)),)=$G$7,OFFSET(TH!M$1,SMALL(Dong11,ROWS($1:44)),),OFFSET(TH!L$1,SMALL(Dong11,ROWS($1:44)),)))</f>
        <v>154</v>
      </c>
      <c r="F57" s="362">
        <f ca="1">IF(ROWS($1:44)&gt;COUNT(Dong11),0,OFFSET(TH!J$1,SMALL(Dong11,ROWS($1:44)),))</f>
        <v>4449</v>
      </c>
      <c r="G57" s="362">
        <f ca="1">IF(ROWS($1:44)&gt;COUNT(Dong11),0,IF(MID(OFFSET(TH!D$1,SMALL(Dong11,ROWS($1:44)),),4,1)="N",OFFSET(TH!I$1,SMALL(Dong11,ROWS($1:44)),),0))</f>
        <v>0</v>
      </c>
      <c r="H57" s="363">
        <f t="shared" ca="1" si="11"/>
        <v>0</v>
      </c>
      <c r="I57" s="362">
        <f ca="1">IF(ROWS($1:44)&gt;COUNT(Dong11),0,IF(MID(OFFSET(TH!D$1,SMALL(Dong11,ROWS($1:44)),),4,1)="X",OFFSET(TH!I$1,SMALL(Dong11,ROWS($1:44)),),0))</f>
        <v>44</v>
      </c>
      <c r="J57" s="363">
        <f t="shared" ca="1" si="12"/>
        <v>195756</v>
      </c>
      <c r="K57" s="363">
        <f t="shared" ca="1" si="13"/>
        <v>165</v>
      </c>
      <c r="L57" s="363">
        <f t="shared" ca="1" si="14"/>
        <v>734085</v>
      </c>
      <c r="M57" s="363"/>
      <c r="N57" s="353"/>
    </row>
    <row r="58" spans="1:14">
      <c r="A58" s="324">
        <f t="shared" ca="1" si="10"/>
        <v>45</v>
      </c>
      <c r="B58" s="359" t="str">
        <f ca="1">IF(ROWS($1:45)&gt;COUNT(Dong11),"",OFFSET(TH!D$1,SMALL(Dong11,ROWS($1:45)),))</f>
        <v>NL/X21</v>
      </c>
      <c r="C58" s="360">
        <f ca="1">IF(ROWS($1:45)&gt;COUNT(Dong11),"",OFFSET(TH!E$1,SMALL(Dong11,ROWS($1:45)),))</f>
        <v>40803</v>
      </c>
      <c r="D58" s="361" t="str">
        <f ca="1">IF(ROWS($1:45)&gt;COUNT(Dong11),"",OFFSET(TH!H$1,SMALL(Dong11,ROWS($1:45)),))</f>
        <v>Bộ phận SX</v>
      </c>
      <c r="E58" s="359" t="str">
        <f ca="1">IF(ROWS($1:45)&gt;COUNT(Dong11),"",IF(OFFSET(TH!L$1,SMALL(Dong11,ROWS($1:45)),)=$G$7,OFFSET(TH!M$1,SMALL(Dong11,ROWS($1:45)),),OFFSET(TH!L$1,SMALL(Dong11,ROWS($1:45)),)))</f>
        <v>154</v>
      </c>
      <c r="F58" s="362">
        <f ca="1">IF(ROWS($1:45)&gt;COUNT(Dong11),0,OFFSET(TH!J$1,SMALL(Dong11,ROWS($1:45)),))</f>
        <v>4449</v>
      </c>
      <c r="G58" s="362">
        <f ca="1">IF(ROWS($1:45)&gt;COUNT(Dong11),0,IF(MID(OFFSET(TH!D$1,SMALL(Dong11,ROWS($1:45)),),4,1)="N",OFFSET(TH!I$1,SMALL(Dong11,ROWS($1:45)),),0))</f>
        <v>0</v>
      </c>
      <c r="H58" s="363">
        <f t="shared" ca="1" si="11"/>
        <v>0</v>
      </c>
      <c r="I58" s="362">
        <f ca="1">IF(ROWS($1:45)&gt;COUNT(Dong11),0,IF(MID(OFFSET(TH!D$1,SMALL(Dong11,ROWS($1:45)),),4,1)="X",OFFSET(TH!I$1,SMALL(Dong11,ROWS($1:45)),),0))</f>
        <v>2</v>
      </c>
      <c r="J58" s="363">
        <f t="shared" ca="1" si="12"/>
        <v>8898</v>
      </c>
      <c r="K58" s="363">
        <f t="shared" ca="1" si="13"/>
        <v>163</v>
      </c>
      <c r="L58" s="363">
        <f t="shared" ca="1" si="14"/>
        <v>725187</v>
      </c>
      <c r="M58" s="363"/>
      <c r="N58" s="353"/>
    </row>
    <row r="59" spans="1:14">
      <c r="A59" s="324">
        <f t="shared" ca="1" si="10"/>
        <v>46</v>
      </c>
      <c r="B59" s="359" t="str">
        <f ca="1">IF(ROWS($1:46)&gt;COUNT(Dong11),"",OFFSET(TH!D$1,SMALL(Dong11,ROWS($1:46)),))</f>
        <v>NL/X21</v>
      </c>
      <c r="C59" s="360">
        <f ca="1">IF(ROWS($1:46)&gt;COUNT(Dong11),"",OFFSET(TH!E$1,SMALL(Dong11,ROWS($1:46)),))</f>
        <v>40803</v>
      </c>
      <c r="D59" s="361" t="str">
        <f ca="1">IF(ROWS($1:46)&gt;COUNT(Dong11),"",OFFSET(TH!H$1,SMALL(Dong11,ROWS($1:46)),))</f>
        <v>Bộ phận SX</v>
      </c>
      <c r="E59" s="359" t="str">
        <f ca="1">IF(ROWS($1:46)&gt;COUNT(Dong11),"",IF(OFFSET(TH!L$1,SMALL(Dong11,ROWS($1:46)),)=$G$7,OFFSET(TH!M$1,SMALL(Dong11,ROWS($1:46)),),OFFSET(TH!L$1,SMALL(Dong11,ROWS($1:46)),)))</f>
        <v>154</v>
      </c>
      <c r="F59" s="362">
        <f ca="1">IF(ROWS($1:46)&gt;COUNT(Dong11),0,OFFSET(TH!J$1,SMALL(Dong11,ROWS($1:46)),))</f>
        <v>4449</v>
      </c>
      <c r="G59" s="362">
        <f ca="1">IF(ROWS($1:46)&gt;COUNT(Dong11),0,IF(MID(OFFSET(TH!D$1,SMALL(Dong11,ROWS($1:46)),),4,1)="N",OFFSET(TH!I$1,SMALL(Dong11,ROWS($1:46)),),0))</f>
        <v>0</v>
      </c>
      <c r="H59" s="363">
        <f t="shared" ca="1" si="11"/>
        <v>0</v>
      </c>
      <c r="I59" s="362">
        <f ca="1">IF(ROWS($1:46)&gt;COUNT(Dong11),0,IF(MID(OFFSET(TH!D$1,SMALL(Dong11,ROWS($1:46)),),4,1)="X",OFFSET(TH!I$1,SMALL(Dong11,ROWS($1:46)),),0))</f>
        <v>6</v>
      </c>
      <c r="J59" s="363">
        <f t="shared" ca="1" si="12"/>
        <v>26694</v>
      </c>
      <c r="K59" s="363">
        <f t="shared" ca="1" si="13"/>
        <v>157</v>
      </c>
      <c r="L59" s="363">
        <f t="shared" ca="1" si="14"/>
        <v>698493</v>
      </c>
      <c r="M59" s="363"/>
      <c r="N59" s="353"/>
    </row>
    <row r="60" spans="1:14">
      <c r="A60" s="324">
        <f t="shared" ca="1" si="10"/>
        <v>47</v>
      </c>
      <c r="B60" s="359" t="str">
        <f ca="1">IF(ROWS($1:47)&gt;COUNT(Dong11),"",OFFSET(TH!D$1,SMALL(Dong11,ROWS($1:47)),))</f>
        <v>NL/X21</v>
      </c>
      <c r="C60" s="360">
        <f ca="1">IF(ROWS($1:47)&gt;COUNT(Dong11),"",OFFSET(TH!E$1,SMALL(Dong11,ROWS($1:47)),))</f>
        <v>40803</v>
      </c>
      <c r="D60" s="361" t="str">
        <f ca="1">IF(ROWS($1:47)&gt;COUNT(Dong11),"",OFFSET(TH!H$1,SMALL(Dong11,ROWS($1:47)),))</f>
        <v>Bộ phận SX</v>
      </c>
      <c r="E60" s="359" t="str">
        <f ca="1">IF(ROWS($1:47)&gt;COUNT(Dong11),"",IF(OFFSET(TH!L$1,SMALL(Dong11,ROWS($1:47)),)=$G$7,OFFSET(TH!M$1,SMALL(Dong11,ROWS($1:47)),),OFFSET(TH!L$1,SMALL(Dong11,ROWS($1:47)),)))</f>
        <v>154</v>
      </c>
      <c r="F60" s="362">
        <f ca="1">IF(ROWS($1:47)&gt;COUNT(Dong11),0,OFFSET(TH!J$1,SMALL(Dong11,ROWS($1:47)),))</f>
        <v>4449</v>
      </c>
      <c r="G60" s="362">
        <f ca="1">IF(ROWS($1:47)&gt;COUNT(Dong11),0,IF(MID(OFFSET(TH!D$1,SMALL(Dong11,ROWS($1:47)),),4,1)="N",OFFSET(TH!I$1,SMALL(Dong11,ROWS($1:47)),),0))</f>
        <v>0</v>
      </c>
      <c r="H60" s="363">
        <f t="shared" ca="1" si="11"/>
        <v>0</v>
      </c>
      <c r="I60" s="362">
        <f ca="1">IF(ROWS($1:47)&gt;COUNT(Dong11),0,IF(MID(OFFSET(TH!D$1,SMALL(Dong11,ROWS($1:47)),),4,1)="X",OFFSET(TH!I$1,SMALL(Dong11,ROWS($1:47)),),0))</f>
        <v>2</v>
      </c>
      <c r="J60" s="363">
        <f t="shared" ca="1" si="12"/>
        <v>8898</v>
      </c>
      <c r="K60" s="363">
        <f t="shared" ca="1" si="13"/>
        <v>155</v>
      </c>
      <c r="L60" s="363">
        <f t="shared" ca="1" si="14"/>
        <v>689595</v>
      </c>
      <c r="M60" s="363"/>
      <c r="N60" s="353"/>
    </row>
    <row r="61" spans="1:14">
      <c r="A61" s="324">
        <f t="shared" ca="1" si="10"/>
        <v>48</v>
      </c>
      <c r="B61" s="359" t="str">
        <f ca="1">IF(ROWS($1:48)&gt;COUNT(Dong11),"",OFFSET(TH!D$1,SMALL(Dong11,ROWS($1:48)),))</f>
        <v>NL/X21</v>
      </c>
      <c r="C61" s="360">
        <f ca="1">IF(ROWS($1:48)&gt;COUNT(Dong11),"",OFFSET(TH!E$1,SMALL(Dong11,ROWS($1:48)),))</f>
        <v>40803</v>
      </c>
      <c r="D61" s="361" t="str">
        <f ca="1">IF(ROWS($1:48)&gt;COUNT(Dong11),"",OFFSET(TH!H$1,SMALL(Dong11,ROWS($1:48)),))</f>
        <v>Bộ phận SX</v>
      </c>
      <c r="E61" s="359" t="str">
        <f ca="1">IF(ROWS($1:48)&gt;COUNT(Dong11),"",IF(OFFSET(TH!L$1,SMALL(Dong11,ROWS($1:48)),)=$G$7,OFFSET(TH!M$1,SMALL(Dong11,ROWS($1:48)),),OFFSET(TH!L$1,SMALL(Dong11,ROWS($1:48)),)))</f>
        <v>154</v>
      </c>
      <c r="F61" s="362">
        <f ca="1">IF(ROWS($1:48)&gt;COUNT(Dong11),0,OFFSET(TH!J$1,SMALL(Dong11,ROWS($1:48)),))</f>
        <v>4449</v>
      </c>
      <c r="G61" s="362">
        <f ca="1">IF(ROWS($1:48)&gt;COUNT(Dong11),0,IF(MID(OFFSET(TH!D$1,SMALL(Dong11,ROWS($1:48)),),4,1)="N",OFFSET(TH!I$1,SMALL(Dong11,ROWS($1:48)),),0))</f>
        <v>0</v>
      </c>
      <c r="H61" s="363">
        <f t="shared" ca="1" si="11"/>
        <v>0</v>
      </c>
      <c r="I61" s="362">
        <f ca="1">IF(ROWS($1:48)&gt;COUNT(Dong11),0,IF(MID(OFFSET(TH!D$1,SMALL(Dong11,ROWS($1:48)),),4,1)="X",OFFSET(TH!I$1,SMALL(Dong11,ROWS($1:48)),),0))</f>
        <v>2</v>
      </c>
      <c r="J61" s="363">
        <f t="shared" ca="1" si="12"/>
        <v>8898</v>
      </c>
      <c r="K61" s="363">
        <f t="shared" ca="1" si="13"/>
        <v>153</v>
      </c>
      <c r="L61" s="363">
        <f t="shared" ca="1" si="14"/>
        <v>680697</v>
      </c>
      <c r="M61" s="363"/>
      <c r="N61" s="353"/>
    </row>
    <row r="62" spans="1:14">
      <c r="A62" s="324">
        <f t="shared" ca="1" si="10"/>
        <v>49</v>
      </c>
      <c r="B62" s="359" t="str">
        <f ca="1">IF(ROWS($1:49)&gt;COUNT(Dong11),"",OFFSET(TH!D$1,SMALL(Dong11,ROWS($1:49)),))</f>
        <v>NL/X22</v>
      </c>
      <c r="C62" s="360">
        <f ca="1">IF(ROWS($1:49)&gt;COUNT(Dong11),"",OFFSET(TH!E$1,SMALL(Dong11,ROWS($1:49)),))</f>
        <v>40807</v>
      </c>
      <c r="D62" s="361" t="str">
        <f ca="1">IF(ROWS($1:49)&gt;COUNT(Dong11),"",OFFSET(TH!H$1,SMALL(Dong11,ROWS($1:49)),))</f>
        <v>Bộ phận SX</v>
      </c>
      <c r="E62" s="359" t="str">
        <f ca="1">IF(ROWS($1:49)&gt;COUNT(Dong11),"",IF(OFFSET(TH!L$1,SMALL(Dong11,ROWS($1:49)),)=$G$7,OFFSET(TH!M$1,SMALL(Dong11,ROWS($1:49)),),OFFSET(TH!L$1,SMALL(Dong11,ROWS($1:49)),)))</f>
        <v>154</v>
      </c>
      <c r="F62" s="362">
        <f ca="1">IF(ROWS($1:49)&gt;COUNT(Dong11),0,OFFSET(TH!J$1,SMALL(Dong11,ROWS($1:49)),))</f>
        <v>4449</v>
      </c>
      <c r="G62" s="362">
        <f ca="1">IF(ROWS($1:49)&gt;COUNT(Dong11),0,IF(MID(OFFSET(TH!D$1,SMALL(Dong11,ROWS($1:49)),),4,1)="N",OFFSET(TH!I$1,SMALL(Dong11,ROWS($1:49)),),0))</f>
        <v>0</v>
      </c>
      <c r="H62" s="363">
        <f t="shared" ca="1" si="11"/>
        <v>0</v>
      </c>
      <c r="I62" s="362">
        <f ca="1">IF(ROWS($1:49)&gt;COUNT(Dong11),0,IF(MID(OFFSET(TH!D$1,SMALL(Dong11,ROWS($1:49)),),4,1)="X",OFFSET(TH!I$1,SMALL(Dong11,ROWS($1:49)),),0))</f>
        <v>1</v>
      </c>
      <c r="J62" s="363">
        <f t="shared" ca="1" si="12"/>
        <v>4449</v>
      </c>
      <c r="K62" s="363">
        <f t="shared" ca="1" si="13"/>
        <v>152</v>
      </c>
      <c r="L62" s="363">
        <f t="shared" ca="1" si="14"/>
        <v>676248</v>
      </c>
      <c r="M62" s="363"/>
      <c r="N62" s="353"/>
    </row>
    <row r="63" spans="1:14">
      <c r="A63" s="324">
        <f t="shared" ref="A63:A72" ca="1" si="15">IF(B63="","",A62+1)</f>
        <v>50</v>
      </c>
      <c r="B63" s="359" t="str">
        <f ca="1">IF(ROWS($1:50)&gt;COUNT(Dong11),"",OFFSET(TH!D$1,SMALL(Dong11,ROWS($1:50)),))</f>
        <v>NL/X22</v>
      </c>
      <c r="C63" s="360">
        <f ca="1">IF(ROWS($1:50)&gt;COUNT(Dong11),"",OFFSET(TH!E$1,SMALL(Dong11,ROWS($1:50)),))</f>
        <v>40807</v>
      </c>
      <c r="D63" s="361" t="str">
        <f ca="1">IF(ROWS($1:50)&gt;COUNT(Dong11),"",OFFSET(TH!H$1,SMALL(Dong11,ROWS($1:50)),))</f>
        <v>Bộ phận SX</v>
      </c>
      <c r="E63" s="359" t="str">
        <f ca="1">IF(ROWS($1:50)&gt;COUNT(Dong11),"",IF(OFFSET(TH!L$1,SMALL(Dong11,ROWS($1:50)),)=$G$7,OFFSET(TH!M$1,SMALL(Dong11,ROWS($1:50)),),OFFSET(TH!L$1,SMALL(Dong11,ROWS($1:50)),)))</f>
        <v>154</v>
      </c>
      <c r="F63" s="362">
        <f ca="1">IF(ROWS($1:50)&gt;COUNT(Dong11),0,OFFSET(TH!J$1,SMALL(Dong11,ROWS($1:50)),))</f>
        <v>4449</v>
      </c>
      <c r="G63" s="362">
        <f ca="1">IF(ROWS($1:50)&gt;COUNT(Dong11),0,IF(MID(OFFSET(TH!D$1,SMALL(Dong11,ROWS($1:50)),),4,1)="N",OFFSET(TH!I$1,SMALL(Dong11,ROWS($1:50)),),0))</f>
        <v>0</v>
      </c>
      <c r="H63" s="363">
        <f t="shared" ref="H63:H72" ca="1" si="16">ROUND(F63*G63,0)</f>
        <v>0</v>
      </c>
      <c r="I63" s="362">
        <f ca="1">IF(ROWS($1:50)&gt;COUNT(Dong11),0,IF(MID(OFFSET(TH!D$1,SMALL(Dong11,ROWS($1:50)),),4,1)="X",OFFSET(TH!I$1,SMALL(Dong11,ROWS($1:50)),),0))</f>
        <v>5</v>
      </c>
      <c r="J63" s="363">
        <f t="shared" ref="J63:J72" ca="1" si="17">ROUND(F63*I63,0)</f>
        <v>22245</v>
      </c>
      <c r="K63" s="363">
        <f t="shared" ref="K63:K72" ca="1" si="18">IF(D63&lt;&gt;"",K62+G63-I63,0)</f>
        <v>147</v>
      </c>
      <c r="L63" s="363">
        <f t="shared" ref="L63:L72" ca="1" si="19">IF(D63&lt;&gt;"",L62+H63-J63,0)</f>
        <v>654003</v>
      </c>
      <c r="M63" s="363"/>
      <c r="N63" s="353"/>
    </row>
    <row r="64" spans="1:14">
      <c r="A64" s="324">
        <f t="shared" ca="1" si="15"/>
        <v>51</v>
      </c>
      <c r="B64" s="359" t="str">
        <f ca="1">IF(ROWS($1:51)&gt;COUNT(Dong11),"",OFFSET(TH!D$1,SMALL(Dong11,ROWS($1:51)),))</f>
        <v>NL/X11</v>
      </c>
      <c r="C64" s="360">
        <f ca="1">IF(ROWS($1:51)&gt;COUNT(Dong11),"",OFFSET(TH!E$1,SMALL(Dong11,ROWS($1:51)),))</f>
        <v>40856</v>
      </c>
      <c r="D64" s="361" t="str">
        <f ca="1">IF(ROWS($1:51)&gt;COUNT(Dong11),"",OFFSET(TH!H$1,SMALL(Dong11,ROWS($1:51)),))</f>
        <v>Bộ phận SX</v>
      </c>
      <c r="E64" s="359" t="str">
        <f ca="1">IF(ROWS($1:51)&gt;COUNT(Dong11),"",IF(OFFSET(TH!L$1,SMALL(Dong11,ROWS($1:51)),)=$G$7,OFFSET(TH!M$1,SMALL(Dong11,ROWS($1:51)),),OFFSET(TH!L$1,SMALL(Dong11,ROWS($1:51)),)))</f>
        <v>154</v>
      </c>
      <c r="F64" s="362">
        <f ca="1">IF(ROWS($1:51)&gt;COUNT(Dong11),0,OFFSET(TH!J$1,SMALL(Dong11,ROWS($1:51)),))</f>
        <v>4449</v>
      </c>
      <c r="G64" s="362">
        <f ca="1">IF(ROWS($1:51)&gt;COUNT(Dong11),0,IF(MID(OFFSET(TH!D$1,SMALL(Dong11,ROWS($1:51)),),4,1)="N",OFFSET(TH!I$1,SMALL(Dong11,ROWS($1:51)),),0))</f>
        <v>0</v>
      </c>
      <c r="H64" s="363">
        <f t="shared" ca="1" si="16"/>
        <v>0</v>
      </c>
      <c r="I64" s="362">
        <f ca="1">IF(ROWS($1:51)&gt;COUNT(Dong11),0,IF(MID(OFFSET(TH!D$1,SMALL(Dong11,ROWS($1:51)),),4,1)="X",OFFSET(TH!I$1,SMALL(Dong11,ROWS($1:51)),),0))</f>
        <v>1</v>
      </c>
      <c r="J64" s="363">
        <f t="shared" ca="1" si="17"/>
        <v>4449</v>
      </c>
      <c r="K64" s="363">
        <f t="shared" ca="1" si="18"/>
        <v>146</v>
      </c>
      <c r="L64" s="363">
        <f t="shared" ca="1" si="19"/>
        <v>649554</v>
      </c>
      <c r="M64" s="363"/>
      <c r="N64" s="353"/>
    </row>
    <row r="65" spans="1:14">
      <c r="A65" s="324">
        <f t="shared" ca="1" si="15"/>
        <v>52</v>
      </c>
      <c r="B65" s="359" t="str">
        <f ca="1">IF(ROWS($1:52)&gt;COUNT(Dong11),"",OFFSET(TH!D$1,SMALL(Dong11,ROWS($1:52)),))</f>
        <v>NL/X13</v>
      </c>
      <c r="C65" s="360">
        <f ca="1">IF(ROWS($1:52)&gt;COUNT(Dong11),"",OFFSET(TH!E$1,SMALL(Dong11,ROWS($1:52)),))</f>
        <v>40860</v>
      </c>
      <c r="D65" s="361" t="str">
        <f ca="1">IF(ROWS($1:52)&gt;COUNT(Dong11),"",OFFSET(TH!H$1,SMALL(Dong11,ROWS($1:52)),))</f>
        <v>Bộ phận SX</v>
      </c>
      <c r="E65" s="359" t="str">
        <f ca="1">IF(ROWS($1:52)&gt;COUNT(Dong11),"",IF(OFFSET(TH!L$1,SMALL(Dong11,ROWS($1:52)),)=$G$7,OFFSET(TH!M$1,SMALL(Dong11,ROWS($1:52)),),OFFSET(TH!L$1,SMALL(Dong11,ROWS($1:52)),)))</f>
        <v>154</v>
      </c>
      <c r="F65" s="362">
        <f ca="1">IF(ROWS($1:52)&gt;COUNT(Dong11),0,OFFSET(TH!J$1,SMALL(Dong11,ROWS($1:52)),))</f>
        <v>4449</v>
      </c>
      <c r="G65" s="362">
        <f ca="1">IF(ROWS($1:52)&gt;COUNT(Dong11),0,IF(MID(OFFSET(TH!D$1,SMALL(Dong11,ROWS($1:52)),),4,1)="N",OFFSET(TH!I$1,SMALL(Dong11,ROWS($1:52)),),0))</f>
        <v>0</v>
      </c>
      <c r="H65" s="363">
        <f t="shared" ca="1" si="16"/>
        <v>0</v>
      </c>
      <c r="I65" s="362">
        <f ca="1">IF(ROWS($1:52)&gt;COUNT(Dong11),0,IF(MID(OFFSET(TH!D$1,SMALL(Dong11,ROWS($1:52)),),4,1)="X",OFFSET(TH!I$1,SMALL(Dong11,ROWS($1:52)),),0))</f>
        <v>1</v>
      </c>
      <c r="J65" s="363">
        <f t="shared" ca="1" si="17"/>
        <v>4449</v>
      </c>
      <c r="K65" s="363">
        <f t="shared" ca="1" si="18"/>
        <v>145</v>
      </c>
      <c r="L65" s="363">
        <f t="shared" ca="1" si="19"/>
        <v>645105</v>
      </c>
      <c r="M65" s="363"/>
      <c r="N65" s="353"/>
    </row>
    <row r="66" spans="1:14">
      <c r="A66" s="324">
        <f t="shared" ca="1" si="15"/>
        <v>53</v>
      </c>
      <c r="B66" s="359" t="str">
        <f ca="1">IF(ROWS($1:53)&gt;COUNT(Dong11),"",OFFSET(TH!D$1,SMALL(Dong11,ROWS($1:53)),))</f>
        <v>NL/X13</v>
      </c>
      <c r="C66" s="360">
        <f ca="1">IF(ROWS($1:53)&gt;COUNT(Dong11),"",OFFSET(TH!E$1,SMALL(Dong11,ROWS($1:53)),))</f>
        <v>40860</v>
      </c>
      <c r="D66" s="361" t="str">
        <f ca="1">IF(ROWS($1:53)&gt;COUNT(Dong11),"",OFFSET(TH!H$1,SMALL(Dong11,ROWS($1:53)),))</f>
        <v>Bộ phận SX</v>
      </c>
      <c r="E66" s="359" t="str">
        <f ca="1">IF(ROWS($1:53)&gt;COUNT(Dong11),"",IF(OFFSET(TH!L$1,SMALL(Dong11,ROWS($1:53)),)=$G$7,OFFSET(TH!M$1,SMALL(Dong11,ROWS($1:53)),),OFFSET(TH!L$1,SMALL(Dong11,ROWS($1:53)),)))</f>
        <v>154</v>
      </c>
      <c r="F66" s="362">
        <f ca="1">IF(ROWS($1:53)&gt;COUNT(Dong11),0,OFFSET(TH!J$1,SMALL(Dong11,ROWS($1:53)),))</f>
        <v>4449</v>
      </c>
      <c r="G66" s="362">
        <f ca="1">IF(ROWS($1:53)&gt;COUNT(Dong11),0,IF(MID(OFFSET(TH!D$1,SMALL(Dong11,ROWS($1:53)),),4,1)="N",OFFSET(TH!I$1,SMALL(Dong11,ROWS($1:53)),),0))</f>
        <v>0</v>
      </c>
      <c r="H66" s="363">
        <f t="shared" ca="1" si="16"/>
        <v>0</v>
      </c>
      <c r="I66" s="362">
        <f ca="1">IF(ROWS($1:53)&gt;COUNT(Dong11),0,IF(MID(OFFSET(TH!D$1,SMALL(Dong11,ROWS($1:53)),),4,1)="X",OFFSET(TH!I$1,SMALL(Dong11,ROWS($1:53)),),0))</f>
        <v>4</v>
      </c>
      <c r="J66" s="363">
        <f t="shared" ca="1" si="17"/>
        <v>17796</v>
      </c>
      <c r="K66" s="363">
        <f t="shared" ca="1" si="18"/>
        <v>141</v>
      </c>
      <c r="L66" s="363">
        <f t="shared" ca="1" si="19"/>
        <v>627309</v>
      </c>
      <c r="M66" s="363"/>
      <c r="N66" s="353"/>
    </row>
    <row r="67" spans="1:14">
      <c r="A67" s="324">
        <f t="shared" ca="1" si="15"/>
        <v>54</v>
      </c>
      <c r="B67" s="359" t="str">
        <f ca="1">IF(ROWS($1:54)&gt;COUNT(Dong11),"",OFFSET(TH!D$1,SMALL(Dong11,ROWS($1:54)),))</f>
        <v>NL/X13</v>
      </c>
      <c r="C67" s="360">
        <f ca="1">IF(ROWS($1:54)&gt;COUNT(Dong11),"",OFFSET(TH!E$1,SMALL(Dong11,ROWS($1:54)),))</f>
        <v>40860</v>
      </c>
      <c r="D67" s="361" t="str">
        <f ca="1">IF(ROWS($1:54)&gt;COUNT(Dong11),"",OFFSET(TH!H$1,SMALL(Dong11,ROWS($1:54)),))</f>
        <v>Bộ phận SX</v>
      </c>
      <c r="E67" s="359" t="str">
        <f ca="1">IF(ROWS($1:54)&gt;COUNT(Dong11),"",IF(OFFSET(TH!L$1,SMALL(Dong11,ROWS($1:54)),)=$G$7,OFFSET(TH!M$1,SMALL(Dong11,ROWS($1:54)),),OFFSET(TH!L$1,SMALL(Dong11,ROWS($1:54)),)))</f>
        <v>154</v>
      </c>
      <c r="F67" s="362">
        <f ca="1">IF(ROWS($1:54)&gt;COUNT(Dong11),0,OFFSET(TH!J$1,SMALL(Dong11,ROWS($1:54)),))</f>
        <v>4449</v>
      </c>
      <c r="G67" s="362">
        <f ca="1">IF(ROWS($1:54)&gt;COUNT(Dong11),0,IF(MID(OFFSET(TH!D$1,SMALL(Dong11,ROWS($1:54)),),4,1)="N",OFFSET(TH!I$1,SMALL(Dong11,ROWS($1:54)),),0))</f>
        <v>0</v>
      </c>
      <c r="H67" s="363">
        <f t="shared" ca="1" si="16"/>
        <v>0</v>
      </c>
      <c r="I67" s="362">
        <f ca="1">IF(ROWS($1:54)&gt;COUNT(Dong11),0,IF(MID(OFFSET(TH!D$1,SMALL(Dong11,ROWS($1:54)),),4,1)="X",OFFSET(TH!I$1,SMALL(Dong11,ROWS($1:54)),),0))</f>
        <v>2</v>
      </c>
      <c r="J67" s="363">
        <f t="shared" ca="1" si="17"/>
        <v>8898</v>
      </c>
      <c r="K67" s="363">
        <f t="shared" ca="1" si="18"/>
        <v>139</v>
      </c>
      <c r="L67" s="363">
        <f t="shared" ca="1" si="19"/>
        <v>618411</v>
      </c>
      <c r="M67" s="363"/>
      <c r="N67" s="353"/>
    </row>
    <row r="68" spans="1:14">
      <c r="A68" s="324">
        <f t="shared" ca="1" si="15"/>
        <v>55</v>
      </c>
      <c r="B68" s="359" t="str">
        <f ca="1">IF(ROWS($1:55)&gt;COUNT(Dong11),"",OFFSET(TH!D$1,SMALL(Dong11,ROWS($1:55)),))</f>
        <v>NL/X15</v>
      </c>
      <c r="C68" s="360">
        <f ca="1">IF(ROWS($1:55)&gt;COUNT(Dong11),"",OFFSET(TH!E$1,SMALL(Dong11,ROWS($1:55)),))</f>
        <v>40862</v>
      </c>
      <c r="D68" s="361" t="str">
        <f ca="1">IF(ROWS($1:55)&gt;COUNT(Dong11),"",OFFSET(TH!H$1,SMALL(Dong11,ROWS($1:55)),))</f>
        <v>Bộ phận SX</v>
      </c>
      <c r="E68" s="359" t="str">
        <f ca="1">IF(ROWS($1:55)&gt;COUNT(Dong11),"",IF(OFFSET(TH!L$1,SMALL(Dong11,ROWS($1:55)),)=$G$7,OFFSET(TH!M$1,SMALL(Dong11,ROWS($1:55)),),OFFSET(TH!L$1,SMALL(Dong11,ROWS($1:55)),)))</f>
        <v>154</v>
      </c>
      <c r="F68" s="362">
        <f ca="1">IF(ROWS($1:55)&gt;COUNT(Dong11),0,OFFSET(TH!J$1,SMALL(Dong11,ROWS($1:55)),))</f>
        <v>4449</v>
      </c>
      <c r="G68" s="362">
        <f ca="1">IF(ROWS($1:55)&gt;COUNT(Dong11),0,IF(MID(OFFSET(TH!D$1,SMALL(Dong11,ROWS($1:55)),),4,1)="N",OFFSET(TH!I$1,SMALL(Dong11,ROWS($1:55)),),0))</f>
        <v>0</v>
      </c>
      <c r="H68" s="363">
        <f t="shared" ca="1" si="16"/>
        <v>0</v>
      </c>
      <c r="I68" s="362">
        <f ca="1">IF(ROWS($1:55)&gt;COUNT(Dong11),0,IF(MID(OFFSET(TH!D$1,SMALL(Dong11,ROWS($1:55)),),4,1)="X",OFFSET(TH!I$1,SMALL(Dong11,ROWS($1:55)),),0))</f>
        <v>4</v>
      </c>
      <c r="J68" s="363">
        <f t="shared" ca="1" si="17"/>
        <v>17796</v>
      </c>
      <c r="K68" s="363">
        <f t="shared" ca="1" si="18"/>
        <v>135</v>
      </c>
      <c r="L68" s="363">
        <f t="shared" ca="1" si="19"/>
        <v>600615</v>
      </c>
      <c r="M68" s="363"/>
      <c r="N68" s="353"/>
    </row>
    <row r="69" spans="1:14">
      <c r="A69" s="324">
        <f t="shared" ca="1" si="15"/>
        <v>56</v>
      </c>
      <c r="B69" s="359" t="str">
        <f ca="1">IF(ROWS($1:56)&gt;COUNT(Dong11),"",OFFSET(TH!D$1,SMALL(Dong11,ROWS($1:56)),))</f>
        <v>NL/X16</v>
      </c>
      <c r="C69" s="360">
        <f ca="1">IF(ROWS($1:56)&gt;COUNT(Dong11),"",OFFSET(TH!E$1,SMALL(Dong11,ROWS($1:56)),))</f>
        <v>40863</v>
      </c>
      <c r="D69" s="361" t="str">
        <f ca="1">IF(ROWS($1:56)&gt;COUNT(Dong11),"",OFFSET(TH!H$1,SMALL(Dong11,ROWS($1:56)),))</f>
        <v>Bộ phận SX</v>
      </c>
      <c r="E69" s="359" t="str">
        <f ca="1">IF(ROWS($1:56)&gt;COUNT(Dong11),"",IF(OFFSET(TH!L$1,SMALL(Dong11,ROWS($1:56)),)=$G$7,OFFSET(TH!M$1,SMALL(Dong11,ROWS($1:56)),),OFFSET(TH!L$1,SMALL(Dong11,ROWS($1:56)),)))</f>
        <v>154</v>
      </c>
      <c r="F69" s="362">
        <f ca="1">IF(ROWS($1:56)&gt;COUNT(Dong11),0,OFFSET(TH!J$1,SMALL(Dong11,ROWS($1:56)),))</f>
        <v>4449</v>
      </c>
      <c r="G69" s="362">
        <f ca="1">IF(ROWS($1:56)&gt;COUNT(Dong11),0,IF(MID(OFFSET(TH!D$1,SMALL(Dong11,ROWS($1:56)),),4,1)="N",OFFSET(TH!I$1,SMALL(Dong11,ROWS($1:56)),),0))</f>
        <v>0</v>
      </c>
      <c r="H69" s="363">
        <f t="shared" ca="1" si="16"/>
        <v>0</v>
      </c>
      <c r="I69" s="362">
        <f ca="1">IF(ROWS($1:56)&gt;COUNT(Dong11),0,IF(MID(OFFSET(TH!D$1,SMALL(Dong11,ROWS($1:56)),),4,1)="X",OFFSET(TH!I$1,SMALL(Dong11,ROWS($1:56)),),0))</f>
        <v>8</v>
      </c>
      <c r="J69" s="363">
        <f t="shared" ca="1" si="17"/>
        <v>35592</v>
      </c>
      <c r="K69" s="363">
        <f t="shared" ca="1" si="18"/>
        <v>127</v>
      </c>
      <c r="L69" s="363">
        <f t="shared" ca="1" si="19"/>
        <v>565023</v>
      </c>
      <c r="M69" s="363"/>
      <c r="N69" s="353"/>
    </row>
    <row r="70" spans="1:14">
      <c r="A70" s="324">
        <f t="shared" ca="1" si="15"/>
        <v>57</v>
      </c>
      <c r="B70" s="359" t="str">
        <f ca="1">IF(ROWS($1:57)&gt;COUNT(Dong11),"",OFFSET(TH!D$1,SMALL(Dong11,ROWS($1:57)),))</f>
        <v>NL/X16</v>
      </c>
      <c r="C70" s="360">
        <f ca="1">IF(ROWS($1:57)&gt;COUNT(Dong11),"",OFFSET(TH!E$1,SMALL(Dong11,ROWS($1:57)),))</f>
        <v>40863</v>
      </c>
      <c r="D70" s="361" t="str">
        <f ca="1">IF(ROWS($1:57)&gt;COUNT(Dong11),"",OFFSET(TH!H$1,SMALL(Dong11,ROWS($1:57)),))</f>
        <v>Bộ phận SX</v>
      </c>
      <c r="E70" s="359" t="str">
        <f ca="1">IF(ROWS($1:57)&gt;COUNT(Dong11),"",IF(OFFSET(TH!L$1,SMALL(Dong11,ROWS($1:57)),)=$G$7,OFFSET(TH!M$1,SMALL(Dong11,ROWS($1:57)),),OFFSET(TH!L$1,SMALL(Dong11,ROWS($1:57)),)))</f>
        <v>154</v>
      </c>
      <c r="F70" s="362">
        <f ca="1">IF(ROWS($1:57)&gt;COUNT(Dong11),0,OFFSET(TH!J$1,SMALL(Dong11,ROWS($1:57)),))</f>
        <v>4449</v>
      </c>
      <c r="G70" s="362">
        <f ca="1">IF(ROWS($1:57)&gt;COUNT(Dong11),0,IF(MID(OFFSET(TH!D$1,SMALL(Dong11,ROWS($1:57)),),4,1)="N",OFFSET(TH!I$1,SMALL(Dong11,ROWS($1:57)),),0))</f>
        <v>0</v>
      </c>
      <c r="H70" s="363">
        <f t="shared" ca="1" si="16"/>
        <v>0</v>
      </c>
      <c r="I70" s="362">
        <f ca="1">IF(ROWS($1:57)&gt;COUNT(Dong11),0,IF(MID(OFFSET(TH!D$1,SMALL(Dong11,ROWS($1:57)),),4,1)="X",OFFSET(TH!I$1,SMALL(Dong11,ROWS($1:57)),),0))</f>
        <v>3</v>
      </c>
      <c r="J70" s="363">
        <f t="shared" ca="1" si="17"/>
        <v>13347</v>
      </c>
      <c r="K70" s="363">
        <f t="shared" ca="1" si="18"/>
        <v>124</v>
      </c>
      <c r="L70" s="363">
        <f t="shared" ca="1" si="19"/>
        <v>551676</v>
      </c>
      <c r="M70" s="363"/>
      <c r="N70" s="353"/>
    </row>
    <row r="71" spans="1:14">
      <c r="A71" s="324">
        <f t="shared" ca="1" si="15"/>
        <v>58</v>
      </c>
      <c r="B71" s="359" t="str">
        <f ca="1">IF(ROWS($1:58)&gt;COUNT(Dong11),"",OFFSET(TH!D$1,SMALL(Dong11,ROWS($1:58)),))</f>
        <v>NL/X16</v>
      </c>
      <c r="C71" s="360">
        <f ca="1">IF(ROWS($1:58)&gt;COUNT(Dong11),"",OFFSET(TH!E$1,SMALL(Dong11,ROWS($1:58)),))</f>
        <v>40863</v>
      </c>
      <c r="D71" s="361" t="str">
        <f ca="1">IF(ROWS($1:58)&gt;COUNT(Dong11),"",OFFSET(TH!H$1,SMALL(Dong11,ROWS($1:58)),))</f>
        <v>Bộ phận SX</v>
      </c>
      <c r="E71" s="359" t="str">
        <f ca="1">IF(ROWS($1:58)&gt;COUNT(Dong11),"",IF(OFFSET(TH!L$1,SMALL(Dong11,ROWS($1:58)),)=$G$7,OFFSET(TH!M$1,SMALL(Dong11,ROWS($1:58)),),OFFSET(TH!L$1,SMALL(Dong11,ROWS($1:58)),)))</f>
        <v>154</v>
      </c>
      <c r="F71" s="362">
        <f ca="1">IF(ROWS($1:58)&gt;COUNT(Dong11),0,OFFSET(TH!J$1,SMALL(Dong11,ROWS($1:58)),))</f>
        <v>4449</v>
      </c>
      <c r="G71" s="362">
        <f ca="1">IF(ROWS($1:58)&gt;COUNT(Dong11),0,IF(MID(OFFSET(TH!D$1,SMALL(Dong11,ROWS($1:58)),),4,1)="N",OFFSET(TH!I$1,SMALL(Dong11,ROWS($1:58)),),0))</f>
        <v>0</v>
      </c>
      <c r="H71" s="363">
        <f t="shared" ca="1" si="16"/>
        <v>0</v>
      </c>
      <c r="I71" s="362">
        <f ca="1">IF(ROWS($1:58)&gt;COUNT(Dong11),0,IF(MID(OFFSET(TH!D$1,SMALL(Dong11,ROWS($1:58)),),4,1)="X",OFFSET(TH!I$1,SMALL(Dong11,ROWS($1:58)),),0))</f>
        <v>6</v>
      </c>
      <c r="J71" s="363">
        <f t="shared" ca="1" si="17"/>
        <v>26694</v>
      </c>
      <c r="K71" s="363">
        <f t="shared" ca="1" si="18"/>
        <v>118</v>
      </c>
      <c r="L71" s="363">
        <f t="shared" ca="1" si="19"/>
        <v>524982</v>
      </c>
      <c r="M71" s="363"/>
      <c r="N71" s="353"/>
    </row>
    <row r="72" spans="1:14">
      <c r="A72" s="324">
        <f t="shared" ca="1" si="15"/>
        <v>59</v>
      </c>
      <c r="B72" s="359" t="str">
        <f ca="1">IF(ROWS($1:59)&gt;COUNT(Dong11),"",OFFSET(TH!D$1,SMALL(Dong11,ROWS($1:59)),))</f>
        <v>NL/X16</v>
      </c>
      <c r="C72" s="360">
        <f ca="1">IF(ROWS($1:59)&gt;COUNT(Dong11),"",OFFSET(TH!E$1,SMALL(Dong11,ROWS($1:59)),))</f>
        <v>40863</v>
      </c>
      <c r="D72" s="361" t="str">
        <f ca="1">IF(ROWS($1:59)&gt;COUNT(Dong11),"",OFFSET(TH!H$1,SMALL(Dong11,ROWS($1:59)),))</f>
        <v>Bộ phận SX</v>
      </c>
      <c r="E72" s="359" t="str">
        <f ca="1">IF(ROWS($1:59)&gt;COUNT(Dong11),"",IF(OFFSET(TH!L$1,SMALL(Dong11,ROWS($1:59)),)=$G$7,OFFSET(TH!M$1,SMALL(Dong11,ROWS($1:59)),),OFFSET(TH!L$1,SMALL(Dong11,ROWS($1:59)),)))</f>
        <v>154</v>
      </c>
      <c r="F72" s="362">
        <f ca="1">IF(ROWS($1:59)&gt;COUNT(Dong11),0,OFFSET(TH!J$1,SMALL(Dong11,ROWS($1:59)),))</f>
        <v>4449</v>
      </c>
      <c r="G72" s="362">
        <f ca="1">IF(ROWS($1:59)&gt;COUNT(Dong11),0,IF(MID(OFFSET(TH!D$1,SMALL(Dong11,ROWS($1:59)),),4,1)="N",OFFSET(TH!I$1,SMALL(Dong11,ROWS($1:59)),),0))</f>
        <v>0</v>
      </c>
      <c r="H72" s="363">
        <f t="shared" ca="1" si="16"/>
        <v>0</v>
      </c>
      <c r="I72" s="362">
        <f ca="1">IF(ROWS($1:59)&gt;COUNT(Dong11),0,IF(MID(OFFSET(TH!D$1,SMALL(Dong11,ROWS($1:59)),),4,1)="X",OFFSET(TH!I$1,SMALL(Dong11,ROWS($1:59)),),0))</f>
        <v>7</v>
      </c>
      <c r="J72" s="363">
        <f t="shared" ca="1" si="17"/>
        <v>31143</v>
      </c>
      <c r="K72" s="363">
        <f t="shared" ca="1" si="18"/>
        <v>111</v>
      </c>
      <c r="L72" s="363">
        <f t="shared" ca="1" si="19"/>
        <v>493839</v>
      </c>
      <c r="M72" s="363"/>
      <c r="N72" s="353"/>
    </row>
    <row r="73" spans="1:14">
      <c r="A73" s="324" t="str">
        <f>IF(B73="","",#REF!+1)</f>
        <v/>
      </c>
      <c r="B73" s="366"/>
      <c r="C73" s="367"/>
      <c r="D73" s="361"/>
      <c r="E73" s="368"/>
      <c r="F73" s="369"/>
      <c r="G73" s="355"/>
      <c r="H73" s="355"/>
      <c r="I73" s="355"/>
      <c r="J73" s="355"/>
      <c r="K73" s="355"/>
      <c r="L73" s="355"/>
      <c r="M73" s="370"/>
      <c r="N73" s="353"/>
    </row>
    <row r="74" spans="1:14">
      <c r="A74" s="371"/>
      <c r="B74" s="371"/>
      <c r="C74" s="371"/>
      <c r="D74" s="371" t="s">
        <v>231</v>
      </c>
      <c r="E74" s="351" t="s">
        <v>19</v>
      </c>
      <c r="F74" s="351" t="s">
        <v>19</v>
      </c>
      <c r="G74" s="372">
        <f ca="1">SUM(G14:G73)</f>
        <v>2500</v>
      </c>
      <c r="H74" s="372">
        <f ca="1">SUM(H14:H73)</f>
        <v>11122500</v>
      </c>
      <c r="I74" s="372">
        <f ca="1">SUM(I14:I73)</f>
        <v>2389</v>
      </c>
      <c r="J74" s="372">
        <f ca="1">SUM(J14:J73)</f>
        <v>10628661</v>
      </c>
      <c r="K74" s="372">
        <f ca="1">K13+G74-I74</f>
        <v>111</v>
      </c>
      <c r="L74" s="372">
        <f ca="1">L13+H74-J74</f>
        <v>493839</v>
      </c>
      <c r="M74" s="371"/>
      <c r="N74" s="353"/>
    </row>
    <row r="75" spans="1:14">
      <c r="B75" s="373" t="s">
        <v>232</v>
      </c>
      <c r="G75" s="365"/>
      <c r="N75" s="353"/>
    </row>
    <row r="76" spans="1:14">
      <c r="B76" s="37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5"/>
      <c r="I76" s="365"/>
      <c r="N76" s="353"/>
    </row>
    <row r="77" spans="1:14">
      <c r="B77" s="340"/>
      <c r="C77" s="340"/>
      <c r="D77" s="340"/>
      <c r="F77" s="340"/>
      <c r="G77" s="375"/>
      <c r="H77" s="341"/>
      <c r="I77" s="376"/>
      <c r="J77" s="1072" t="str">
        <f ca="1">"Ngày 31 tháng  12  năm  "&amp;YEAR($A$14)</f>
        <v>Ngày 31 tháng  12  năm  1900</v>
      </c>
      <c r="K77" s="1072"/>
      <c r="L77" s="1072"/>
      <c r="M77" s="1072"/>
      <c r="N77" s="353"/>
    </row>
    <row r="78" spans="1:14">
      <c r="C78" s="340"/>
      <c r="D78" s="575" t="s">
        <v>11</v>
      </c>
      <c r="E78" s="1072" t="s">
        <v>12</v>
      </c>
      <c r="F78" s="1072"/>
      <c r="G78" s="1072"/>
      <c r="H78" s="1072"/>
      <c r="I78" s="1072"/>
      <c r="J78" s="1072" t="s">
        <v>109</v>
      </c>
      <c r="K78" s="1072"/>
      <c r="L78" s="1072"/>
      <c r="M78" s="1072"/>
      <c r="N78" s="353"/>
    </row>
    <row r="79" spans="1:14">
      <c r="C79" s="340"/>
      <c r="D79" s="575" t="s">
        <v>13</v>
      </c>
      <c r="E79" s="1072" t="s">
        <v>13</v>
      </c>
      <c r="F79" s="1072"/>
      <c r="G79" s="1072"/>
      <c r="H79" s="1072" t="s">
        <v>136</v>
      </c>
      <c r="I79" s="1072"/>
      <c r="J79" s="1072" t="s">
        <v>136</v>
      </c>
      <c r="K79" s="1072"/>
      <c r="L79" s="1072"/>
      <c r="M79" s="1072"/>
      <c r="N79" s="353"/>
    </row>
    <row r="80" spans="1:14">
      <c r="N80" s="377"/>
    </row>
    <row r="81" spans="4:14">
      <c r="E81" s="328"/>
    </row>
    <row r="83" spans="4:14" customFormat="1" ht="12.75">
      <c r="E83" s="378"/>
    </row>
    <row r="88" spans="4:14">
      <c r="D88" s="603" t="s">
        <v>151</v>
      </c>
      <c r="E88" s="603"/>
      <c r="J88" s="1068" t="s">
        <v>103</v>
      </c>
      <c r="K88" s="1068"/>
      <c r="L88" s="1068"/>
      <c r="M88" s="1068"/>
      <c r="N88" s="60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2" customWidth="1"/>
    <col min="2" max="2" width="9.140625" style="382"/>
    <col min="3" max="3" width="9.140625" style="441" customWidth="1"/>
    <col min="4" max="4" width="10.85546875" style="441" customWidth="1"/>
    <col min="5" max="5" width="39.42578125" style="442" customWidth="1"/>
    <col min="6" max="6" width="10.85546875" style="443" customWidth="1"/>
    <col min="7" max="7" width="9" style="444" customWidth="1"/>
    <col min="8" max="8" width="9.5703125" style="444" customWidth="1"/>
    <col min="9" max="9" width="10" style="444" customWidth="1"/>
    <col min="10" max="10" width="8" style="382" customWidth="1"/>
    <col min="11" max="11" width="2.42578125" style="382" customWidth="1"/>
    <col min="12" max="12" width="6.5703125" style="382" customWidth="1"/>
    <col min="13" max="16384" width="9.140625" style="382"/>
  </cols>
  <sheetData>
    <row r="1" spans="1:12" ht="15" customHeight="1">
      <c r="A1" s="379" t="str">
        <f>TH!A1</f>
        <v>Đơn vị: CÔNG TY TNHH SX TM KIM DUNG PHÁT</v>
      </c>
      <c r="B1" s="380"/>
      <c r="C1" s="380"/>
      <c r="D1" s="380"/>
      <c r="E1" s="381"/>
      <c r="F1" s="1086" t="s">
        <v>233</v>
      </c>
      <c r="G1" s="1086"/>
      <c r="H1" s="1086"/>
      <c r="I1" s="1086"/>
      <c r="J1" s="1086"/>
      <c r="K1" s="383"/>
      <c r="L1" s="384"/>
    </row>
    <row r="2" spans="1:12" ht="15" customHeight="1">
      <c r="A2" s="637" t="str">
        <f>TH!A2</f>
        <v>Địa chỉ: 1A227/1 Ấp 1, Phạm Văn Hai, Bình Chánh, TPHCM</v>
      </c>
      <c r="B2" s="385"/>
      <c r="C2" s="385"/>
      <c r="D2" s="385"/>
      <c r="E2" s="386"/>
      <c r="F2" s="1085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85"/>
      <c r="H2" s="1085"/>
      <c r="I2" s="1085"/>
      <c r="J2" s="1085"/>
      <c r="K2" s="383"/>
    </row>
    <row r="3" spans="1:12" ht="15">
      <c r="A3" s="385"/>
      <c r="B3" s="385"/>
      <c r="C3" s="385"/>
      <c r="D3" s="385"/>
      <c r="E3" s="386"/>
      <c r="F3" s="1085"/>
      <c r="G3" s="1085"/>
      <c r="H3" s="1085"/>
      <c r="I3" s="1085"/>
      <c r="J3" s="1085"/>
      <c r="K3" s="383"/>
    </row>
    <row r="4" spans="1:12" ht="18.75" customHeight="1">
      <c r="A4" s="388"/>
      <c r="B4" s="388"/>
      <c r="C4" s="388"/>
      <c r="D4" s="388"/>
      <c r="E4" s="389" t="s">
        <v>234</v>
      </c>
      <c r="F4" s="388"/>
      <c r="G4" s="388"/>
      <c r="H4" s="388"/>
      <c r="I4" s="388"/>
      <c r="J4" s="383"/>
      <c r="K4" s="383"/>
    </row>
    <row r="5" spans="1:12" ht="15">
      <c r="A5" s="390"/>
      <c r="B5" s="390"/>
      <c r="C5" s="390"/>
      <c r="D5" s="390"/>
      <c r="E5" s="39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90"/>
      <c r="G5" s="390"/>
      <c r="H5" s="390"/>
      <c r="I5" s="390"/>
      <c r="J5" s="383"/>
      <c r="K5" s="383"/>
    </row>
    <row r="6" spans="1:12" ht="15">
      <c r="A6" s="390"/>
      <c r="B6" s="390"/>
      <c r="C6" s="390"/>
      <c r="D6" s="390"/>
      <c r="E6" s="391" t="s">
        <v>235</v>
      </c>
      <c r="F6" s="390"/>
      <c r="G6" s="390"/>
      <c r="H6" s="390"/>
      <c r="I6" s="390"/>
      <c r="J6" s="383"/>
      <c r="K6" s="383"/>
    </row>
    <row r="7" spans="1:12" ht="15">
      <c r="A7" s="374" t="s">
        <v>236</v>
      </c>
      <c r="B7" s="374"/>
      <c r="C7" s="392"/>
      <c r="D7" s="392"/>
      <c r="E7" s="393" t="s">
        <v>411</v>
      </c>
      <c r="F7" s="387"/>
      <c r="G7" s="394"/>
      <c r="H7" s="394"/>
      <c r="I7" s="394"/>
      <c r="J7" s="383"/>
      <c r="K7" s="383"/>
    </row>
    <row r="8" spans="1:12" ht="15">
      <c r="A8" s="374" t="s">
        <v>237</v>
      </c>
      <c r="B8" s="374"/>
      <c r="C8" s="383" t="str">
        <f>VLOOKUP($E$7,NXT!$C$12:$L$485,2,0)</f>
        <v>kg</v>
      </c>
      <c r="D8" s="374"/>
      <c r="E8" s="393"/>
      <c r="F8" s="387"/>
      <c r="G8" s="394"/>
      <c r="H8" s="394"/>
      <c r="I8" s="394"/>
      <c r="J8" s="383"/>
      <c r="K8" s="383"/>
    </row>
    <row r="9" spans="1:12" ht="15">
      <c r="A9" s="1087" t="s">
        <v>238</v>
      </c>
      <c r="B9" s="1088"/>
      <c r="C9" s="1088"/>
      <c r="D9" s="1088"/>
      <c r="E9" s="393"/>
      <c r="F9" s="387"/>
      <c r="G9" s="394"/>
      <c r="H9" s="394"/>
      <c r="I9" s="394"/>
      <c r="J9" s="395"/>
      <c r="K9" s="395"/>
    </row>
    <row r="10" spans="1:12" ht="19.5" customHeight="1">
      <c r="A10" s="1089" t="s">
        <v>239</v>
      </c>
      <c r="B10" s="1090" t="s">
        <v>240</v>
      </c>
      <c r="C10" s="1092" t="s">
        <v>15</v>
      </c>
      <c r="D10" s="1077"/>
      <c r="E10" s="1093" t="s">
        <v>0</v>
      </c>
      <c r="F10" s="1083" t="s">
        <v>241</v>
      </c>
      <c r="G10" s="1076" t="s">
        <v>210</v>
      </c>
      <c r="H10" s="1076"/>
      <c r="I10" s="1077"/>
      <c r="J10" s="1078" t="s">
        <v>242</v>
      </c>
      <c r="K10" s="396"/>
      <c r="L10" s="397" t="s">
        <v>227</v>
      </c>
    </row>
    <row r="11" spans="1:12" ht="19.5" customHeight="1">
      <c r="A11" s="1089"/>
      <c r="B11" s="1091"/>
      <c r="C11" s="398" t="s">
        <v>224</v>
      </c>
      <c r="D11" s="398" t="s">
        <v>225</v>
      </c>
      <c r="E11" s="1094"/>
      <c r="F11" s="1084"/>
      <c r="G11" s="399" t="s">
        <v>224</v>
      </c>
      <c r="H11" s="399" t="s">
        <v>225</v>
      </c>
      <c r="I11" s="399" t="s">
        <v>226</v>
      </c>
      <c r="J11" s="1079"/>
      <c r="K11" s="396"/>
    </row>
    <row r="12" spans="1:12" ht="15">
      <c r="A12" s="400" t="s">
        <v>2</v>
      </c>
      <c r="B12" s="401" t="s">
        <v>3</v>
      </c>
      <c r="C12" s="402" t="s">
        <v>4</v>
      </c>
      <c r="D12" s="402" t="s">
        <v>5</v>
      </c>
      <c r="E12" s="403" t="s">
        <v>6</v>
      </c>
      <c r="F12" s="401" t="s">
        <v>130</v>
      </c>
      <c r="G12" s="404">
        <v>1</v>
      </c>
      <c r="H12" s="404">
        <v>2</v>
      </c>
      <c r="I12" s="404">
        <v>3</v>
      </c>
      <c r="J12" s="402" t="s">
        <v>131</v>
      </c>
      <c r="K12" s="405"/>
    </row>
    <row r="13" spans="1:12" ht="16.5" customHeight="1">
      <c r="A13" s="406"/>
      <c r="B13" s="407"/>
      <c r="C13" s="408"/>
      <c r="D13" s="408"/>
      <c r="E13" s="409" t="s">
        <v>201</v>
      </c>
      <c r="F13" s="407"/>
      <c r="G13" s="410"/>
      <c r="H13" s="410"/>
      <c r="I13" s="411">
        <f>VLOOKUP($E$7,NXT!$C$12:$L$485,3,0)</f>
        <v>0</v>
      </c>
      <c r="J13" s="406"/>
      <c r="K13" s="412"/>
    </row>
    <row r="14" spans="1:12" ht="16.5" customHeight="1">
      <c r="A14" s="413">
        <f ca="1">IF(B14&lt;&gt;"",ROW()-(ROW()-1),"")</f>
        <v>1</v>
      </c>
      <c r="B14" s="414">
        <f ca="1">IF(ROWS($1:1)&gt;COUNT(Dong12),"",OFFSET(TH!E$1,SMALL(Dong12,ROWS($1:1)),))</f>
        <v>40644</v>
      </c>
      <c r="C14" s="478" t="str">
        <f ca="1">IF(ROWS($1:1)&gt;COUNT(Dong12),"",IF(MID(OFFSET(TH!D$1,SMALL(Dong12,ROWS($1:1)),),4,1)="N",OFFSET(TH!D$1,SMALL(Dong12,ROWS($1:1)),),""))</f>
        <v>VL/N01</v>
      </c>
      <c r="D14" s="414" t="str">
        <f ca="1">IF(ROWS($1:1)&gt;COUNT(Dong12),"",IF(MID(OFFSET(TH!D$1,SMALL(Dong12,ROWS($1:1)),),4,1)="X",OFFSET(TH!D$1,SMALL(Dong12,ROWS($1:1)),),""))</f>
        <v/>
      </c>
      <c r="E14" s="686" t="str">
        <f ca="1">IF(ROWS($1:1)&gt;COUNT(Dong12),"",OFFSET(TH!H$1,SMALL(Dong12,ROWS($1:1)),))</f>
        <v>Cơ Sở Kéo Kẽm Thành Dũng</v>
      </c>
      <c r="F14" s="414">
        <f ca="1">B14</f>
        <v>40644</v>
      </c>
      <c r="G14" s="415">
        <f ca="1">IF(ROWS($1:1)&gt;COUNT(Dong12),0,IF(MID(OFFSET(TH!D$1,SMALL(Dong12,ROWS($1:1)),),4,1)="N",OFFSET(TH!I$1,SMALL(Dong12,ROWS($1:1)),),0))</f>
        <v>50</v>
      </c>
      <c r="H14" s="415">
        <f ca="1">IF(ROWS($1:1)&gt;COUNT(Dong12),0,IF(MID(OFFSET(TH!D$1,SMALL(Dong12,ROWS($1:1)),),4,1)="X",OFFSET(TH!I$1,SMALL(Dong12,ROWS($1:1)),),0))</f>
        <v>0</v>
      </c>
      <c r="I14" s="416">
        <f ca="1">IF(E14&lt;&gt;"",I13+G14-H14,0)</f>
        <v>50</v>
      </c>
      <c r="J14" s="417"/>
      <c r="K14" s="418"/>
    </row>
    <row r="15" spans="1:12" ht="16.5" customHeight="1">
      <c r="A15" s="419">
        <f ca="1">IF(B15&lt;&gt;"",A14+1,"")</f>
        <v>2</v>
      </c>
      <c r="B15" s="414">
        <f ca="1">IF(ROWS($1:2)&gt;COUNT(Dong12),"",OFFSET(TH!E$1,SMALL(Dong12,ROWS($1:2)),))</f>
        <v>40644</v>
      </c>
      <c r="C15" s="478" t="str">
        <f ca="1">IF(ROWS($1:2)&gt;COUNT(Dong12),"",IF(MID(OFFSET(TH!D$1,SMALL(Dong12,ROWS($1:2)),),4,1)="N",OFFSET(TH!D$1,SMALL(Dong12,ROWS($1:2)),),""))</f>
        <v/>
      </c>
      <c r="D15" s="414" t="str">
        <f ca="1">IF(ROWS($1:2)&gt;COUNT(Dong12),"",IF(MID(OFFSET(TH!D$1,SMALL(Dong12,ROWS($1:2)),),4,1)="X",OFFSET(TH!D$1,SMALL(Dong12,ROWS($1:2)),),""))</f>
        <v>VL/X01</v>
      </c>
      <c r="E15" s="686" t="str">
        <f ca="1">IF(ROWS($1:2)&gt;COUNT(Dong12),"",OFFSET(TH!H$1,SMALL(Dong12,ROWS($1:2)),))</f>
        <v>Bộ phận SX</v>
      </c>
      <c r="F15" s="414">
        <f t="shared" ref="F15:F30" ca="1" si="0">B15</f>
        <v>40644</v>
      </c>
      <c r="G15" s="415">
        <f ca="1">IF(ROWS($1:2)&gt;COUNT(Dong12),0,IF(MID(OFFSET(TH!D$1,SMALL(Dong12,ROWS($1:2)),),4,1)="N",OFFSET(TH!I$1,SMALL(Dong12,ROWS($1:2)),),0))</f>
        <v>0</v>
      </c>
      <c r="H15" s="415">
        <f ca="1">IF(ROWS($1:2)&gt;COUNT(Dong12),0,IF(MID(OFFSET(TH!D$1,SMALL(Dong12,ROWS($1:2)),),4,1)="X",OFFSET(TH!I$1,SMALL(Dong12,ROWS($1:2)),),0))</f>
        <v>50</v>
      </c>
      <c r="I15" s="416">
        <f t="shared" ref="I15:I30" ca="1" si="1">IF(E15&lt;&gt;"",I14+G15-H15,0)</f>
        <v>0</v>
      </c>
      <c r="J15" s="417"/>
      <c r="K15" s="418"/>
    </row>
    <row r="16" spans="1:12" ht="16.5" customHeight="1">
      <c r="A16" s="419">
        <f t="shared" ref="A16:A30" ca="1" si="2">IF(B16&lt;&gt;"",A15+1,"")</f>
        <v>3</v>
      </c>
      <c r="B16" s="414">
        <f ca="1">IF(ROWS($1:3)&gt;COUNT(Dong12),"",OFFSET(TH!E$1,SMALL(Dong12,ROWS($1:3)),))</f>
        <v>40709</v>
      </c>
      <c r="C16" s="478" t="str">
        <f ca="1">IF(ROWS($1:3)&gt;COUNT(Dong12),"",IF(MID(OFFSET(TH!D$1,SMALL(Dong12,ROWS($1:3)),),4,1)="N",OFFSET(TH!D$1,SMALL(Dong12,ROWS($1:3)),),""))</f>
        <v>VL/N04</v>
      </c>
      <c r="D16" s="414" t="str">
        <f ca="1">IF(ROWS($1:3)&gt;COUNT(Dong12),"",IF(MID(OFFSET(TH!D$1,SMALL(Dong12,ROWS($1:3)),),4,1)="X",OFFSET(TH!D$1,SMALL(Dong12,ROWS($1:3)),),""))</f>
        <v/>
      </c>
      <c r="E16" s="686" t="str">
        <f ca="1">IF(ROWS($1:3)&gt;COUNT(Dong12),"",OFFSET(TH!H$1,SMALL(Dong12,ROWS($1:3)),))</f>
        <v>Cơ Sở Kéo Kẽm Thành Dũng</v>
      </c>
      <c r="F16" s="414">
        <f t="shared" ca="1" si="0"/>
        <v>40709</v>
      </c>
      <c r="G16" s="415">
        <f ca="1">IF(ROWS($1:3)&gt;COUNT(Dong12),0,IF(MID(OFFSET(TH!D$1,SMALL(Dong12,ROWS($1:3)),),4,1)="N",OFFSET(TH!I$1,SMALL(Dong12,ROWS($1:3)),),0))</f>
        <v>50</v>
      </c>
      <c r="H16" s="415">
        <f ca="1">IF(ROWS($1:3)&gt;COUNT(Dong12),0,IF(MID(OFFSET(TH!D$1,SMALL(Dong12,ROWS($1:3)),),4,1)="X",OFFSET(TH!I$1,SMALL(Dong12,ROWS($1:3)),),0))</f>
        <v>0</v>
      </c>
      <c r="I16" s="416">
        <f t="shared" ca="1" si="1"/>
        <v>50</v>
      </c>
      <c r="J16" s="417"/>
      <c r="K16" s="418"/>
    </row>
    <row r="17" spans="1:11" ht="16.5" customHeight="1">
      <c r="A17" s="419">
        <f t="shared" ca="1" si="2"/>
        <v>4</v>
      </c>
      <c r="B17" s="414">
        <f ca="1">IF(ROWS($1:4)&gt;COUNT(Dong12),"",OFFSET(TH!E$1,SMALL(Dong12,ROWS($1:4)),))</f>
        <v>40725</v>
      </c>
      <c r="C17" s="478" t="str">
        <f ca="1">IF(ROWS($1:4)&gt;COUNT(Dong12),"",IF(MID(OFFSET(TH!D$1,SMALL(Dong12,ROWS($1:4)),),4,1)="N",OFFSET(TH!D$1,SMALL(Dong12,ROWS($1:4)),),""))</f>
        <v/>
      </c>
      <c r="D17" s="414" t="str">
        <f ca="1">IF(ROWS($1:4)&gt;COUNT(Dong12),"",IF(MID(OFFSET(TH!D$1,SMALL(Dong12,ROWS($1:4)),),4,1)="X",OFFSET(TH!D$1,SMALL(Dong12,ROWS($1:4)),),""))</f>
        <v>VL/X01</v>
      </c>
      <c r="E17" s="686" t="str">
        <f ca="1">IF(ROWS($1:4)&gt;COUNT(Dong12),"",OFFSET(TH!H$1,SMALL(Dong12,ROWS($1:4)),))</f>
        <v>Bộ phận SX</v>
      </c>
      <c r="F17" s="414">
        <f t="shared" ca="1" si="0"/>
        <v>40725</v>
      </c>
      <c r="G17" s="415">
        <f ca="1">IF(ROWS($1:4)&gt;COUNT(Dong12),0,IF(MID(OFFSET(TH!D$1,SMALL(Dong12,ROWS($1:4)),),4,1)="N",OFFSET(TH!I$1,SMALL(Dong12,ROWS($1:4)),),0))</f>
        <v>0</v>
      </c>
      <c r="H17" s="415">
        <f ca="1">IF(ROWS($1:4)&gt;COUNT(Dong12),0,IF(MID(OFFSET(TH!D$1,SMALL(Dong12,ROWS($1:4)),),4,1)="X",OFFSET(TH!I$1,SMALL(Dong12,ROWS($1:4)),),0))</f>
        <v>50</v>
      </c>
      <c r="I17" s="416">
        <f t="shared" ca="1" si="1"/>
        <v>0</v>
      </c>
      <c r="J17" s="417"/>
      <c r="K17" s="418"/>
    </row>
    <row r="18" spans="1:11" ht="16.5" customHeight="1">
      <c r="A18" s="419">
        <f t="shared" ca="1" si="2"/>
        <v>5</v>
      </c>
      <c r="B18" s="414">
        <f ca="1">IF(ROWS($1:5)&gt;COUNT(Dong12),"",OFFSET(TH!E$1,SMALL(Dong12,ROWS($1:5)),))</f>
        <v>40745</v>
      </c>
      <c r="C18" s="478" t="str">
        <f ca="1">IF(ROWS($1:5)&gt;COUNT(Dong12),"",IF(MID(OFFSET(TH!D$1,SMALL(Dong12,ROWS($1:5)),),4,1)="N",OFFSET(TH!D$1,SMALL(Dong12,ROWS($1:5)),),""))</f>
        <v>VL/N01</v>
      </c>
      <c r="D18" s="414" t="str">
        <f ca="1">IF(ROWS($1:5)&gt;COUNT(Dong12),"",IF(MID(OFFSET(TH!D$1,SMALL(Dong12,ROWS($1:5)),),4,1)="X",OFFSET(TH!D$1,SMALL(Dong12,ROWS($1:5)),),""))</f>
        <v/>
      </c>
      <c r="E18" s="686" t="str">
        <f ca="1">IF(ROWS($1:5)&gt;COUNT(Dong12),"",OFFSET(TH!H$1,SMALL(Dong12,ROWS($1:5)),))</f>
        <v>Cơ Sở Kéo Kẽm Thành Dũng</v>
      </c>
      <c r="F18" s="414">
        <f t="shared" ca="1" si="0"/>
        <v>40745</v>
      </c>
      <c r="G18" s="415">
        <f ca="1">IF(ROWS($1:5)&gt;COUNT(Dong12),0,IF(MID(OFFSET(TH!D$1,SMALL(Dong12,ROWS($1:5)),),4,1)="N",OFFSET(TH!I$1,SMALL(Dong12,ROWS($1:5)),),0))</f>
        <v>50</v>
      </c>
      <c r="H18" s="415">
        <f ca="1">IF(ROWS($1:5)&gt;COUNT(Dong12),0,IF(MID(OFFSET(TH!D$1,SMALL(Dong12,ROWS($1:5)),),4,1)="X",OFFSET(TH!I$1,SMALL(Dong12,ROWS($1:5)),),0))</f>
        <v>0</v>
      </c>
      <c r="I18" s="416">
        <f t="shared" ca="1" si="1"/>
        <v>50</v>
      </c>
      <c r="J18" s="417"/>
      <c r="K18" s="418"/>
    </row>
    <row r="19" spans="1:11" ht="16.5" customHeight="1">
      <c r="A19" s="419">
        <f t="shared" ca="1" si="2"/>
        <v>6</v>
      </c>
      <c r="B19" s="414">
        <f ca="1">IF(ROWS($1:6)&gt;COUNT(Dong12),"",OFFSET(TH!E$1,SMALL(Dong12,ROWS($1:6)),))</f>
        <v>40745</v>
      </c>
      <c r="C19" s="478" t="str">
        <f ca="1">IF(ROWS($1:6)&gt;COUNT(Dong12),"",IF(MID(OFFSET(TH!D$1,SMALL(Dong12,ROWS($1:6)),),4,1)="N",OFFSET(TH!D$1,SMALL(Dong12,ROWS($1:6)),),""))</f>
        <v/>
      </c>
      <c r="D19" s="414" t="str">
        <f ca="1">IF(ROWS($1:6)&gt;COUNT(Dong12),"",IF(MID(OFFSET(TH!D$1,SMALL(Dong12,ROWS($1:6)),),4,1)="X",OFFSET(TH!D$1,SMALL(Dong12,ROWS($1:6)),),""))</f>
        <v>VL/X02</v>
      </c>
      <c r="E19" s="686" t="str">
        <f ca="1">IF(ROWS($1:6)&gt;COUNT(Dong12),"",OFFSET(TH!H$1,SMALL(Dong12,ROWS($1:6)),))</f>
        <v>Bộ phận SX</v>
      </c>
      <c r="F19" s="414">
        <f t="shared" ca="1" si="0"/>
        <v>40745</v>
      </c>
      <c r="G19" s="415">
        <f ca="1">IF(ROWS($1:6)&gt;COUNT(Dong12),0,IF(MID(OFFSET(TH!D$1,SMALL(Dong12,ROWS($1:6)),),4,1)="N",OFFSET(TH!I$1,SMALL(Dong12,ROWS($1:6)),),0))</f>
        <v>0</v>
      </c>
      <c r="H19" s="415">
        <f ca="1">IF(ROWS($1:6)&gt;COUNT(Dong12),0,IF(MID(OFFSET(TH!D$1,SMALL(Dong12,ROWS($1:6)),),4,1)="X",OFFSET(TH!I$1,SMALL(Dong12,ROWS($1:6)),),0))</f>
        <v>50</v>
      </c>
      <c r="I19" s="416">
        <f t="shared" ca="1" si="1"/>
        <v>0</v>
      </c>
      <c r="J19" s="417"/>
      <c r="K19" s="418"/>
    </row>
    <row r="20" spans="1:11" ht="16.5" customHeight="1">
      <c r="A20" s="419">
        <f t="shared" ca="1" si="2"/>
        <v>7</v>
      </c>
      <c r="B20" s="414">
        <f ca="1">IF(ROWS($1:7)&gt;COUNT(Dong12),"",OFFSET(TH!E$1,SMALL(Dong12,ROWS($1:7)),))</f>
        <v>40808</v>
      </c>
      <c r="C20" s="478" t="str">
        <f ca="1">IF(ROWS($1:7)&gt;COUNT(Dong12),"",IF(MID(OFFSET(TH!D$1,SMALL(Dong12,ROWS($1:7)),),4,1)="N",OFFSET(TH!D$1,SMALL(Dong12,ROWS($1:7)),),""))</f>
        <v>VL/N02</v>
      </c>
      <c r="D20" s="414" t="str">
        <f ca="1">IF(ROWS($1:7)&gt;COUNT(Dong12),"",IF(MID(OFFSET(TH!D$1,SMALL(Dong12,ROWS($1:7)),),4,1)="X",OFFSET(TH!D$1,SMALL(Dong12,ROWS($1:7)),),""))</f>
        <v/>
      </c>
      <c r="E20" s="686" t="str">
        <f ca="1">IF(ROWS($1:7)&gt;COUNT(Dong12),"",OFFSET(TH!H$1,SMALL(Dong12,ROWS($1:7)),))</f>
        <v>Cơ Sở Kéo Kẽm Thành Dũng</v>
      </c>
      <c r="F20" s="414">
        <f t="shared" ca="1" si="0"/>
        <v>40808</v>
      </c>
      <c r="G20" s="415">
        <f ca="1">IF(ROWS($1:7)&gt;COUNT(Dong12),0,IF(MID(OFFSET(TH!D$1,SMALL(Dong12,ROWS($1:7)),),4,1)="N",OFFSET(TH!I$1,SMALL(Dong12,ROWS($1:7)),),0))</f>
        <v>50</v>
      </c>
      <c r="H20" s="415">
        <f ca="1">IF(ROWS($1:7)&gt;COUNT(Dong12),0,IF(MID(OFFSET(TH!D$1,SMALL(Dong12,ROWS($1:7)),),4,1)="X",OFFSET(TH!I$1,SMALL(Dong12,ROWS($1:7)),),0))</f>
        <v>0</v>
      </c>
      <c r="I20" s="416">
        <f t="shared" ca="1" si="1"/>
        <v>50</v>
      </c>
      <c r="J20" s="417"/>
      <c r="K20" s="418"/>
    </row>
    <row r="21" spans="1:11" ht="16.5" customHeight="1">
      <c r="A21" s="419">
        <f t="shared" ca="1" si="2"/>
        <v>8</v>
      </c>
      <c r="B21" s="414">
        <f ca="1">IF(ROWS($1:8)&gt;COUNT(Dong12),"",OFFSET(TH!E$1,SMALL(Dong12,ROWS($1:8)),))</f>
        <v>40817</v>
      </c>
      <c r="C21" s="478" t="str">
        <f ca="1">IF(ROWS($1:8)&gt;COUNT(Dong12),"",IF(MID(OFFSET(TH!D$1,SMALL(Dong12,ROWS($1:8)),),4,1)="N",OFFSET(TH!D$1,SMALL(Dong12,ROWS($1:8)),),""))</f>
        <v/>
      </c>
      <c r="D21" s="414" t="str">
        <f ca="1">IF(ROWS($1:8)&gt;COUNT(Dong12),"",IF(MID(OFFSET(TH!D$1,SMALL(Dong12,ROWS($1:8)),),4,1)="X",OFFSET(TH!D$1,SMALL(Dong12,ROWS($1:8)),),""))</f>
        <v>VL/X01</v>
      </c>
      <c r="E21" s="686" t="str">
        <f ca="1">IF(ROWS($1:8)&gt;COUNT(Dong12),"",OFFSET(TH!H$1,SMALL(Dong12,ROWS($1:8)),))</f>
        <v>Bộ phận SX</v>
      </c>
      <c r="F21" s="414">
        <f t="shared" ca="1" si="0"/>
        <v>40817</v>
      </c>
      <c r="G21" s="415">
        <f ca="1">IF(ROWS($1:8)&gt;COUNT(Dong12),0,IF(MID(OFFSET(TH!D$1,SMALL(Dong12,ROWS($1:8)),),4,1)="N",OFFSET(TH!I$1,SMALL(Dong12,ROWS($1:8)),),0))</f>
        <v>0</v>
      </c>
      <c r="H21" s="415">
        <f ca="1">IF(ROWS($1:8)&gt;COUNT(Dong12),0,IF(MID(OFFSET(TH!D$1,SMALL(Dong12,ROWS($1:8)),),4,1)="X",OFFSET(TH!I$1,SMALL(Dong12,ROWS($1:8)),),0))</f>
        <v>50</v>
      </c>
      <c r="I21" s="416">
        <f t="shared" ca="1" si="1"/>
        <v>0</v>
      </c>
      <c r="J21" s="417"/>
      <c r="K21" s="418"/>
    </row>
    <row r="22" spans="1:11" ht="16.5" customHeight="1">
      <c r="A22" s="419">
        <f t="shared" ca="1" si="2"/>
        <v>9</v>
      </c>
      <c r="B22" s="414">
        <f ca="1">IF(ROWS($1:9)&gt;COUNT(Dong12),"",OFFSET(TH!E$1,SMALL(Dong12,ROWS($1:9)),))</f>
        <v>40847</v>
      </c>
      <c r="C22" s="478" t="str">
        <f ca="1">IF(ROWS($1:9)&gt;COUNT(Dong12),"",IF(MID(OFFSET(TH!D$1,SMALL(Dong12,ROWS($1:9)),),4,1)="N",OFFSET(TH!D$1,SMALL(Dong12,ROWS($1:9)),),""))</f>
        <v>VL/N02</v>
      </c>
      <c r="D22" s="414" t="str">
        <f ca="1">IF(ROWS($1:9)&gt;COUNT(Dong12),"",IF(MID(OFFSET(TH!D$1,SMALL(Dong12,ROWS($1:9)),),4,1)="X",OFFSET(TH!D$1,SMALL(Dong12,ROWS($1:9)),),""))</f>
        <v/>
      </c>
      <c r="E22" s="686" t="str">
        <f ca="1">IF(ROWS($1:9)&gt;COUNT(Dong12),"",OFFSET(TH!H$1,SMALL(Dong12,ROWS($1:9)),))</f>
        <v>Cơ Sở Kéo Kẽm Thành Dũng</v>
      </c>
      <c r="F22" s="414">
        <f t="shared" ca="1" si="0"/>
        <v>40847</v>
      </c>
      <c r="G22" s="415">
        <f ca="1">IF(ROWS($1:9)&gt;COUNT(Dong12),0,IF(MID(OFFSET(TH!D$1,SMALL(Dong12,ROWS($1:9)),),4,1)="N",OFFSET(TH!I$1,SMALL(Dong12,ROWS($1:9)),),0))</f>
        <v>100</v>
      </c>
      <c r="H22" s="415">
        <f ca="1">IF(ROWS($1:9)&gt;COUNT(Dong12),0,IF(MID(OFFSET(TH!D$1,SMALL(Dong12,ROWS($1:9)),),4,1)="X",OFFSET(TH!I$1,SMALL(Dong12,ROWS($1:9)),),0))</f>
        <v>0</v>
      </c>
      <c r="I22" s="416">
        <f t="shared" ca="1" si="1"/>
        <v>100</v>
      </c>
      <c r="J22" s="417"/>
      <c r="K22" s="418"/>
    </row>
    <row r="23" spans="1:11" ht="16.5" customHeight="1">
      <c r="A23" s="419">
        <f t="shared" ca="1" si="2"/>
        <v>10</v>
      </c>
      <c r="B23" s="414">
        <f ca="1">IF(ROWS($1:10)&gt;COUNT(Dong12),"",OFFSET(TH!E$1,SMALL(Dong12,ROWS($1:10)),))</f>
        <v>40847</v>
      </c>
      <c r="C23" s="478" t="str">
        <f ca="1">IF(ROWS($1:10)&gt;COUNT(Dong12),"",IF(MID(OFFSET(TH!D$1,SMALL(Dong12,ROWS($1:10)),),4,1)="N",OFFSET(TH!D$1,SMALL(Dong12,ROWS($1:10)),),""))</f>
        <v/>
      </c>
      <c r="D23" s="414" t="str">
        <f ca="1">IF(ROWS($1:10)&gt;COUNT(Dong12),"",IF(MID(OFFSET(TH!D$1,SMALL(Dong12,ROWS($1:10)),),4,1)="X",OFFSET(TH!D$1,SMALL(Dong12,ROWS($1:10)),),""))</f>
        <v>VL/X03</v>
      </c>
      <c r="E23" s="686" t="str">
        <f ca="1">IF(ROWS($1:10)&gt;COUNT(Dong12),"",OFFSET(TH!H$1,SMALL(Dong12,ROWS($1:10)),))</f>
        <v>Bộ phận SX</v>
      </c>
      <c r="F23" s="414">
        <f t="shared" ca="1" si="0"/>
        <v>40847</v>
      </c>
      <c r="G23" s="415">
        <f ca="1">IF(ROWS($1:10)&gt;COUNT(Dong12),0,IF(MID(OFFSET(TH!D$1,SMALL(Dong12,ROWS($1:10)),),4,1)="N",OFFSET(TH!I$1,SMALL(Dong12,ROWS($1:10)),),0))</f>
        <v>0</v>
      </c>
      <c r="H23" s="415">
        <f ca="1">IF(ROWS($1:10)&gt;COUNT(Dong12),0,IF(MID(OFFSET(TH!D$1,SMALL(Dong12,ROWS($1:10)),),4,1)="X",OFFSET(TH!I$1,SMALL(Dong12,ROWS($1:10)),),0))</f>
        <v>50</v>
      </c>
      <c r="I23" s="416">
        <f t="shared" ca="1" si="1"/>
        <v>50</v>
      </c>
      <c r="J23" s="417"/>
      <c r="K23" s="418"/>
    </row>
    <row r="24" spans="1:11" ht="16.5" customHeight="1">
      <c r="A24" s="419" t="str">
        <f t="shared" ca="1" si="2"/>
        <v/>
      </c>
      <c r="B24" s="414" t="str">
        <f ca="1">IF(ROWS($1:11)&gt;COUNT(Dong12),"",OFFSET(TH!E$1,SMALL(Dong12,ROWS($1:11)),))</f>
        <v/>
      </c>
      <c r="C24" s="478" t="str">
        <f ca="1">IF(ROWS($1:11)&gt;COUNT(Dong12),"",IF(MID(OFFSET(TH!D$1,SMALL(Dong12,ROWS($1:11)),),4,1)="N",OFFSET(TH!D$1,SMALL(Dong12,ROWS($1:11)),),""))</f>
        <v/>
      </c>
      <c r="D24" s="414" t="str">
        <f ca="1">IF(ROWS($1:11)&gt;COUNT(Dong12),"",IF(MID(OFFSET(TH!D$1,SMALL(Dong12,ROWS($1:11)),),4,1)="X",OFFSET(TH!D$1,SMALL(Dong12,ROWS($1:11)),),""))</f>
        <v/>
      </c>
      <c r="E24" s="686" t="str">
        <f ca="1">IF(ROWS($1:11)&gt;COUNT(Dong12),"",OFFSET(TH!H$1,SMALL(Dong12,ROWS($1:11)),))</f>
        <v/>
      </c>
      <c r="F24" s="414" t="str">
        <f t="shared" ca="1" si="0"/>
        <v/>
      </c>
      <c r="G24" s="415">
        <f ca="1">IF(ROWS($1:11)&gt;COUNT(Dong12),0,IF(MID(OFFSET(TH!D$1,SMALL(Dong12,ROWS($1:11)),),4,1)="N",OFFSET(TH!I$1,SMALL(Dong12,ROWS($1:11)),),0))</f>
        <v>0</v>
      </c>
      <c r="H24" s="415">
        <f ca="1">IF(ROWS($1:11)&gt;COUNT(Dong12),0,IF(MID(OFFSET(TH!D$1,SMALL(Dong12,ROWS($1:11)),),4,1)="X",OFFSET(TH!I$1,SMALL(Dong12,ROWS($1:11)),),0))</f>
        <v>0</v>
      </c>
      <c r="I24" s="416">
        <f t="shared" ca="1" si="1"/>
        <v>0</v>
      </c>
      <c r="J24" s="417"/>
      <c r="K24" s="418"/>
    </row>
    <row r="25" spans="1:11" ht="16.5" customHeight="1">
      <c r="A25" s="419" t="str">
        <f t="shared" ca="1" si="2"/>
        <v/>
      </c>
      <c r="B25" s="414" t="str">
        <f ca="1">IF(ROWS($1:12)&gt;COUNT(Dong12),"",OFFSET(TH!E$1,SMALL(Dong12,ROWS($1:12)),))</f>
        <v/>
      </c>
      <c r="C25" s="478" t="str">
        <f ca="1">IF(ROWS($1:12)&gt;COUNT(Dong12),"",IF(MID(OFFSET(TH!D$1,SMALL(Dong12,ROWS($1:12)),),4,1)="N",OFFSET(TH!D$1,SMALL(Dong12,ROWS($1:12)),),""))</f>
        <v/>
      </c>
      <c r="D25" s="414" t="str">
        <f ca="1">IF(ROWS($1:12)&gt;COUNT(Dong12),"",IF(MID(OFFSET(TH!D$1,SMALL(Dong12,ROWS($1:12)),),4,1)="X",OFFSET(TH!D$1,SMALL(Dong12,ROWS($1:12)),),""))</f>
        <v/>
      </c>
      <c r="E25" s="686" t="str">
        <f ca="1">IF(ROWS($1:12)&gt;COUNT(Dong12),"",OFFSET(TH!H$1,SMALL(Dong12,ROWS($1:12)),))</f>
        <v/>
      </c>
      <c r="F25" s="414" t="str">
        <f t="shared" ca="1" si="0"/>
        <v/>
      </c>
      <c r="G25" s="415">
        <f ca="1">IF(ROWS($1:12)&gt;COUNT(Dong12),0,IF(MID(OFFSET(TH!D$1,SMALL(Dong12,ROWS($1:12)),),4,1)="N",OFFSET(TH!I$1,SMALL(Dong12,ROWS($1:12)),),0))</f>
        <v>0</v>
      </c>
      <c r="H25" s="415">
        <f ca="1">IF(ROWS($1:12)&gt;COUNT(Dong12),0,IF(MID(OFFSET(TH!D$1,SMALL(Dong12,ROWS($1:12)),),4,1)="X",OFFSET(TH!I$1,SMALL(Dong12,ROWS($1:12)),),0))</f>
        <v>0</v>
      </c>
      <c r="I25" s="416">
        <f t="shared" ca="1" si="1"/>
        <v>0</v>
      </c>
      <c r="J25" s="417"/>
      <c r="K25" s="418"/>
    </row>
    <row r="26" spans="1:11" ht="16.5" customHeight="1">
      <c r="A26" s="419" t="str">
        <f t="shared" ca="1" si="2"/>
        <v/>
      </c>
      <c r="B26" s="414" t="str">
        <f ca="1">IF(ROWS($1:13)&gt;COUNT(Dong12),"",OFFSET(TH!E$1,SMALL(Dong12,ROWS($1:13)),))</f>
        <v/>
      </c>
      <c r="C26" s="478" t="str">
        <f ca="1">IF(ROWS($1:13)&gt;COUNT(Dong12),"",IF(MID(OFFSET(TH!D$1,SMALL(Dong12,ROWS($1:13)),),4,1)="N",OFFSET(TH!D$1,SMALL(Dong12,ROWS($1:13)),),""))</f>
        <v/>
      </c>
      <c r="D26" s="414" t="str">
        <f ca="1">IF(ROWS($1:13)&gt;COUNT(Dong12),"",IF(MID(OFFSET(TH!D$1,SMALL(Dong12,ROWS($1:13)),),4,1)="X",OFFSET(TH!D$1,SMALL(Dong12,ROWS($1:13)),),""))</f>
        <v/>
      </c>
      <c r="E26" s="686" t="str">
        <f ca="1">IF(ROWS($1:13)&gt;COUNT(Dong12),"",OFFSET(TH!H$1,SMALL(Dong12,ROWS($1:13)),))</f>
        <v/>
      </c>
      <c r="F26" s="414" t="str">
        <f t="shared" ca="1" si="0"/>
        <v/>
      </c>
      <c r="G26" s="415">
        <f ca="1">IF(ROWS($1:13)&gt;COUNT(Dong12),0,IF(MID(OFFSET(TH!D$1,SMALL(Dong12,ROWS($1:13)),),4,1)="N",OFFSET(TH!I$1,SMALL(Dong12,ROWS($1:13)),),0))</f>
        <v>0</v>
      </c>
      <c r="H26" s="415">
        <f ca="1">IF(ROWS($1:13)&gt;COUNT(Dong12),0,IF(MID(OFFSET(TH!D$1,SMALL(Dong12,ROWS($1:13)),),4,1)="X",OFFSET(TH!I$1,SMALL(Dong12,ROWS($1:13)),),0))</f>
        <v>0</v>
      </c>
      <c r="I26" s="416">
        <f t="shared" ca="1" si="1"/>
        <v>0</v>
      </c>
      <c r="J26" s="417"/>
      <c r="K26" s="418"/>
    </row>
    <row r="27" spans="1:11" ht="16.5" customHeight="1">
      <c r="A27" s="419" t="str">
        <f t="shared" ca="1" si="2"/>
        <v/>
      </c>
      <c r="B27" s="414" t="str">
        <f ca="1">IF(ROWS($1:14)&gt;COUNT(Dong12),"",OFFSET(TH!E$1,SMALL(Dong12,ROWS($1:14)),))</f>
        <v/>
      </c>
      <c r="C27" s="478" t="str">
        <f ca="1">IF(ROWS($1:14)&gt;COUNT(Dong12),"",IF(MID(OFFSET(TH!D$1,SMALL(Dong12,ROWS($1:14)),),4,1)="N",OFFSET(TH!D$1,SMALL(Dong12,ROWS($1:14)),),""))</f>
        <v/>
      </c>
      <c r="D27" s="414" t="str">
        <f ca="1">IF(ROWS($1:14)&gt;COUNT(Dong12),"",IF(MID(OFFSET(TH!D$1,SMALL(Dong12,ROWS($1:14)),),4,1)="X",OFFSET(TH!D$1,SMALL(Dong12,ROWS($1:14)),),""))</f>
        <v/>
      </c>
      <c r="E27" s="686" t="str">
        <f ca="1">IF(ROWS($1:14)&gt;COUNT(Dong12),"",OFFSET(TH!H$1,SMALL(Dong12,ROWS($1:14)),))</f>
        <v/>
      </c>
      <c r="F27" s="414" t="str">
        <f t="shared" ca="1" si="0"/>
        <v/>
      </c>
      <c r="G27" s="415">
        <f ca="1">IF(ROWS($1:14)&gt;COUNT(Dong12),0,IF(MID(OFFSET(TH!D$1,SMALL(Dong12,ROWS($1:14)),),4,1)="N",OFFSET(TH!I$1,SMALL(Dong12,ROWS($1:14)),),0))</f>
        <v>0</v>
      </c>
      <c r="H27" s="415">
        <f ca="1">IF(ROWS($1:14)&gt;COUNT(Dong12),0,IF(MID(OFFSET(TH!D$1,SMALL(Dong12,ROWS($1:14)),),4,1)="X",OFFSET(TH!I$1,SMALL(Dong12,ROWS($1:14)),),0))</f>
        <v>0</v>
      </c>
      <c r="I27" s="416">
        <f t="shared" ca="1" si="1"/>
        <v>0</v>
      </c>
      <c r="J27" s="417"/>
      <c r="K27" s="418"/>
    </row>
    <row r="28" spans="1:11" ht="16.5" customHeight="1">
      <c r="A28" s="419" t="str">
        <f t="shared" ca="1" si="2"/>
        <v/>
      </c>
      <c r="B28" s="414" t="str">
        <f ca="1">IF(ROWS($1:15)&gt;COUNT(Dong12),"",OFFSET(TH!E$1,SMALL(Dong12,ROWS($1:15)),))</f>
        <v/>
      </c>
      <c r="C28" s="478" t="str">
        <f ca="1">IF(ROWS($1:15)&gt;COUNT(Dong12),"",IF(MID(OFFSET(TH!D$1,SMALL(Dong12,ROWS($1:15)),),4,1)="N",OFFSET(TH!D$1,SMALL(Dong12,ROWS($1:15)),),""))</f>
        <v/>
      </c>
      <c r="D28" s="414" t="str">
        <f ca="1">IF(ROWS($1:15)&gt;COUNT(Dong12),"",IF(MID(OFFSET(TH!D$1,SMALL(Dong12,ROWS($1:15)),),4,1)="X",OFFSET(TH!D$1,SMALL(Dong12,ROWS($1:15)),),""))</f>
        <v/>
      </c>
      <c r="E28" s="686" t="str">
        <f ca="1">IF(ROWS($1:15)&gt;COUNT(Dong12),"",OFFSET(TH!H$1,SMALL(Dong12,ROWS($1:15)),))</f>
        <v/>
      </c>
      <c r="F28" s="414" t="str">
        <f t="shared" ca="1" si="0"/>
        <v/>
      </c>
      <c r="G28" s="415">
        <f ca="1">IF(ROWS($1:15)&gt;COUNT(Dong12),0,IF(MID(OFFSET(TH!D$1,SMALL(Dong12,ROWS($1:15)),),4,1)="N",OFFSET(TH!I$1,SMALL(Dong12,ROWS($1:15)),),0))</f>
        <v>0</v>
      </c>
      <c r="H28" s="415">
        <f ca="1">IF(ROWS($1:15)&gt;COUNT(Dong12),0,IF(MID(OFFSET(TH!D$1,SMALL(Dong12,ROWS($1:15)),),4,1)="X",OFFSET(TH!I$1,SMALL(Dong12,ROWS($1:15)),),0))</f>
        <v>0</v>
      </c>
      <c r="I28" s="416">
        <f t="shared" ca="1" si="1"/>
        <v>0</v>
      </c>
      <c r="J28" s="417"/>
      <c r="K28" s="418"/>
    </row>
    <row r="29" spans="1:11" ht="16.5" customHeight="1">
      <c r="A29" s="419" t="str">
        <f t="shared" ca="1" si="2"/>
        <v/>
      </c>
      <c r="B29" s="414" t="str">
        <f ca="1">IF(ROWS($1:16)&gt;COUNT(Dong12),"",OFFSET(TH!E$1,SMALL(Dong12,ROWS($1:16)),))</f>
        <v/>
      </c>
      <c r="C29" s="478" t="str">
        <f ca="1">IF(ROWS($1:16)&gt;COUNT(Dong12),"",IF(MID(OFFSET(TH!D$1,SMALL(Dong12,ROWS($1:16)),),4,1)="N",OFFSET(TH!D$1,SMALL(Dong12,ROWS($1:16)),),""))</f>
        <v/>
      </c>
      <c r="D29" s="414" t="str">
        <f ca="1">IF(ROWS($1:16)&gt;COUNT(Dong12),"",IF(MID(OFFSET(TH!D$1,SMALL(Dong12,ROWS($1:16)),),4,1)="X",OFFSET(TH!D$1,SMALL(Dong12,ROWS($1:16)),),""))</f>
        <v/>
      </c>
      <c r="E29" s="686" t="str">
        <f ca="1">IF(ROWS($1:16)&gt;COUNT(Dong12),"",OFFSET(TH!H$1,SMALL(Dong12,ROWS($1:16)),))</f>
        <v/>
      </c>
      <c r="F29" s="414" t="str">
        <f t="shared" ca="1" si="0"/>
        <v/>
      </c>
      <c r="G29" s="415">
        <f ca="1">IF(ROWS($1:16)&gt;COUNT(Dong12),0,IF(MID(OFFSET(TH!D$1,SMALL(Dong12,ROWS($1:16)),),4,1)="N",OFFSET(TH!I$1,SMALL(Dong12,ROWS($1:16)),),0))</f>
        <v>0</v>
      </c>
      <c r="H29" s="415">
        <f ca="1">IF(ROWS($1:16)&gt;COUNT(Dong12),0,IF(MID(OFFSET(TH!D$1,SMALL(Dong12,ROWS($1:16)),),4,1)="X",OFFSET(TH!I$1,SMALL(Dong12,ROWS($1:16)),),0))</f>
        <v>0</v>
      </c>
      <c r="I29" s="416">
        <f t="shared" ca="1" si="1"/>
        <v>0</v>
      </c>
      <c r="J29" s="417"/>
      <c r="K29" s="418"/>
    </row>
    <row r="30" spans="1:11" ht="16.5" customHeight="1">
      <c r="A30" s="419" t="str">
        <f t="shared" ca="1" si="2"/>
        <v/>
      </c>
      <c r="B30" s="414" t="str">
        <f ca="1">IF(ROWS($1:17)&gt;COUNT(Dong12),"",OFFSET(TH!E$1,SMALL(Dong12,ROWS($1:17)),))</f>
        <v/>
      </c>
      <c r="C30" s="478" t="str">
        <f ca="1">IF(ROWS($1:17)&gt;COUNT(Dong12),"",IF(MID(OFFSET(TH!D$1,SMALL(Dong12,ROWS($1:17)),),4,1)="N",OFFSET(TH!D$1,SMALL(Dong12,ROWS($1:17)),),""))</f>
        <v/>
      </c>
      <c r="D30" s="414" t="str">
        <f ca="1">IF(ROWS($1:17)&gt;COUNT(Dong12),"",IF(MID(OFFSET(TH!D$1,SMALL(Dong12,ROWS($1:17)),),4,1)="X",OFFSET(TH!D$1,SMALL(Dong12,ROWS($1:17)),),""))</f>
        <v/>
      </c>
      <c r="E30" s="686" t="str">
        <f ca="1">IF(ROWS($1:17)&gt;COUNT(Dong12),"",OFFSET(TH!H$1,SMALL(Dong12,ROWS($1:17)),))</f>
        <v/>
      </c>
      <c r="F30" s="414" t="str">
        <f t="shared" ca="1" si="0"/>
        <v/>
      </c>
      <c r="G30" s="415">
        <f ca="1">IF(ROWS($1:17)&gt;COUNT(Dong12),0,IF(MID(OFFSET(TH!D$1,SMALL(Dong12,ROWS($1:17)),),4,1)="N",OFFSET(TH!I$1,SMALL(Dong12,ROWS($1:17)),),0))</f>
        <v>0</v>
      </c>
      <c r="H30" s="415">
        <f ca="1">IF(ROWS($1:17)&gt;COUNT(Dong12),0,IF(MID(OFFSET(TH!D$1,SMALL(Dong12,ROWS($1:17)),),4,1)="X",OFFSET(TH!I$1,SMALL(Dong12,ROWS($1:17)),),0))</f>
        <v>0</v>
      </c>
      <c r="I30" s="416">
        <f t="shared" ca="1" si="1"/>
        <v>0</v>
      </c>
      <c r="J30" s="417"/>
      <c r="K30" s="418"/>
    </row>
    <row r="31" spans="1:11" ht="16.5" customHeight="1">
      <c r="A31" s="420" t="str">
        <f>IF(D31&lt;&gt;"",A21+1,"")</f>
        <v/>
      </c>
      <c r="B31" s="421"/>
      <c r="C31" s="422"/>
      <c r="D31" s="422"/>
      <c r="E31" s="687"/>
      <c r="F31" s="421"/>
      <c r="G31" s="423"/>
      <c r="H31" s="423"/>
      <c r="I31" s="423"/>
      <c r="J31" s="424"/>
      <c r="K31" s="418"/>
    </row>
    <row r="32" spans="1:11" ht="16.5" customHeight="1">
      <c r="A32" s="408"/>
      <c r="B32" s="425"/>
      <c r="C32" s="408"/>
      <c r="D32" s="408"/>
      <c r="E32" s="409" t="s">
        <v>243</v>
      </c>
      <c r="F32" s="426" t="s">
        <v>19</v>
      </c>
      <c r="G32" s="427">
        <f ca="1">SUM(G14:G31)</f>
        <v>300</v>
      </c>
      <c r="H32" s="427">
        <f ca="1">SUM(H14:H31)</f>
        <v>250</v>
      </c>
      <c r="I32" s="427">
        <f ca="1">I13+G32-H32</f>
        <v>50</v>
      </c>
      <c r="J32" s="408" t="s">
        <v>19</v>
      </c>
      <c r="K32" s="428"/>
    </row>
    <row r="33" spans="1:11" ht="12.75" customHeight="1">
      <c r="A33" s="429"/>
      <c r="B33" s="387"/>
      <c r="C33" s="429"/>
      <c r="D33" s="429"/>
      <c r="E33" s="393"/>
      <c r="F33" s="387"/>
      <c r="G33" s="394"/>
      <c r="H33" s="394"/>
      <c r="I33" s="394"/>
      <c r="J33" s="383"/>
      <c r="K33" s="383"/>
    </row>
    <row r="34" spans="1:11" ht="15">
      <c r="A34" s="430" t="s">
        <v>244</v>
      </c>
      <c r="B34" s="430"/>
      <c r="C34" s="431"/>
      <c r="D34" s="431"/>
      <c r="E34" s="393"/>
      <c r="F34" s="387"/>
      <c r="G34" s="394"/>
      <c r="H34" s="394"/>
      <c r="I34" s="394"/>
      <c r="J34" s="383"/>
      <c r="K34" s="383"/>
    </row>
    <row r="35" spans="1:11" ht="15">
      <c r="A35" s="108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81"/>
      <c r="C35" s="1081"/>
      <c r="D35" s="1081"/>
      <c r="E35" s="1081"/>
      <c r="F35" s="387"/>
      <c r="G35" s="394"/>
      <c r="H35" s="394"/>
      <c r="I35" s="394"/>
      <c r="J35" s="383"/>
      <c r="K35" s="383"/>
    </row>
    <row r="36" spans="1:11" ht="15">
      <c r="A36" s="432"/>
      <c r="B36" s="433"/>
      <c r="C36" s="434"/>
      <c r="D36" s="429"/>
      <c r="E36" s="393"/>
      <c r="F36" s="387"/>
      <c r="H36" s="315"/>
      <c r="I36" s="574" t="str">
        <f ca="1">"Ngày 31 tháng  12  năm  "&amp;YEAR($B$14)</f>
        <v>Ngày 31 tháng  12  năm  2011</v>
      </c>
      <c r="J36" s="315"/>
      <c r="K36" s="316"/>
    </row>
    <row r="37" spans="1:11" ht="15" customHeight="1">
      <c r="A37" s="432"/>
      <c r="C37" s="435" t="s">
        <v>245</v>
      </c>
      <c r="D37" s="429"/>
      <c r="E37" s="1082" t="s">
        <v>12</v>
      </c>
      <c r="F37" s="1082"/>
      <c r="G37" s="394"/>
      <c r="I37" s="607" t="s">
        <v>109</v>
      </c>
      <c r="J37" s="385"/>
      <c r="K37" s="432"/>
    </row>
    <row r="38" spans="1:11" ht="15" customHeight="1">
      <c r="A38" s="436"/>
      <c r="C38" s="437" t="s">
        <v>13</v>
      </c>
      <c r="D38" s="438"/>
      <c r="E38" s="1075" t="s">
        <v>13</v>
      </c>
      <c r="F38" s="1075"/>
      <c r="G38" s="394"/>
      <c r="I38" s="608" t="s">
        <v>136</v>
      </c>
      <c r="J38" s="606"/>
      <c r="K38" s="436"/>
    </row>
    <row r="39" spans="1:11" ht="15">
      <c r="A39" s="436"/>
      <c r="C39" s="437"/>
      <c r="D39" s="429"/>
      <c r="E39" s="439"/>
      <c r="F39" s="440"/>
      <c r="G39" s="394"/>
      <c r="H39" s="436"/>
      <c r="I39" s="436"/>
      <c r="J39" s="436"/>
      <c r="K39" s="436"/>
    </row>
    <row r="40" spans="1:11" ht="15">
      <c r="A40" s="436"/>
      <c r="B40" s="437"/>
      <c r="C40" s="436"/>
      <c r="D40" s="429"/>
      <c r="E40" s="439"/>
      <c r="F40" s="440"/>
      <c r="G40" s="394"/>
      <c r="H40" s="436"/>
      <c r="I40" s="436"/>
      <c r="J40" s="436"/>
      <c r="K40" s="436"/>
    </row>
    <row r="41" spans="1:11" ht="15">
      <c r="A41" s="436"/>
      <c r="B41" s="437"/>
      <c r="C41" s="436"/>
      <c r="D41" s="429"/>
      <c r="E41" s="439"/>
      <c r="F41" s="440"/>
      <c r="G41" s="394"/>
      <c r="H41" s="436"/>
      <c r="I41" s="436"/>
      <c r="J41" s="436"/>
      <c r="K41" s="436"/>
    </row>
    <row r="46" spans="1:11" ht="15">
      <c r="C46" s="609" t="s">
        <v>348</v>
      </c>
      <c r="H46" s="605"/>
      <c r="I46" s="604" t="s">
        <v>103</v>
      </c>
      <c r="J46" s="60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80" customWidth="1"/>
    <col min="2" max="2" width="23.140625" style="780" customWidth="1"/>
    <col min="3" max="3" width="12.140625" style="780" customWidth="1"/>
    <col min="4" max="4" width="11" style="780" customWidth="1"/>
    <col min="5" max="5" width="9.7109375" style="780" customWidth="1"/>
    <col min="6" max="6" width="11.140625" style="780" customWidth="1"/>
    <col min="7" max="7" width="10.140625" style="780" customWidth="1"/>
    <col min="8" max="8" width="10.85546875" style="780" customWidth="1"/>
    <col min="9" max="9" width="9.7109375" style="780" customWidth="1"/>
    <col min="10" max="10" width="13.7109375" style="447" hidden="1" customWidth="1"/>
    <col min="11" max="11" width="12" style="780" customWidth="1"/>
    <col min="12" max="13" width="7.42578125" style="780" customWidth="1"/>
    <col min="14" max="14" width="7.140625" style="792" customWidth="1"/>
    <col min="15" max="15" width="2" style="792" customWidth="1"/>
    <col min="16" max="16" width="23" style="780" customWidth="1"/>
    <col min="17" max="17" width="10.140625" style="793" customWidth="1"/>
    <col min="18" max="18" width="6.42578125" style="794" customWidth="1"/>
    <col min="19" max="19" width="7" style="852" customWidth="1"/>
    <col min="20" max="20" width="7.5703125" style="298" customWidth="1"/>
    <col min="21" max="21" width="12.42578125" style="780" customWidth="1"/>
    <col min="22" max="22" width="15.85546875" style="780" customWidth="1"/>
    <col min="23" max="23" width="8.28515625" style="793" customWidth="1"/>
    <col min="24" max="24" width="7.5703125" style="298" customWidth="1"/>
    <col min="25" max="25" width="9" style="298" customWidth="1"/>
    <col min="26" max="26" width="9.7109375" style="780" customWidth="1"/>
    <col min="27" max="27" width="10.28515625" style="780" customWidth="1"/>
    <col min="28" max="16384" width="10.28515625" style="780"/>
  </cols>
  <sheetData>
    <row r="1" spans="1:28">
      <c r="B1" s="780">
        <v>1</v>
      </c>
      <c r="C1" s="780">
        <v>5</v>
      </c>
      <c r="D1" s="780">
        <v>6</v>
      </c>
      <c r="E1" s="780">
        <v>7</v>
      </c>
      <c r="F1" s="780">
        <v>8</v>
      </c>
      <c r="G1" s="780">
        <v>9</v>
      </c>
      <c r="H1" s="780">
        <v>10</v>
      </c>
      <c r="I1" s="780">
        <v>11</v>
      </c>
      <c r="J1" s="447">
        <v>12</v>
      </c>
      <c r="K1" s="780">
        <v>13</v>
      </c>
      <c r="L1" s="780">
        <v>14</v>
      </c>
      <c r="M1" s="780">
        <v>15</v>
      </c>
    </row>
    <row r="2" spans="1:28" ht="18" customHeight="1">
      <c r="A2" s="588" t="str">
        <f>TH!$A$1</f>
        <v>Đơn vị: CÔNG TY TNHH SX TM KIM DUNG PHÁT</v>
      </c>
      <c r="B2" s="781"/>
      <c r="C2" s="298"/>
      <c r="D2" s="298"/>
      <c r="E2" s="298"/>
      <c r="F2" s="298"/>
      <c r="G2" s="298"/>
      <c r="H2" s="298"/>
      <c r="I2" s="298"/>
      <c r="J2" s="448"/>
      <c r="K2" s="298"/>
      <c r="L2" s="616"/>
      <c r="M2" s="298"/>
      <c r="N2" s="795"/>
      <c r="O2" s="795"/>
      <c r="P2" s="298"/>
      <c r="Q2" s="774"/>
      <c r="V2" s="298"/>
      <c r="W2" s="774"/>
    </row>
    <row r="3" spans="1:28" ht="18.75" customHeight="1">
      <c r="A3" s="782" t="s">
        <v>795</v>
      </c>
      <c r="B3" s="782"/>
      <c r="C3" s="782"/>
      <c r="D3" s="782"/>
      <c r="E3" s="782"/>
      <c r="F3" s="782"/>
      <c r="G3" s="782"/>
      <c r="H3" s="782"/>
      <c r="I3" s="782"/>
      <c r="J3" s="449"/>
      <c r="K3" s="782"/>
      <c r="L3" s="782"/>
      <c r="M3" s="782"/>
      <c r="N3" s="795"/>
      <c r="O3" s="795"/>
      <c r="P3" s="298"/>
      <c r="Q3" s="774"/>
      <c r="V3" s="298"/>
      <c r="W3" s="774"/>
    </row>
    <row r="4" spans="1:28" ht="18.75" customHeight="1">
      <c r="A4" s="782"/>
      <c r="B4" s="783"/>
      <c r="C4" s="783"/>
      <c r="D4" s="783"/>
      <c r="E4" s="783"/>
      <c r="F4" s="783"/>
      <c r="G4" s="783"/>
      <c r="H4" s="783"/>
      <c r="I4" s="782"/>
      <c r="J4" s="450"/>
      <c r="K4" s="783"/>
      <c r="L4" s="796"/>
      <c r="M4" s="783"/>
      <c r="N4" s="795"/>
      <c r="O4" s="795"/>
      <c r="P4" s="298"/>
      <c r="Q4" s="774"/>
      <c r="V4" s="298"/>
      <c r="W4" s="774"/>
    </row>
    <row r="5" spans="1:28" ht="12.75" customHeight="1">
      <c r="A5" s="838"/>
      <c r="B5" s="830"/>
      <c r="C5" s="830"/>
      <c r="D5" s="830"/>
      <c r="E5" s="830"/>
      <c r="F5" s="830"/>
      <c r="G5" s="830"/>
      <c r="H5" s="830"/>
      <c r="I5" s="830"/>
      <c r="J5" s="451"/>
      <c r="K5" s="830"/>
      <c r="L5" s="797"/>
      <c r="M5" s="830"/>
      <c r="N5" s="795"/>
      <c r="O5" s="795"/>
      <c r="P5" s="790"/>
      <c r="Q5" s="838"/>
      <c r="R5" s="838"/>
      <c r="S5" s="853"/>
      <c r="T5" s="798"/>
      <c r="U5" s="838"/>
      <c r="V5" s="838"/>
      <c r="W5" s="838"/>
      <c r="X5" s="838"/>
      <c r="Y5" s="838"/>
      <c r="Z5" s="838"/>
      <c r="AA5" s="790"/>
      <c r="AB5" s="790"/>
    </row>
    <row r="6" spans="1:28" s="457" customFormat="1" ht="30.75" customHeight="1">
      <c r="A6" s="866" t="s">
        <v>35</v>
      </c>
      <c r="B6" s="452" t="s">
        <v>246</v>
      </c>
      <c r="C6" s="453" t="s">
        <v>250</v>
      </c>
      <c r="D6" s="453" t="s">
        <v>810</v>
      </c>
      <c r="E6" s="453" t="s">
        <v>251</v>
      </c>
      <c r="F6" s="453" t="s">
        <v>794</v>
      </c>
      <c r="G6" s="453" t="s">
        <v>252</v>
      </c>
      <c r="H6" s="454" t="s">
        <v>253</v>
      </c>
      <c r="I6" s="453" t="s">
        <v>793</v>
      </c>
      <c r="J6" s="454" t="s">
        <v>254</v>
      </c>
      <c r="K6" s="453" t="s">
        <v>255</v>
      </c>
      <c r="L6" s="455" t="s">
        <v>248</v>
      </c>
      <c r="M6" s="453" t="s">
        <v>256</v>
      </c>
      <c r="N6" s="456"/>
      <c r="O6" s="456"/>
      <c r="P6" s="452" t="s">
        <v>246</v>
      </c>
      <c r="Q6" s="453" t="s">
        <v>240</v>
      </c>
      <c r="R6" s="775" t="s">
        <v>247</v>
      </c>
      <c r="S6" s="854" t="s">
        <v>205</v>
      </c>
      <c r="T6" s="453" t="s">
        <v>249</v>
      </c>
      <c r="U6" s="453" t="s">
        <v>257</v>
      </c>
      <c r="V6" s="452" t="s">
        <v>246</v>
      </c>
      <c r="W6" s="453" t="s">
        <v>240</v>
      </c>
      <c r="X6" s="453" t="s">
        <v>205</v>
      </c>
      <c r="Y6" s="453" t="s">
        <v>249</v>
      </c>
      <c r="Z6" s="452" t="s">
        <v>257</v>
      </c>
    </row>
    <row r="7" spans="1:28">
      <c r="A7" s="784" t="str">
        <f>IF(B7&lt;&gt;"",ROW()-(ROW()-1),"")</f>
        <v/>
      </c>
      <c r="B7" s="302"/>
      <c r="C7" s="25">
        <f>U7</f>
        <v>0</v>
      </c>
      <c r="D7" s="785">
        <f t="shared" ref="D7:I8" si="0">IF($L$10&lt;&gt;0,D$10/$L$10*$L7,0)</f>
        <v>0</v>
      </c>
      <c r="E7" s="785">
        <f t="shared" si="0"/>
        <v>0</v>
      </c>
      <c r="F7" s="785">
        <f t="shared" si="0"/>
        <v>0</v>
      </c>
      <c r="G7" s="785">
        <f t="shared" si="0"/>
        <v>0</v>
      </c>
      <c r="H7" s="785">
        <f t="shared" si="0"/>
        <v>0</v>
      </c>
      <c r="I7" s="785">
        <f t="shared" si="0"/>
        <v>0</v>
      </c>
      <c r="J7" s="369"/>
      <c r="K7" s="25">
        <f>C7+E7+D7+G7+I7+H7+J7</f>
        <v>0</v>
      </c>
      <c r="L7" s="785"/>
      <c r="M7" s="785" t="str">
        <f>IF(L7&lt;&gt;"",K7/L7,"")</f>
        <v/>
      </c>
      <c r="N7" s="799"/>
      <c r="O7" s="799"/>
      <c r="P7" s="458"/>
      <c r="Q7" s="800"/>
      <c r="R7" s="801"/>
      <c r="S7" s="310"/>
      <c r="T7" s="834"/>
      <c r="U7" s="25">
        <f>ROUND(S7*T7,0)</f>
        <v>0</v>
      </c>
      <c r="V7" s="458"/>
      <c r="W7" s="800"/>
      <c r="X7" s="834"/>
      <c r="Y7" s="834"/>
      <c r="Z7" s="25">
        <f>X7*Y7</f>
        <v>0</v>
      </c>
    </row>
    <row r="8" spans="1:28">
      <c r="A8" s="784" t="str">
        <f>IF(B8&lt;&gt;"",A7+1,"")</f>
        <v/>
      </c>
      <c r="B8" s="302"/>
      <c r="C8" s="25">
        <f t="shared" ref="C8" si="1">U8</f>
        <v>0</v>
      </c>
      <c r="D8" s="785">
        <f t="shared" si="0"/>
        <v>0</v>
      </c>
      <c r="E8" s="785">
        <f t="shared" si="0"/>
        <v>0</v>
      </c>
      <c r="F8" s="785">
        <f t="shared" si="0"/>
        <v>0</v>
      </c>
      <c r="G8" s="785">
        <f t="shared" si="0"/>
        <v>0</v>
      </c>
      <c r="H8" s="785">
        <f t="shared" si="0"/>
        <v>0</v>
      </c>
      <c r="I8" s="785">
        <f t="shared" si="0"/>
        <v>0</v>
      </c>
      <c r="J8" s="369"/>
      <c r="K8" s="25">
        <f>C8+E8+D8+G8+I8+H8+J8</f>
        <v>0</v>
      </c>
      <c r="L8" s="262"/>
      <c r="M8" s="785" t="str">
        <f>IF(L8&lt;&gt;"",K8/L8,"")</f>
        <v/>
      </c>
      <c r="N8" s="799"/>
      <c r="O8" s="799"/>
      <c r="P8" s="460"/>
      <c r="Q8" s="802"/>
      <c r="R8" s="803"/>
      <c r="S8" s="855"/>
      <c r="T8" s="832"/>
      <c r="U8" s="8">
        <f t="shared" ref="U8" si="2">ROUND(S8*T8,0)</f>
        <v>0</v>
      </c>
      <c r="V8" s="460"/>
      <c r="W8" s="802"/>
      <c r="X8" s="832"/>
      <c r="Y8" s="832"/>
      <c r="Z8" s="8">
        <f t="shared" ref="Z8" si="3">X8*Y8</f>
        <v>0</v>
      </c>
    </row>
    <row r="9" spans="1:28" s="806" customFormat="1">
      <c r="A9" s="784"/>
      <c r="B9" s="302"/>
      <c r="C9" s="25"/>
      <c r="D9" s="785"/>
      <c r="E9" s="785"/>
      <c r="F9" s="785"/>
      <c r="G9" s="785"/>
      <c r="H9" s="785"/>
      <c r="I9" s="785"/>
      <c r="J9" s="369"/>
      <c r="K9" s="25"/>
      <c r="L9" s="262"/>
      <c r="M9" s="785"/>
      <c r="N9" s="685"/>
      <c r="O9" s="685"/>
      <c r="P9" s="804"/>
      <c r="Q9" s="802"/>
      <c r="R9" s="805"/>
      <c r="S9" s="856"/>
      <c r="T9" s="833"/>
      <c r="U9" s="833"/>
      <c r="V9" s="804"/>
      <c r="W9" s="802"/>
      <c r="X9" s="833"/>
      <c r="Y9" s="833"/>
      <c r="Z9" s="8"/>
    </row>
    <row r="10" spans="1:28" s="781" customFormat="1">
      <c r="A10" s="786"/>
      <c r="B10" s="787" t="s">
        <v>258</v>
      </c>
      <c r="C10" s="550">
        <f>SUM(C7:C9)</f>
        <v>0</v>
      </c>
      <c r="D10" s="550"/>
      <c r="E10" s="550">
        <f>$Z$10</f>
        <v>0</v>
      </c>
      <c r="F10" s="550"/>
      <c r="G10" s="550"/>
      <c r="H10" s="550"/>
      <c r="I10" s="550"/>
      <c r="J10" s="461">
        <f>ROUND(SUM(J7:J9),0)</f>
        <v>0</v>
      </c>
      <c r="K10" s="550">
        <f>ROUND(SUM(K7:K9),0)</f>
        <v>0</v>
      </c>
      <c r="L10" s="550">
        <f>ROUND(SUM(L7:L9),0)</f>
        <v>0</v>
      </c>
      <c r="M10" s="550"/>
      <c r="N10" s="795"/>
      <c r="O10" s="795"/>
      <c r="P10" s="807"/>
      <c r="Q10" s="808"/>
      <c r="R10" s="809"/>
      <c r="S10" s="857">
        <f>SUM(S7:S9)</f>
        <v>0</v>
      </c>
      <c r="T10" s="47"/>
      <c r="U10" s="47">
        <f>SUM(U7:U9)</f>
        <v>0</v>
      </c>
      <c r="V10" s="807"/>
      <c r="W10" s="808"/>
      <c r="X10" s="821"/>
      <c r="Y10" s="27"/>
      <c r="Z10" s="47">
        <f>SUM(Z7:Z9)</f>
        <v>0</v>
      </c>
    </row>
    <row r="11" spans="1:28" s="781" customFormat="1">
      <c r="A11" s="788"/>
      <c r="B11" s="789"/>
      <c r="C11" s="782"/>
      <c r="D11" s="782"/>
      <c r="E11" s="782"/>
      <c r="F11" s="782"/>
      <c r="G11" s="782"/>
      <c r="H11" s="782"/>
      <c r="I11" s="782"/>
      <c r="J11" s="462"/>
      <c r="K11" s="782"/>
      <c r="L11" s="782"/>
      <c r="M11" s="782"/>
      <c r="N11" s="795"/>
      <c r="O11" s="795"/>
      <c r="P11" s="463"/>
      <c r="Q11" s="810"/>
      <c r="R11" s="811"/>
      <c r="S11" s="858"/>
      <c r="T11" s="798"/>
      <c r="U11" s="812"/>
      <c r="V11" s="463"/>
      <c r="W11" s="810"/>
      <c r="X11" s="798"/>
      <c r="Y11" s="798"/>
      <c r="Z11" s="780"/>
    </row>
    <row r="12" spans="1:28">
      <c r="C12" s="790"/>
      <c r="D12" s="790"/>
      <c r="E12" s="791"/>
      <c r="F12" s="791"/>
      <c r="K12" s="813"/>
      <c r="L12" s="782"/>
      <c r="P12" s="463"/>
      <c r="Q12" s="810"/>
      <c r="R12" s="811"/>
      <c r="S12" s="858"/>
      <c r="T12" s="798"/>
      <c r="U12" s="812"/>
      <c r="V12" s="463"/>
      <c r="W12" s="810"/>
      <c r="X12" s="798"/>
      <c r="Y12" s="798"/>
    </row>
    <row r="13" spans="1:28" ht="18" customHeight="1">
      <c r="A13" s="588" t="str">
        <f>TH!$A$1</f>
        <v>Đơn vị: CÔNG TY TNHH SX TM KIM DUNG PHÁT</v>
      </c>
      <c r="B13" s="781"/>
      <c r="C13" s="298"/>
      <c r="D13" s="298"/>
      <c r="E13" s="298"/>
      <c r="F13" s="298"/>
      <c r="G13" s="298"/>
      <c r="H13" s="298"/>
      <c r="I13" s="298"/>
      <c r="J13" s="448"/>
      <c r="K13" s="298"/>
      <c r="L13" s="616"/>
      <c r="M13" s="298"/>
      <c r="N13" s="795"/>
      <c r="O13" s="795"/>
      <c r="P13" s="463"/>
      <c r="Q13" s="810"/>
      <c r="R13" s="811"/>
      <c r="S13" s="858"/>
      <c r="T13" s="798"/>
      <c r="U13" s="812"/>
      <c r="V13" s="463"/>
      <c r="W13" s="810"/>
      <c r="X13" s="798"/>
      <c r="Y13" s="798"/>
      <c r="AA13" s="790"/>
    </row>
    <row r="14" spans="1:28" ht="18.75" customHeight="1">
      <c r="A14" s="782" t="s">
        <v>796</v>
      </c>
      <c r="B14" s="782"/>
      <c r="C14" s="782"/>
      <c r="D14" s="782"/>
      <c r="E14" s="782"/>
      <c r="F14" s="782"/>
      <c r="G14" s="782"/>
      <c r="H14" s="782"/>
      <c r="I14" s="782"/>
      <c r="J14" s="449"/>
      <c r="K14" s="782"/>
      <c r="L14" s="782"/>
      <c r="M14" s="782"/>
      <c r="N14" s="795"/>
      <c r="O14" s="795"/>
      <c r="P14" s="463"/>
      <c r="Q14" s="810"/>
      <c r="R14" s="811"/>
      <c r="S14" s="858"/>
      <c r="T14" s="798"/>
      <c r="U14" s="812"/>
      <c r="V14" s="463"/>
      <c r="W14" s="810"/>
      <c r="X14" s="798"/>
      <c r="Y14" s="798"/>
    </row>
    <row r="15" spans="1:28" ht="18.75" hidden="1" customHeight="1">
      <c r="A15" s="782"/>
      <c r="B15" s="783"/>
      <c r="C15" s="783"/>
      <c r="D15" s="783"/>
      <c r="E15" s="783"/>
      <c r="F15" s="783"/>
      <c r="G15" s="783"/>
      <c r="H15" s="783"/>
      <c r="I15" s="782"/>
      <c r="J15" s="450"/>
      <c r="K15" s="783"/>
      <c r="L15" s="796"/>
      <c r="M15" s="783"/>
      <c r="N15" s="795"/>
      <c r="O15" s="795"/>
      <c r="P15" s="463"/>
      <c r="Q15" s="810"/>
      <c r="R15" s="811"/>
      <c r="S15" s="858"/>
      <c r="T15" s="798"/>
      <c r="U15" s="812"/>
      <c r="V15" s="463"/>
      <c r="W15" s="810"/>
      <c r="X15" s="798"/>
      <c r="Y15" s="798"/>
    </row>
    <row r="16" spans="1:28" ht="12.75" hidden="1" customHeight="1">
      <c r="A16" s="838"/>
      <c r="B16" s="830"/>
      <c r="C16" s="830"/>
      <c r="D16" s="830"/>
      <c r="E16" s="830"/>
      <c r="F16" s="830"/>
      <c r="G16" s="830"/>
      <c r="H16" s="830"/>
      <c r="I16" s="830"/>
      <c r="J16" s="451"/>
      <c r="K16" s="830"/>
      <c r="L16" s="797"/>
      <c r="M16" s="830"/>
      <c r="N16" s="795"/>
      <c r="O16" s="795"/>
      <c r="P16" s="463"/>
      <c r="Q16" s="810"/>
      <c r="R16" s="811"/>
      <c r="S16" s="858"/>
      <c r="T16" s="798"/>
      <c r="U16" s="812"/>
      <c r="V16" s="463"/>
      <c r="W16" s="810"/>
      <c r="X16" s="798"/>
      <c r="Y16" s="798"/>
    </row>
    <row r="17" spans="1:26" s="457" customFormat="1" ht="30.75" customHeight="1">
      <c r="A17" s="866" t="s">
        <v>35</v>
      </c>
      <c r="B17" s="452" t="s">
        <v>246</v>
      </c>
      <c r="C17" s="453" t="s">
        <v>250</v>
      </c>
      <c r="D17" s="453" t="s">
        <v>810</v>
      </c>
      <c r="E17" s="453" t="s">
        <v>251</v>
      </c>
      <c r="F17" s="453" t="s">
        <v>794</v>
      </c>
      <c r="G17" s="453" t="s">
        <v>252</v>
      </c>
      <c r="H17" s="454" t="s">
        <v>253</v>
      </c>
      <c r="I17" s="453" t="s">
        <v>793</v>
      </c>
      <c r="J17" s="454" t="s">
        <v>254</v>
      </c>
      <c r="K17" s="453" t="s">
        <v>255</v>
      </c>
      <c r="L17" s="455" t="s">
        <v>248</v>
      </c>
      <c r="M17" s="453" t="s">
        <v>256</v>
      </c>
      <c r="N17" s="456"/>
      <c r="O17" s="456"/>
      <c r="P17" s="452" t="s">
        <v>246</v>
      </c>
      <c r="Q17" s="453" t="s">
        <v>240</v>
      </c>
      <c r="R17" s="775"/>
      <c r="S17" s="854" t="s">
        <v>205</v>
      </c>
      <c r="T17" s="453" t="s">
        <v>249</v>
      </c>
      <c r="U17" s="453" t="s">
        <v>257</v>
      </c>
      <c r="V17" s="452" t="s">
        <v>246</v>
      </c>
      <c r="W17" s="453" t="s">
        <v>240</v>
      </c>
      <c r="X17" s="453" t="s">
        <v>205</v>
      </c>
      <c r="Y17" s="453" t="s">
        <v>249</v>
      </c>
      <c r="Z17" s="452" t="s">
        <v>257</v>
      </c>
    </row>
    <row r="18" spans="1:26">
      <c r="A18" s="867">
        <f>IF(B18&lt;&gt;"",ROW()-17,"")</f>
        <v>1</v>
      </c>
      <c r="B18" s="865" t="s">
        <v>843</v>
      </c>
      <c r="C18" s="828">
        <f>U18</f>
        <v>1613276</v>
      </c>
      <c r="D18" s="828">
        <f t="shared" ref="D18:I27" si="4">IF($L$182&lt;&gt;0,D$182/$L$182*$L18,0)</f>
        <v>46699.591930132337</v>
      </c>
      <c r="E18" s="828">
        <f t="shared" si="4"/>
        <v>11642.195187063804</v>
      </c>
      <c r="F18" s="825">
        <f t="shared" si="4"/>
        <v>54043.705426947869</v>
      </c>
      <c r="G18" s="825">
        <f t="shared" si="4"/>
        <v>6215.1756225925783</v>
      </c>
      <c r="H18" s="825">
        <f t="shared" si="4"/>
        <v>2803.0967545097442</v>
      </c>
      <c r="I18" s="828">
        <f>IF($L$182&lt;&gt;0,I$182/$L$182*$L18,0)</f>
        <v>11828.48899736852</v>
      </c>
      <c r="J18" s="826"/>
      <c r="K18" s="828">
        <f>ROUND(SUM(C18:I18),0)-1</f>
        <v>1746507</v>
      </c>
      <c r="L18" s="828">
        <v>98</v>
      </c>
      <c r="M18" s="825">
        <f>IF(L18&lt;&gt;"",K18/L18,"")</f>
        <v>17821.5</v>
      </c>
      <c r="N18" s="685">
        <v>18940</v>
      </c>
      <c r="O18" s="685"/>
      <c r="P18" s="189" t="s">
        <v>519</v>
      </c>
      <c r="Q18" s="802">
        <v>40690</v>
      </c>
      <c r="R18" s="801"/>
      <c r="S18" s="310">
        <v>98</v>
      </c>
      <c r="T18" s="834">
        <v>16462</v>
      </c>
      <c r="U18" s="25">
        <f>S18*T18</f>
        <v>1613276</v>
      </c>
      <c r="V18" s="458" t="s">
        <v>411</v>
      </c>
      <c r="W18" s="800">
        <v>40644</v>
      </c>
      <c r="X18" s="834">
        <v>50</v>
      </c>
      <c r="Y18" s="834">
        <v>23500</v>
      </c>
      <c r="Z18" s="25">
        <f>X18*Y18</f>
        <v>1175000</v>
      </c>
    </row>
    <row r="19" spans="1:26">
      <c r="A19" s="839">
        <f>IF(B19&lt;&gt;"",A18+1,"")</f>
        <v>2</v>
      </c>
      <c r="B19" s="303" t="s">
        <v>844</v>
      </c>
      <c r="C19" s="864">
        <f t="shared" ref="C19:C82" si="5">U19</f>
        <v>2189250</v>
      </c>
      <c r="D19" s="549">
        <f t="shared" si="4"/>
        <v>84345.181343198201</v>
      </c>
      <c r="E19" s="549">
        <f t="shared" si="4"/>
        <v>21027.230082758095</v>
      </c>
      <c r="F19" s="549">
        <f t="shared" si="4"/>
        <v>97609.549597650752</v>
      </c>
      <c r="G19" s="549">
        <f t="shared" si="4"/>
        <v>11225.368216315168</v>
      </c>
      <c r="H19" s="549">
        <f t="shared" si="4"/>
        <v>5062.7359749818852</v>
      </c>
      <c r="I19" s="549">
        <f t="shared" si="4"/>
        <v>21363.699515655389</v>
      </c>
      <c r="J19" s="840"/>
      <c r="K19" s="828">
        <f t="shared" ref="K19:K26" si="6">ROUND(SUM(C19:I19),0)-1</f>
        <v>2429883</v>
      </c>
      <c r="L19" s="549">
        <v>177</v>
      </c>
      <c r="M19" s="549">
        <f t="shared" ref="M19:M20" si="7">IF(L19&lt;&gt;"",K19/L19,"")</f>
        <v>13728.152542372882</v>
      </c>
      <c r="N19" s="685">
        <v>15550</v>
      </c>
      <c r="O19" s="685"/>
      <c r="P19" s="189" t="s">
        <v>425</v>
      </c>
      <c r="Q19" s="802">
        <v>40690</v>
      </c>
      <c r="R19" s="801"/>
      <c r="S19" s="310">
        <v>90</v>
      </c>
      <c r="T19" s="834">
        <v>24325</v>
      </c>
      <c r="U19" s="25">
        <f t="shared" ref="U19" si="8">S19*T19</f>
        <v>2189250</v>
      </c>
      <c r="V19" s="460" t="s">
        <v>363</v>
      </c>
      <c r="W19" s="802">
        <v>40644</v>
      </c>
      <c r="X19" s="832">
        <v>20</v>
      </c>
      <c r="Y19" s="832">
        <v>42000</v>
      </c>
      <c r="Z19" s="8">
        <f t="shared" ref="Z19" si="9">X19*Y19</f>
        <v>840000</v>
      </c>
    </row>
    <row r="20" spans="1:26">
      <c r="A20" s="827">
        <f>IF(B20&lt;&gt;"",A19+1,"")</f>
        <v>3</v>
      </c>
      <c r="B20" s="302" t="s">
        <v>845</v>
      </c>
      <c r="C20" s="864">
        <f t="shared" si="5"/>
        <v>3370125</v>
      </c>
      <c r="D20" s="262">
        <f t="shared" si="4"/>
        <v>97687.921894664571</v>
      </c>
      <c r="E20" s="262">
        <f t="shared" si="4"/>
        <v>24353.571564776325</v>
      </c>
      <c r="F20" s="262">
        <f t="shared" si="4"/>
        <v>113050.60829106442</v>
      </c>
      <c r="G20" s="262">
        <f t="shared" si="4"/>
        <v>13001.132679913047</v>
      </c>
      <c r="H20" s="262">
        <f t="shared" si="4"/>
        <v>5863.6207619846691</v>
      </c>
      <c r="I20" s="262">
        <f t="shared" si="4"/>
        <v>24743.267800617825</v>
      </c>
      <c r="J20" s="459"/>
      <c r="K20" s="828">
        <f t="shared" si="6"/>
        <v>3648824</v>
      </c>
      <c r="L20" s="262">
        <v>205</v>
      </c>
      <c r="M20" s="262">
        <f t="shared" si="7"/>
        <v>17799.141463414635</v>
      </c>
      <c r="N20" s="685">
        <v>19690</v>
      </c>
      <c r="O20" s="685"/>
      <c r="P20" s="302" t="s">
        <v>503</v>
      </c>
      <c r="Q20" s="802">
        <v>40690</v>
      </c>
      <c r="R20" s="801"/>
      <c r="S20" s="859">
        <v>209</v>
      </c>
      <c r="T20" s="260">
        <v>16125</v>
      </c>
      <c r="U20" s="8">
        <f t="shared" ref="U20" si="10">S20*T20</f>
        <v>3370125</v>
      </c>
      <c r="V20" s="460" t="s">
        <v>498</v>
      </c>
      <c r="W20" s="802">
        <v>40660</v>
      </c>
      <c r="X20" s="832">
        <v>5000</v>
      </c>
      <c r="Y20" s="832">
        <v>220</v>
      </c>
      <c r="Z20" s="8">
        <f t="shared" ref="Z20:Z21" si="11">X20*Y20</f>
        <v>1100000</v>
      </c>
    </row>
    <row r="21" spans="1:26">
      <c r="A21" s="827">
        <f t="shared" ref="A21:A22" si="12">IF(B21&lt;&gt;"",A20+1,"")</f>
        <v>4</v>
      </c>
      <c r="B21" s="302" t="s">
        <v>853</v>
      </c>
      <c r="C21" s="864">
        <f t="shared" si="5"/>
        <v>2056844</v>
      </c>
      <c r="D21" s="262">
        <f t="shared" si="4"/>
        <v>134856.98485946379</v>
      </c>
      <c r="E21" s="262">
        <f t="shared" si="4"/>
        <v>33619.808550398535</v>
      </c>
      <c r="F21" s="262">
        <f t="shared" si="4"/>
        <v>156064.98607985966</v>
      </c>
      <c r="G21" s="262">
        <f t="shared" si="4"/>
        <v>17947.905114221427</v>
      </c>
      <c r="H21" s="262">
        <f t="shared" si="4"/>
        <v>8094.656954349568</v>
      </c>
      <c r="I21" s="262">
        <f t="shared" si="4"/>
        <v>34157.779451584604</v>
      </c>
      <c r="J21" s="459"/>
      <c r="K21" s="828">
        <f t="shared" si="6"/>
        <v>2441585</v>
      </c>
      <c r="L21" s="262">
        <v>283</v>
      </c>
      <c r="M21" s="262">
        <f t="shared" ref="M21:M22" si="13">IF(L21&lt;&gt;"",K21/L21,"")</f>
        <v>8627.5088339222621</v>
      </c>
      <c r="N21" s="685">
        <v>9760</v>
      </c>
      <c r="O21" s="685"/>
      <c r="P21" s="189" t="s">
        <v>546</v>
      </c>
      <c r="Q21" s="802">
        <v>40690</v>
      </c>
      <c r="R21" s="801"/>
      <c r="S21" s="310">
        <f>L21</f>
        <v>283</v>
      </c>
      <c r="T21" s="263">
        <v>7268</v>
      </c>
      <c r="U21" s="8">
        <f t="shared" ref="U21:U22" si="14">S21*T21</f>
        <v>2056844</v>
      </c>
      <c r="V21" s="460"/>
      <c r="W21" s="802"/>
      <c r="X21" s="832"/>
      <c r="Y21" s="832"/>
      <c r="Z21" s="8">
        <f t="shared" si="11"/>
        <v>0</v>
      </c>
    </row>
    <row r="22" spans="1:26">
      <c r="A22" s="827">
        <f t="shared" si="12"/>
        <v>5</v>
      </c>
      <c r="B22" s="302" t="s">
        <v>846</v>
      </c>
      <c r="C22" s="864">
        <f t="shared" si="5"/>
        <v>2772328</v>
      </c>
      <c r="D22" s="262">
        <f t="shared" si="4"/>
        <v>234927.53899546165</v>
      </c>
      <c r="E22" s="262">
        <f t="shared" si="4"/>
        <v>58567.369665535261</v>
      </c>
      <c r="F22" s="262">
        <f t="shared" si="4"/>
        <v>271872.92628046224</v>
      </c>
      <c r="G22" s="262">
        <f t="shared" si="4"/>
        <v>31266.138591205523</v>
      </c>
      <c r="H22" s="262">
        <f t="shared" si="4"/>
        <v>14101.292856870448</v>
      </c>
      <c r="I22" s="262">
        <f t="shared" si="4"/>
        <v>59504.541588802866</v>
      </c>
      <c r="J22" s="459"/>
      <c r="K22" s="828">
        <f t="shared" si="6"/>
        <v>3442567</v>
      </c>
      <c r="L22" s="262">
        <v>493</v>
      </c>
      <c r="M22" s="262">
        <f t="shared" si="13"/>
        <v>6982.8945233265722</v>
      </c>
      <c r="N22" s="685">
        <v>7160</v>
      </c>
      <c r="O22" s="685"/>
      <c r="P22" s="189" t="s">
        <v>525</v>
      </c>
      <c r="Q22" s="802">
        <v>40690</v>
      </c>
      <c r="R22" s="801"/>
      <c r="S22" s="859">
        <v>494</v>
      </c>
      <c r="T22" s="263">
        <v>5612</v>
      </c>
      <c r="U22" s="8">
        <f t="shared" si="14"/>
        <v>2772328</v>
      </c>
      <c r="V22" s="460"/>
      <c r="W22" s="802"/>
      <c r="X22" s="832"/>
      <c r="Y22" s="832"/>
      <c r="Z22" s="8">
        <f t="shared" ref="Z22" si="15">X22*Y22</f>
        <v>0</v>
      </c>
    </row>
    <row r="23" spans="1:26">
      <c r="A23" s="784">
        <f t="shared" ref="A23:A52" si="16">IF(B23&lt;&gt;"",A22+1,"")</f>
        <v>6</v>
      </c>
      <c r="B23" s="302" t="s">
        <v>847</v>
      </c>
      <c r="C23" s="864">
        <f t="shared" si="5"/>
        <v>2320738</v>
      </c>
      <c r="D23" s="785">
        <f t="shared" si="4"/>
        <v>189657.52641012927</v>
      </c>
      <c r="E23" s="785">
        <f t="shared" si="4"/>
        <v>47281.568208687691</v>
      </c>
      <c r="F23" s="785">
        <f t="shared" si="4"/>
        <v>219483.61999923727</v>
      </c>
      <c r="G23" s="785">
        <f t="shared" si="4"/>
        <v>25241.223446855573</v>
      </c>
      <c r="H23" s="785">
        <f t="shared" si="4"/>
        <v>11384.005186682431</v>
      </c>
      <c r="I23" s="785">
        <f t="shared" si="4"/>
        <v>48038.149193394602</v>
      </c>
      <c r="J23" s="369"/>
      <c r="K23" s="828">
        <f t="shared" si="6"/>
        <v>2861823</v>
      </c>
      <c r="L23" s="785">
        <v>398</v>
      </c>
      <c r="M23" s="785">
        <f t="shared" ref="M23:M54" si="17">IF(L23&lt;&gt;"",K23/L23,"")</f>
        <v>7190.510050251256</v>
      </c>
      <c r="N23" s="685">
        <v>7360</v>
      </c>
      <c r="O23" s="685"/>
      <c r="P23" s="189" t="s">
        <v>526</v>
      </c>
      <c r="Q23" s="802">
        <v>40690</v>
      </c>
      <c r="R23" s="801"/>
      <c r="S23" s="859">
        <f>L23</f>
        <v>398</v>
      </c>
      <c r="T23" s="263">
        <v>5831</v>
      </c>
      <c r="U23" s="8">
        <f t="shared" ref="U23:U61" si="18">S23*T23</f>
        <v>2320738</v>
      </c>
      <c r="V23" s="460"/>
      <c r="W23" s="802"/>
      <c r="X23" s="832"/>
      <c r="Y23" s="832"/>
      <c r="Z23" s="8">
        <f t="shared" ref="Z23:Z54" si="19">X23*Y23</f>
        <v>0</v>
      </c>
    </row>
    <row r="24" spans="1:26">
      <c r="A24" s="784">
        <f t="shared" si="16"/>
        <v>7</v>
      </c>
      <c r="B24" s="302" t="s">
        <v>848</v>
      </c>
      <c r="C24" s="864">
        <f t="shared" si="5"/>
        <v>1212200</v>
      </c>
      <c r="D24" s="785">
        <f t="shared" si="4"/>
        <v>46699.591930132337</v>
      </c>
      <c r="E24" s="785">
        <f t="shared" si="4"/>
        <v>11642.195187063804</v>
      </c>
      <c r="F24" s="785">
        <f t="shared" si="4"/>
        <v>54043.705426947869</v>
      </c>
      <c r="G24" s="785">
        <f t="shared" si="4"/>
        <v>6215.1756225925783</v>
      </c>
      <c r="H24" s="785">
        <f t="shared" si="4"/>
        <v>2803.0967545097442</v>
      </c>
      <c r="I24" s="785">
        <f t="shared" si="4"/>
        <v>11828.48899736852</v>
      </c>
      <c r="J24" s="369"/>
      <c r="K24" s="828">
        <f t="shared" si="6"/>
        <v>1345431</v>
      </c>
      <c r="L24" s="785">
        <v>98</v>
      </c>
      <c r="M24" s="785">
        <f t="shared" si="17"/>
        <v>13728.887755102041</v>
      </c>
      <c r="N24" s="685">
        <v>15400</v>
      </c>
      <c r="O24" s="685"/>
      <c r="P24" s="189" t="s">
        <v>531</v>
      </c>
      <c r="Q24" s="802">
        <v>40690</v>
      </c>
      <c r="R24" s="801"/>
      <c r="S24" s="310">
        <v>100</v>
      </c>
      <c r="T24" s="263">
        <v>12122</v>
      </c>
      <c r="U24" s="8">
        <f t="shared" si="18"/>
        <v>1212200</v>
      </c>
      <c r="V24" s="460"/>
      <c r="W24" s="802"/>
      <c r="X24" s="832"/>
      <c r="Y24" s="832"/>
      <c r="Z24" s="8">
        <f t="shared" si="19"/>
        <v>0</v>
      </c>
    </row>
    <row r="25" spans="1:26">
      <c r="A25" s="784">
        <f t="shared" si="16"/>
        <v>8</v>
      </c>
      <c r="B25" s="302" t="s">
        <v>851</v>
      </c>
      <c r="C25" s="864">
        <f t="shared" si="5"/>
        <v>3042375</v>
      </c>
      <c r="D25" s="785">
        <f t="shared" si="4"/>
        <v>91016.551618931393</v>
      </c>
      <c r="E25" s="785">
        <f t="shared" si="4"/>
        <v>22690.40082376721</v>
      </c>
      <c r="F25" s="785">
        <f t="shared" si="4"/>
        <v>105330.07894435758</v>
      </c>
      <c r="G25" s="785">
        <f t="shared" si="4"/>
        <v>12113.250448114108</v>
      </c>
      <c r="H25" s="785">
        <f t="shared" si="4"/>
        <v>5463.1783684832772</v>
      </c>
      <c r="I25" s="785">
        <f t="shared" si="4"/>
        <v>23053.483658136607</v>
      </c>
      <c r="J25" s="369"/>
      <c r="K25" s="828">
        <f t="shared" si="6"/>
        <v>3302041</v>
      </c>
      <c r="L25" s="785">
        <v>191</v>
      </c>
      <c r="M25" s="785">
        <f t="shared" si="17"/>
        <v>17288.172774869108</v>
      </c>
      <c r="N25" s="685">
        <v>18480</v>
      </c>
      <c r="O25" s="685"/>
      <c r="P25" s="189" t="s">
        <v>508</v>
      </c>
      <c r="Q25" s="802">
        <v>40690</v>
      </c>
      <c r="R25" s="801"/>
      <c r="S25" s="859">
        <v>95</v>
      </c>
      <c r="T25" s="263">
        <v>32025</v>
      </c>
      <c r="U25" s="8">
        <f t="shared" si="18"/>
        <v>3042375</v>
      </c>
      <c r="V25" s="460"/>
      <c r="W25" s="802"/>
      <c r="X25" s="832"/>
      <c r="Y25" s="832"/>
      <c r="Z25" s="8">
        <f t="shared" si="19"/>
        <v>0</v>
      </c>
    </row>
    <row r="26" spans="1:26">
      <c r="A26" s="784">
        <f t="shared" si="16"/>
        <v>9</v>
      </c>
      <c r="B26" s="302" t="s">
        <v>852</v>
      </c>
      <c r="C26" s="864">
        <f t="shared" si="5"/>
        <v>2780588</v>
      </c>
      <c r="D26" s="785">
        <f t="shared" si="4"/>
        <v>98164.448342931239</v>
      </c>
      <c r="E26" s="785">
        <f t="shared" si="4"/>
        <v>24472.369474848405</v>
      </c>
      <c r="F26" s="785">
        <f t="shared" si="4"/>
        <v>113602.07467297206</v>
      </c>
      <c r="G26" s="785">
        <f t="shared" si="4"/>
        <v>13064.552839327256</v>
      </c>
      <c r="H26" s="785">
        <f t="shared" si="4"/>
        <v>5892.2237900919117</v>
      </c>
      <c r="I26" s="785">
        <f t="shared" si="4"/>
        <v>24863.966667937912</v>
      </c>
      <c r="J26" s="369"/>
      <c r="K26" s="828">
        <f t="shared" si="6"/>
        <v>3060647</v>
      </c>
      <c r="L26" s="785">
        <v>206</v>
      </c>
      <c r="M26" s="785">
        <f t="shared" si="17"/>
        <v>14857.509708737864</v>
      </c>
      <c r="N26" s="685">
        <v>15230</v>
      </c>
      <c r="O26" s="685"/>
      <c r="P26" s="189" t="s">
        <v>524</v>
      </c>
      <c r="Q26" s="802">
        <v>40690</v>
      </c>
      <c r="R26" s="801"/>
      <c r="S26" s="310">
        <f>L26</f>
        <v>206</v>
      </c>
      <c r="T26" s="263">
        <v>13498</v>
      </c>
      <c r="U26" s="8">
        <f t="shared" si="18"/>
        <v>2780588</v>
      </c>
      <c r="V26" s="460"/>
      <c r="W26" s="802"/>
      <c r="X26" s="832"/>
      <c r="Y26" s="832"/>
      <c r="Z26" s="8">
        <f t="shared" si="19"/>
        <v>0</v>
      </c>
    </row>
    <row r="27" spans="1:26">
      <c r="A27" s="784">
        <f t="shared" si="16"/>
        <v>10</v>
      </c>
      <c r="B27" s="302" t="s">
        <v>854</v>
      </c>
      <c r="C27" s="864">
        <f t="shared" si="5"/>
        <v>541500</v>
      </c>
      <c r="D27" s="785">
        <f t="shared" si="4"/>
        <v>23826.322413332822</v>
      </c>
      <c r="E27" s="785">
        <f t="shared" si="4"/>
        <v>5939.8955036039815</v>
      </c>
      <c r="F27" s="785">
        <f t="shared" si="4"/>
        <v>27573.319095381565</v>
      </c>
      <c r="G27" s="785">
        <f t="shared" si="4"/>
        <v>3171.0079707104992</v>
      </c>
      <c r="H27" s="785">
        <f t="shared" si="4"/>
        <v>1430.1514053621145</v>
      </c>
      <c r="I27" s="785">
        <f t="shared" si="4"/>
        <v>6034.9433660043469</v>
      </c>
      <c r="J27" s="369"/>
      <c r="K27" s="828">
        <f>ROUND(SUM(C27:I27),0)-1</f>
        <v>609475</v>
      </c>
      <c r="L27" s="785">
        <v>50</v>
      </c>
      <c r="M27" s="785">
        <f t="shared" si="17"/>
        <v>12189.5</v>
      </c>
      <c r="N27" s="685">
        <v>13832</v>
      </c>
      <c r="O27" s="685"/>
      <c r="P27" s="189" t="s">
        <v>423</v>
      </c>
      <c r="Q27" s="802">
        <v>40690</v>
      </c>
      <c r="R27" s="801"/>
      <c r="S27" s="310">
        <v>50</v>
      </c>
      <c r="T27" s="260">
        <v>10830</v>
      </c>
      <c r="U27" s="8">
        <f t="shared" si="18"/>
        <v>541500</v>
      </c>
      <c r="V27" s="460"/>
      <c r="W27" s="802"/>
      <c r="X27" s="832"/>
      <c r="Y27" s="832"/>
      <c r="Z27" s="8">
        <f t="shared" si="19"/>
        <v>0</v>
      </c>
    </row>
    <row r="28" spans="1:26">
      <c r="A28" s="784">
        <f t="shared" si="16"/>
        <v>11</v>
      </c>
      <c r="B28" s="302" t="s">
        <v>779</v>
      </c>
      <c r="C28" s="864">
        <f t="shared" si="5"/>
        <v>333675</v>
      </c>
      <c r="D28" s="785">
        <f t="shared" ref="D28:I37" si="20">IF($L$182&lt;&gt;0,D$182/$L$182*$L28,0)</f>
        <v>142957.93447999694</v>
      </c>
      <c r="E28" s="785">
        <f t="shared" si="20"/>
        <v>35639.373021623891</v>
      </c>
      <c r="F28" s="785">
        <f t="shared" si="20"/>
        <v>165439.91457228939</v>
      </c>
      <c r="G28" s="785">
        <f t="shared" si="20"/>
        <v>19026.047824262994</v>
      </c>
      <c r="H28" s="785">
        <f t="shared" si="20"/>
        <v>8580.9084321726859</v>
      </c>
      <c r="I28" s="785">
        <f t="shared" si="20"/>
        <v>36209.660196026081</v>
      </c>
      <c r="J28" s="369"/>
      <c r="K28" s="828">
        <f t="shared" ref="K28:K82" si="21">ROUND(SUM(C28:I28),0)</f>
        <v>741529</v>
      </c>
      <c r="L28" s="785">
        <v>300</v>
      </c>
      <c r="M28" s="785">
        <f t="shared" si="17"/>
        <v>2471.7633333333333</v>
      </c>
      <c r="N28" s="685">
        <v>3500</v>
      </c>
      <c r="O28" s="685"/>
      <c r="P28" s="189" t="s">
        <v>410</v>
      </c>
      <c r="Q28" s="802">
        <v>40690</v>
      </c>
      <c r="R28" s="801"/>
      <c r="S28" s="310">
        <f>L28/4</f>
        <v>75</v>
      </c>
      <c r="T28" s="263">
        <v>4449</v>
      </c>
      <c r="U28" s="8">
        <f t="shared" si="18"/>
        <v>333675</v>
      </c>
      <c r="V28" s="460"/>
      <c r="W28" s="802"/>
      <c r="X28" s="832"/>
      <c r="Y28" s="832"/>
      <c r="Z28" s="8">
        <f t="shared" si="19"/>
        <v>0</v>
      </c>
    </row>
    <row r="29" spans="1:26">
      <c r="A29" s="784">
        <f t="shared" si="16"/>
        <v>12</v>
      </c>
      <c r="B29" s="302" t="s">
        <v>855</v>
      </c>
      <c r="C29" s="864">
        <f t="shared" si="5"/>
        <v>112875</v>
      </c>
      <c r="D29" s="785">
        <f t="shared" si="20"/>
        <v>3335.6851378665951</v>
      </c>
      <c r="E29" s="785">
        <f t="shared" si="20"/>
        <v>831.58537050455743</v>
      </c>
      <c r="F29" s="785">
        <f t="shared" si="20"/>
        <v>3860.2646733534193</v>
      </c>
      <c r="G29" s="785">
        <f t="shared" si="20"/>
        <v>443.94111589946988</v>
      </c>
      <c r="H29" s="785">
        <f t="shared" si="20"/>
        <v>200.22119675069601</v>
      </c>
      <c r="I29" s="785">
        <f t="shared" si="20"/>
        <v>844.89207124060863</v>
      </c>
      <c r="J29" s="369"/>
      <c r="K29" s="828">
        <f t="shared" si="21"/>
        <v>122392</v>
      </c>
      <c r="L29" s="785">
        <v>7</v>
      </c>
      <c r="M29" s="785">
        <f t="shared" si="17"/>
        <v>17484.571428571428</v>
      </c>
      <c r="N29" s="685">
        <v>19908</v>
      </c>
      <c r="O29" s="685"/>
      <c r="P29" s="302" t="s">
        <v>503</v>
      </c>
      <c r="Q29" s="802">
        <v>40690</v>
      </c>
      <c r="R29" s="801"/>
      <c r="S29" s="859">
        <f t="shared" ref="S29:S30" si="22">L29</f>
        <v>7</v>
      </c>
      <c r="T29" s="260">
        <v>16125</v>
      </c>
      <c r="U29" s="8">
        <f t="shared" si="18"/>
        <v>112875</v>
      </c>
      <c r="V29" s="460"/>
      <c r="W29" s="802"/>
      <c r="X29" s="832"/>
      <c r="Y29" s="832"/>
      <c r="Z29" s="8">
        <f t="shared" si="19"/>
        <v>0</v>
      </c>
    </row>
    <row r="30" spans="1:26">
      <c r="A30" s="784">
        <f t="shared" si="16"/>
        <v>13</v>
      </c>
      <c r="B30" s="302" t="s">
        <v>856</v>
      </c>
      <c r="C30" s="864">
        <f t="shared" si="5"/>
        <v>112875</v>
      </c>
      <c r="D30" s="785">
        <f t="shared" si="20"/>
        <v>3335.6851378665951</v>
      </c>
      <c r="E30" s="785">
        <f t="shared" si="20"/>
        <v>831.58537050455743</v>
      </c>
      <c r="F30" s="785">
        <f t="shared" si="20"/>
        <v>3860.2646733534193</v>
      </c>
      <c r="G30" s="785">
        <f t="shared" si="20"/>
        <v>443.94111589946988</v>
      </c>
      <c r="H30" s="785">
        <f t="shared" si="20"/>
        <v>200.22119675069601</v>
      </c>
      <c r="I30" s="785">
        <f t="shared" si="20"/>
        <v>844.89207124060863</v>
      </c>
      <c r="J30" s="369"/>
      <c r="K30" s="828">
        <f t="shared" si="21"/>
        <v>122392</v>
      </c>
      <c r="L30" s="785">
        <v>7</v>
      </c>
      <c r="M30" s="785">
        <f t="shared" si="17"/>
        <v>17484.571428571428</v>
      </c>
      <c r="N30" s="685">
        <v>19285</v>
      </c>
      <c r="O30" s="685"/>
      <c r="P30" s="302" t="s">
        <v>503</v>
      </c>
      <c r="Q30" s="802">
        <v>40690</v>
      </c>
      <c r="R30" s="801"/>
      <c r="S30" s="859">
        <f t="shared" si="22"/>
        <v>7</v>
      </c>
      <c r="T30" s="260">
        <v>16125</v>
      </c>
      <c r="U30" s="8">
        <f t="shared" si="18"/>
        <v>112875</v>
      </c>
      <c r="V30" s="460"/>
      <c r="W30" s="802"/>
      <c r="X30" s="832"/>
      <c r="Y30" s="832"/>
      <c r="Z30" s="8">
        <f t="shared" si="19"/>
        <v>0</v>
      </c>
    </row>
    <row r="31" spans="1:26">
      <c r="A31" s="784">
        <f t="shared" si="16"/>
        <v>14</v>
      </c>
      <c r="B31" s="302" t="s">
        <v>854</v>
      </c>
      <c r="C31" s="864">
        <f t="shared" si="5"/>
        <v>2896750</v>
      </c>
      <c r="D31" s="785">
        <f t="shared" si="20"/>
        <v>119131.61206666412</v>
      </c>
      <c r="E31" s="785">
        <f t="shared" si="20"/>
        <v>29699.477518019907</v>
      </c>
      <c r="F31" s="785">
        <f t="shared" si="20"/>
        <v>137866.59547690782</v>
      </c>
      <c r="G31" s="785">
        <f t="shared" si="20"/>
        <v>15855.039853552496</v>
      </c>
      <c r="H31" s="785">
        <f t="shared" si="20"/>
        <v>7150.7570268105719</v>
      </c>
      <c r="I31" s="785">
        <f t="shared" si="20"/>
        <v>30174.716830021738</v>
      </c>
      <c r="J31" s="369"/>
      <c r="K31" s="828">
        <f t="shared" si="21"/>
        <v>3236628</v>
      </c>
      <c r="L31" s="785">
        <v>250</v>
      </c>
      <c r="M31" s="785">
        <f t="shared" si="17"/>
        <v>12946.512000000001</v>
      </c>
      <c r="N31" s="685">
        <v>13832</v>
      </c>
      <c r="O31" s="685"/>
      <c r="P31" s="189" t="s">
        <v>520</v>
      </c>
      <c r="Q31" s="802">
        <v>40690</v>
      </c>
      <c r="R31" s="801"/>
      <c r="S31" s="310">
        <f>L31</f>
        <v>250</v>
      </c>
      <c r="T31" s="260">
        <v>11587</v>
      </c>
      <c r="U31" s="8">
        <f t="shared" si="18"/>
        <v>2896750</v>
      </c>
      <c r="V31" s="460"/>
      <c r="W31" s="802"/>
      <c r="X31" s="832"/>
      <c r="Y31" s="832"/>
      <c r="Z31" s="8">
        <f t="shared" si="19"/>
        <v>0</v>
      </c>
    </row>
    <row r="32" spans="1:26">
      <c r="A32" s="784">
        <f t="shared" si="16"/>
        <v>15</v>
      </c>
      <c r="B32" s="302" t="s">
        <v>857</v>
      </c>
      <c r="C32" s="864">
        <f t="shared" si="5"/>
        <v>1255545</v>
      </c>
      <c r="D32" s="785">
        <f t="shared" si="20"/>
        <v>42887.380343999081</v>
      </c>
      <c r="E32" s="785">
        <f t="shared" si="20"/>
        <v>10691.811906487166</v>
      </c>
      <c r="F32" s="785">
        <f t="shared" si="20"/>
        <v>49631.974371686818</v>
      </c>
      <c r="G32" s="785">
        <f t="shared" si="20"/>
        <v>5707.8143472788988</v>
      </c>
      <c r="H32" s="785">
        <f t="shared" si="20"/>
        <v>2574.2725296518061</v>
      </c>
      <c r="I32" s="785">
        <f t="shared" si="20"/>
        <v>10862.898058807825</v>
      </c>
      <c r="J32" s="369"/>
      <c r="K32" s="828">
        <f t="shared" si="21"/>
        <v>1377901</v>
      </c>
      <c r="L32" s="785">
        <v>90</v>
      </c>
      <c r="M32" s="785">
        <f t="shared" si="17"/>
        <v>15310.011111111111</v>
      </c>
      <c r="N32" s="685">
        <v>15724</v>
      </c>
      <c r="O32" s="685"/>
      <c r="P32" s="302" t="s">
        <v>405</v>
      </c>
      <c r="Q32" s="802">
        <v>40690</v>
      </c>
      <c r="R32" s="801"/>
      <c r="S32" s="310">
        <f>L32/2</f>
        <v>45</v>
      </c>
      <c r="T32" s="834">
        <v>27901</v>
      </c>
      <c r="U32" s="8">
        <f t="shared" si="18"/>
        <v>1255545</v>
      </c>
      <c r="V32" s="460"/>
      <c r="W32" s="802"/>
      <c r="X32" s="832"/>
      <c r="Y32" s="832"/>
      <c r="Z32" s="8">
        <f t="shared" si="19"/>
        <v>0</v>
      </c>
    </row>
    <row r="33" spans="1:26">
      <c r="A33" s="839">
        <f t="shared" si="16"/>
        <v>16</v>
      </c>
      <c r="B33" s="303" t="s">
        <v>779</v>
      </c>
      <c r="C33" s="864">
        <f t="shared" si="5"/>
        <v>200205</v>
      </c>
      <c r="D33" s="305">
        <f t="shared" si="20"/>
        <v>42887.380343999081</v>
      </c>
      <c r="E33" s="305">
        <f t="shared" si="20"/>
        <v>10691.811906487166</v>
      </c>
      <c r="F33" s="305">
        <f t="shared" si="20"/>
        <v>49631.974371686818</v>
      </c>
      <c r="G33" s="305">
        <f t="shared" si="20"/>
        <v>5707.8143472788988</v>
      </c>
      <c r="H33" s="305">
        <f t="shared" si="20"/>
        <v>2574.2725296518061</v>
      </c>
      <c r="I33" s="305">
        <f t="shared" si="20"/>
        <v>10862.898058807825</v>
      </c>
      <c r="J33" s="549"/>
      <c r="K33" s="828">
        <f t="shared" si="21"/>
        <v>322561</v>
      </c>
      <c r="L33" s="549">
        <v>90</v>
      </c>
      <c r="M33" s="841">
        <f t="shared" si="17"/>
        <v>3584.0111111111109</v>
      </c>
      <c r="N33" s="685">
        <v>4265</v>
      </c>
      <c r="O33" s="685"/>
      <c r="P33" s="189" t="s">
        <v>410</v>
      </c>
      <c r="Q33" s="802">
        <v>40690</v>
      </c>
      <c r="R33" s="801"/>
      <c r="S33" s="310">
        <f>L33/2</f>
        <v>45</v>
      </c>
      <c r="T33" s="263">
        <v>4449</v>
      </c>
      <c r="U33" s="8">
        <f t="shared" si="18"/>
        <v>200205</v>
      </c>
      <c r="V33" s="460"/>
      <c r="W33" s="802"/>
      <c r="X33" s="832"/>
      <c r="Y33" s="832"/>
      <c r="Z33" s="8">
        <f t="shared" si="19"/>
        <v>0</v>
      </c>
    </row>
    <row r="34" spans="1:26">
      <c r="A34" s="784">
        <f>IF(B34&lt;&gt;"",A33+1,"")</f>
        <v>17</v>
      </c>
      <c r="B34" s="302" t="s">
        <v>860</v>
      </c>
      <c r="C34" s="864">
        <f t="shared" si="5"/>
        <v>12800</v>
      </c>
      <c r="D34" s="785">
        <f t="shared" si="20"/>
        <v>953.05289653331295</v>
      </c>
      <c r="E34" s="785">
        <f t="shared" si="20"/>
        <v>237.59582014415926</v>
      </c>
      <c r="F34" s="785">
        <f t="shared" si="20"/>
        <v>1102.9327638152627</v>
      </c>
      <c r="G34" s="785">
        <f t="shared" si="20"/>
        <v>126.84031882841997</v>
      </c>
      <c r="H34" s="785">
        <f t="shared" si="20"/>
        <v>57.206056214484576</v>
      </c>
      <c r="I34" s="785">
        <f t="shared" si="20"/>
        <v>241.39773464017389</v>
      </c>
      <c r="J34" s="369"/>
      <c r="K34" s="828">
        <f t="shared" si="21"/>
        <v>15519</v>
      </c>
      <c r="L34" s="785">
        <v>2</v>
      </c>
      <c r="M34" s="785">
        <f t="shared" si="17"/>
        <v>7759.5</v>
      </c>
      <c r="N34" s="685">
        <v>8839</v>
      </c>
      <c r="O34" s="685"/>
      <c r="P34" s="189" t="s">
        <v>543</v>
      </c>
      <c r="Q34" s="802">
        <v>40690</v>
      </c>
      <c r="R34" s="801"/>
      <c r="S34" s="310">
        <f>L34</f>
        <v>2</v>
      </c>
      <c r="T34" s="263">
        <v>6400</v>
      </c>
      <c r="U34" s="8">
        <f t="shared" si="18"/>
        <v>12800</v>
      </c>
      <c r="V34" s="460"/>
      <c r="W34" s="802"/>
      <c r="X34" s="832"/>
      <c r="Y34" s="832"/>
      <c r="Z34" s="8">
        <f t="shared" si="19"/>
        <v>0</v>
      </c>
    </row>
    <row r="35" spans="1:26">
      <c r="A35" s="784">
        <f t="shared" si="16"/>
        <v>18</v>
      </c>
      <c r="B35" s="302" t="s">
        <v>861</v>
      </c>
      <c r="C35" s="864">
        <f t="shared" si="5"/>
        <v>4592</v>
      </c>
      <c r="D35" s="785">
        <f t="shared" si="20"/>
        <v>953.05289653331295</v>
      </c>
      <c r="E35" s="785">
        <f t="shared" si="20"/>
        <v>237.59582014415926</v>
      </c>
      <c r="F35" s="785">
        <f t="shared" si="20"/>
        <v>1102.9327638152627</v>
      </c>
      <c r="G35" s="785">
        <f t="shared" si="20"/>
        <v>126.84031882841997</v>
      </c>
      <c r="H35" s="785">
        <f t="shared" si="20"/>
        <v>57.206056214484576</v>
      </c>
      <c r="I35" s="785">
        <f t="shared" si="20"/>
        <v>241.39773464017389</v>
      </c>
      <c r="J35" s="369"/>
      <c r="K35" s="828">
        <f t="shared" si="21"/>
        <v>7311</v>
      </c>
      <c r="L35" s="785">
        <v>2</v>
      </c>
      <c r="M35" s="785">
        <f t="shared" si="17"/>
        <v>3655.5</v>
      </c>
      <c r="N35" s="685">
        <v>5857</v>
      </c>
      <c r="O35" s="685"/>
      <c r="P35" s="189" t="s">
        <v>501</v>
      </c>
      <c r="Q35" s="802">
        <v>40690</v>
      </c>
      <c r="R35" s="801"/>
      <c r="S35" s="310">
        <f>L35/2</f>
        <v>1</v>
      </c>
      <c r="T35" s="263">
        <v>4592</v>
      </c>
      <c r="U35" s="8">
        <f t="shared" si="18"/>
        <v>4592</v>
      </c>
      <c r="V35" s="460"/>
      <c r="W35" s="802"/>
      <c r="X35" s="832"/>
      <c r="Y35" s="832"/>
      <c r="Z35" s="8">
        <f t="shared" si="19"/>
        <v>0</v>
      </c>
    </row>
    <row r="36" spans="1:26">
      <c r="A36" s="784">
        <f t="shared" si="16"/>
        <v>19</v>
      </c>
      <c r="B36" s="302" t="s">
        <v>862</v>
      </c>
      <c r="C36" s="864">
        <f t="shared" si="5"/>
        <v>1273600</v>
      </c>
      <c r="D36" s="785">
        <f t="shared" si="20"/>
        <v>92922.657411998007</v>
      </c>
      <c r="E36" s="785">
        <f t="shared" si="20"/>
        <v>23165.592464055528</v>
      </c>
      <c r="F36" s="785">
        <f t="shared" si="20"/>
        <v>107535.94447198811</v>
      </c>
      <c r="G36" s="785">
        <f t="shared" si="20"/>
        <v>12366.931085770946</v>
      </c>
      <c r="H36" s="785">
        <f t="shared" si="20"/>
        <v>5577.5904809122458</v>
      </c>
      <c r="I36" s="785">
        <f t="shared" si="20"/>
        <v>23536.279127416954</v>
      </c>
      <c r="J36" s="369"/>
      <c r="K36" s="828">
        <f t="shared" si="21"/>
        <v>1538705</v>
      </c>
      <c r="L36" s="785">
        <v>195</v>
      </c>
      <c r="M36" s="785">
        <f t="shared" si="17"/>
        <v>7890.7948717948721</v>
      </c>
      <c r="N36" s="685">
        <v>8824</v>
      </c>
      <c r="O36" s="685"/>
      <c r="P36" s="189" t="s">
        <v>543</v>
      </c>
      <c r="Q36" s="802">
        <v>40690</v>
      </c>
      <c r="R36" s="801"/>
      <c r="S36" s="310">
        <v>199</v>
      </c>
      <c r="T36" s="263">
        <v>6400</v>
      </c>
      <c r="U36" s="8">
        <f t="shared" si="18"/>
        <v>1273600</v>
      </c>
      <c r="V36" s="460"/>
      <c r="W36" s="802"/>
      <c r="X36" s="832"/>
      <c r="Y36" s="832"/>
      <c r="Z36" s="8">
        <f t="shared" si="19"/>
        <v>0</v>
      </c>
    </row>
    <row r="37" spans="1:26">
      <c r="A37" s="784">
        <f t="shared" si="16"/>
        <v>20</v>
      </c>
      <c r="B37" s="302" t="s">
        <v>863</v>
      </c>
      <c r="C37" s="864">
        <f t="shared" si="5"/>
        <v>295680</v>
      </c>
      <c r="D37" s="785">
        <f t="shared" si="20"/>
        <v>9530.5289653331292</v>
      </c>
      <c r="E37" s="785">
        <f t="shared" si="20"/>
        <v>2375.9582014415928</v>
      </c>
      <c r="F37" s="785">
        <f t="shared" si="20"/>
        <v>11029.327638152627</v>
      </c>
      <c r="G37" s="785">
        <f t="shared" si="20"/>
        <v>1268.4031882841996</v>
      </c>
      <c r="H37" s="785">
        <f t="shared" si="20"/>
        <v>572.06056214484579</v>
      </c>
      <c r="I37" s="785">
        <f t="shared" si="20"/>
        <v>2413.9773464017389</v>
      </c>
      <c r="J37" s="369"/>
      <c r="K37" s="828">
        <f t="shared" si="21"/>
        <v>322870</v>
      </c>
      <c r="L37" s="785">
        <v>20</v>
      </c>
      <c r="M37" s="785">
        <f t="shared" si="17"/>
        <v>16143.5</v>
      </c>
      <c r="N37" s="685">
        <v>16023</v>
      </c>
      <c r="O37" s="685"/>
      <c r="P37" s="189" t="s">
        <v>532</v>
      </c>
      <c r="Q37" s="802">
        <v>40690</v>
      </c>
      <c r="R37" s="801"/>
      <c r="S37" s="310">
        <f>L37</f>
        <v>20</v>
      </c>
      <c r="T37" s="260">
        <v>14784</v>
      </c>
      <c r="U37" s="8">
        <f t="shared" si="18"/>
        <v>295680</v>
      </c>
      <c r="V37" s="460"/>
      <c r="W37" s="802"/>
      <c r="X37" s="832"/>
      <c r="Y37" s="832"/>
      <c r="Z37" s="8">
        <f t="shared" si="19"/>
        <v>0</v>
      </c>
    </row>
    <row r="38" spans="1:26">
      <c r="A38" s="784">
        <f t="shared" si="16"/>
        <v>21</v>
      </c>
      <c r="B38" s="302" t="s">
        <v>864</v>
      </c>
      <c r="C38" s="864">
        <f t="shared" si="5"/>
        <v>5612</v>
      </c>
      <c r="D38" s="785">
        <f t="shared" ref="D38:I47" si="23">IF($L$182&lt;&gt;0,D$182/$L$182*$L38,0)</f>
        <v>476.52644826665647</v>
      </c>
      <c r="E38" s="785">
        <f t="shared" si="23"/>
        <v>118.79791007207963</v>
      </c>
      <c r="F38" s="785">
        <f t="shared" si="23"/>
        <v>551.46638190763133</v>
      </c>
      <c r="G38" s="785">
        <f t="shared" si="23"/>
        <v>63.420159414209984</v>
      </c>
      <c r="H38" s="785">
        <f t="shared" si="23"/>
        <v>28.603028107242288</v>
      </c>
      <c r="I38" s="785">
        <f t="shared" si="23"/>
        <v>120.69886732008695</v>
      </c>
      <c r="J38" s="369"/>
      <c r="K38" s="828">
        <f t="shared" si="21"/>
        <v>6972</v>
      </c>
      <c r="L38" s="785">
        <v>1</v>
      </c>
      <c r="M38" s="785">
        <f t="shared" si="17"/>
        <v>6972</v>
      </c>
      <c r="N38" s="685">
        <v>7358</v>
      </c>
      <c r="O38" s="685"/>
      <c r="P38" s="189" t="s">
        <v>525</v>
      </c>
      <c r="Q38" s="802">
        <v>40690</v>
      </c>
      <c r="R38" s="801"/>
      <c r="S38" s="859">
        <f t="shared" ref="S38" si="24">L38</f>
        <v>1</v>
      </c>
      <c r="T38" s="263">
        <v>5612</v>
      </c>
      <c r="U38" s="8">
        <f t="shared" si="18"/>
        <v>5612</v>
      </c>
      <c r="V38" s="460"/>
      <c r="W38" s="802"/>
      <c r="X38" s="832"/>
      <c r="Y38" s="832"/>
      <c r="Z38" s="8">
        <f t="shared" si="19"/>
        <v>0</v>
      </c>
    </row>
    <row r="39" spans="1:26">
      <c r="A39" s="784">
        <f t="shared" si="16"/>
        <v>22</v>
      </c>
      <c r="B39" s="302" t="s">
        <v>865</v>
      </c>
      <c r="C39" s="864">
        <f t="shared" si="5"/>
        <v>17796</v>
      </c>
      <c r="D39" s="785">
        <f t="shared" si="23"/>
        <v>1906.1057930666259</v>
      </c>
      <c r="E39" s="785">
        <f t="shared" si="23"/>
        <v>475.19164028831852</v>
      </c>
      <c r="F39" s="785">
        <f t="shared" si="23"/>
        <v>2205.8655276305253</v>
      </c>
      <c r="G39" s="785">
        <f t="shared" si="23"/>
        <v>253.68063765683993</v>
      </c>
      <c r="H39" s="785">
        <f t="shared" si="23"/>
        <v>114.41211242896915</v>
      </c>
      <c r="I39" s="785">
        <f t="shared" si="23"/>
        <v>482.79546928034779</v>
      </c>
      <c r="J39" s="369"/>
      <c r="K39" s="828">
        <f t="shared" si="21"/>
        <v>23234</v>
      </c>
      <c r="L39" s="785">
        <v>4</v>
      </c>
      <c r="M39" s="785">
        <f t="shared" si="17"/>
        <v>5808.5</v>
      </c>
      <c r="N39" s="685">
        <v>7429</v>
      </c>
      <c r="O39" s="685"/>
      <c r="P39" s="302" t="s">
        <v>410</v>
      </c>
      <c r="Q39" s="802">
        <v>40690</v>
      </c>
      <c r="R39" s="801"/>
      <c r="S39" s="310">
        <f>L39</f>
        <v>4</v>
      </c>
      <c r="T39" s="263">
        <v>4449</v>
      </c>
      <c r="U39" s="8">
        <f t="shared" si="18"/>
        <v>17796</v>
      </c>
      <c r="V39" s="460"/>
      <c r="W39" s="802"/>
      <c r="X39" s="832"/>
      <c r="Y39" s="832"/>
      <c r="Z39" s="8">
        <f t="shared" si="19"/>
        <v>0</v>
      </c>
    </row>
    <row r="40" spans="1:26">
      <c r="A40" s="784">
        <f t="shared" si="16"/>
        <v>23</v>
      </c>
      <c r="B40" s="302" t="s">
        <v>866</v>
      </c>
      <c r="C40" s="864">
        <f t="shared" si="5"/>
        <v>4449</v>
      </c>
      <c r="D40" s="785">
        <f t="shared" si="23"/>
        <v>953.05289653331295</v>
      </c>
      <c r="E40" s="785">
        <f t="shared" si="23"/>
        <v>237.59582014415926</v>
      </c>
      <c r="F40" s="785">
        <f t="shared" si="23"/>
        <v>1102.9327638152627</v>
      </c>
      <c r="G40" s="785">
        <f t="shared" si="23"/>
        <v>126.84031882841997</v>
      </c>
      <c r="H40" s="785">
        <f t="shared" si="23"/>
        <v>57.206056214484576</v>
      </c>
      <c r="I40" s="785">
        <f t="shared" si="23"/>
        <v>241.39773464017389</v>
      </c>
      <c r="J40" s="369"/>
      <c r="K40" s="828">
        <f t="shared" si="21"/>
        <v>7168</v>
      </c>
      <c r="L40" s="785">
        <v>2</v>
      </c>
      <c r="M40" s="785">
        <f t="shared" si="17"/>
        <v>3584</v>
      </c>
      <c r="N40" s="685">
        <v>4823</v>
      </c>
      <c r="O40" s="685"/>
      <c r="P40" s="189" t="s">
        <v>410</v>
      </c>
      <c r="Q40" s="802">
        <v>40690</v>
      </c>
      <c r="R40" s="801"/>
      <c r="S40" s="310">
        <f>L40/2</f>
        <v>1</v>
      </c>
      <c r="T40" s="263">
        <v>4449</v>
      </c>
      <c r="U40" s="8">
        <f t="shared" si="18"/>
        <v>4449</v>
      </c>
      <c r="V40" s="460"/>
      <c r="W40" s="802"/>
      <c r="X40" s="832"/>
      <c r="Y40" s="832"/>
      <c r="Z40" s="8">
        <f t="shared" si="19"/>
        <v>0</v>
      </c>
    </row>
    <row r="41" spans="1:26">
      <c r="A41" s="784">
        <f t="shared" si="16"/>
        <v>24</v>
      </c>
      <c r="B41" s="302" t="s">
        <v>867</v>
      </c>
      <c r="C41" s="864">
        <f t="shared" si="5"/>
        <v>14536</v>
      </c>
      <c r="D41" s="785">
        <f t="shared" si="23"/>
        <v>953.05289653331295</v>
      </c>
      <c r="E41" s="785">
        <f t="shared" si="23"/>
        <v>237.59582014415926</v>
      </c>
      <c r="F41" s="785">
        <f t="shared" si="23"/>
        <v>1102.9327638152627</v>
      </c>
      <c r="G41" s="785">
        <f t="shared" si="23"/>
        <v>126.84031882841997</v>
      </c>
      <c r="H41" s="785">
        <f t="shared" si="23"/>
        <v>57.206056214484576</v>
      </c>
      <c r="I41" s="785">
        <f t="shared" si="23"/>
        <v>241.39773464017389</v>
      </c>
      <c r="J41" s="369"/>
      <c r="K41" s="828">
        <f t="shared" si="21"/>
        <v>17255</v>
      </c>
      <c r="L41" s="785">
        <v>2</v>
      </c>
      <c r="M41" s="785">
        <f t="shared" si="17"/>
        <v>8627.5</v>
      </c>
      <c r="N41" s="685">
        <v>9141</v>
      </c>
      <c r="O41" s="685"/>
      <c r="P41" s="189" t="s">
        <v>546</v>
      </c>
      <c r="Q41" s="802">
        <v>40690</v>
      </c>
      <c r="R41" s="801"/>
      <c r="S41" s="310">
        <f>L41</f>
        <v>2</v>
      </c>
      <c r="T41" s="263">
        <v>7268</v>
      </c>
      <c r="U41" s="8">
        <f t="shared" si="18"/>
        <v>14536</v>
      </c>
      <c r="V41" s="460"/>
      <c r="W41" s="802"/>
      <c r="X41" s="832"/>
      <c r="Y41" s="832"/>
      <c r="Z41" s="8">
        <f t="shared" si="19"/>
        <v>0</v>
      </c>
    </row>
    <row r="42" spans="1:26">
      <c r="A42" s="784">
        <f t="shared" si="16"/>
        <v>25</v>
      </c>
      <c r="B42" s="302" t="s">
        <v>873</v>
      </c>
      <c r="C42" s="864">
        <f t="shared" si="5"/>
        <v>11662</v>
      </c>
      <c r="D42" s="785">
        <f t="shared" si="23"/>
        <v>953.05289653331295</v>
      </c>
      <c r="E42" s="785">
        <f t="shared" si="23"/>
        <v>237.59582014415926</v>
      </c>
      <c r="F42" s="785">
        <f t="shared" si="23"/>
        <v>1102.9327638152627</v>
      </c>
      <c r="G42" s="785">
        <f t="shared" si="23"/>
        <v>126.84031882841997</v>
      </c>
      <c r="H42" s="785">
        <f t="shared" si="23"/>
        <v>57.206056214484576</v>
      </c>
      <c r="I42" s="785">
        <f t="shared" si="23"/>
        <v>241.39773464017389</v>
      </c>
      <c r="J42" s="369"/>
      <c r="K42" s="828">
        <f t="shared" si="21"/>
        <v>14381</v>
      </c>
      <c r="L42" s="785">
        <v>2</v>
      </c>
      <c r="M42" s="785">
        <f t="shared" si="17"/>
        <v>7190.5</v>
      </c>
      <c r="N42" s="685">
        <v>7441</v>
      </c>
      <c r="O42" s="685"/>
      <c r="P42" s="189" t="s">
        <v>526</v>
      </c>
      <c r="Q42" s="802">
        <v>40690</v>
      </c>
      <c r="R42" s="801"/>
      <c r="S42" s="859">
        <f t="shared" ref="S42:S43" si="25">L42</f>
        <v>2</v>
      </c>
      <c r="T42" s="263">
        <v>5831</v>
      </c>
      <c r="U42" s="8">
        <f t="shared" si="18"/>
        <v>11662</v>
      </c>
      <c r="V42" s="460"/>
      <c r="W42" s="802"/>
      <c r="X42" s="832"/>
      <c r="Y42" s="832"/>
      <c r="Z42" s="8">
        <f t="shared" si="19"/>
        <v>0</v>
      </c>
    </row>
    <row r="43" spans="1:26">
      <c r="A43" s="784">
        <f t="shared" si="16"/>
        <v>26</v>
      </c>
      <c r="B43" s="302" t="s">
        <v>874</v>
      </c>
      <c r="C43" s="864">
        <f t="shared" si="5"/>
        <v>28060</v>
      </c>
      <c r="D43" s="785">
        <f t="shared" si="23"/>
        <v>2382.6322413332823</v>
      </c>
      <c r="E43" s="785">
        <f t="shared" si="23"/>
        <v>593.9895503603982</v>
      </c>
      <c r="F43" s="785">
        <f t="shared" si="23"/>
        <v>2757.3319095381567</v>
      </c>
      <c r="G43" s="785">
        <f t="shared" si="23"/>
        <v>317.1007970710499</v>
      </c>
      <c r="H43" s="785">
        <f t="shared" si="23"/>
        <v>143.01514053621145</v>
      </c>
      <c r="I43" s="785">
        <f t="shared" si="23"/>
        <v>603.49433660043474</v>
      </c>
      <c r="J43" s="369"/>
      <c r="K43" s="828">
        <f t="shared" si="21"/>
        <v>34858</v>
      </c>
      <c r="L43" s="785">
        <v>5</v>
      </c>
      <c r="M43" s="785">
        <f t="shared" si="17"/>
        <v>6971.6</v>
      </c>
      <c r="N43" s="685">
        <v>7175</v>
      </c>
      <c r="O43" s="685"/>
      <c r="P43" s="189" t="s">
        <v>525</v>
      </c>
      <c r="Q43" s="802">
        <v>40690</v>
      </c>
      <c r="R43" s="801"/>
      <c r="S43" s="859">
        <f t="shared" si="25"/>
        <v>5</v>
      </c>
      <c r="T43" s="263">
        <v>5612</v>
      </c>
      <c r="U43" s="8">
        <f t="shared" si="18"/>
        <v>28060</v>
      </c>
      <c r="V43" s="460"/>
      <c r="W43" s="802"/>
      <c r="X43" s="832"/>
      <c r="Y43" s="832"/>
      <c r="Z43" s="8">
        <f t="shared" si="19"/>
        <v>0</v>
      </c>
    </row>
    <row r="44" spans="1:26">
      <c r="A44" s="784">
        <f t="shared" si="16"/>
        <v>27</v>
      </c>
      <c r="B44" s="302" t="s">
        <v>875</v>
      </c>
      <c r="C44" s="864">
        <f t="shared" si="5"/>
        <v>1455550</v>
      </c>
      <c r="D44" s="785">
        <f t="shared" si="23"/>
        <v>40981.27455093246</v>
      </c>
      <c r="E44" s="785">
        <f t="shared" si="23"/>
        <v>10216.620266198848</v>
      </c>
      <c r="F44" s="785">
        <f t="shared" si="23"/>
        <v>47426.108844056296</v>
      </c>
      <c r="G44" s="785">
        <f t="shared" si="23"/>
        <v>5454.1337096220586</v>
      </c>
      <c r="H44" s="785">
        <f t="shared" si="23"/>
        <v>2459.860417222837</v>
      </c>
      <c r="I44" s="785">
        <f t="shared" si="23"/>
        <v>10380.102589527478</v>
      </c>
      <c r="J44" s="369"/>
      <c r="K44" s="828">
        <f t="shared" si="21"/>
        <v>1572468</v>
      </c>
      <c r="L44" s="785">
        <v>86</v>
      </c>
      <c r="M44" s="785">
        <f t="shared" si="17"/>
        <v>18284.511627906977</v>
      </c>
      <c r="N44" s="685">
        <v>19591</v>
      </c>
      <c r="O44" s="685"/>
      <c r="P44" s="189" t="s">
        <v>512</v>
      </c>
      <c r="Q44" s="802">
        <v>40690</v>
      </c>
      <c r="R44" s="801"/>
      <c r="S44" s="859">
        <f>L44</f>
        <v>86</v>
      </c>
      <c r="T44" s="834">
        <v>16925</v>
      </c>
      <c r="U44" s="8">
        <f t="shared" si="18"/>
        <v>1455550</v>
      </c>
      <c r="V44" s="460"/>
      <c r="W44" s="802"/>
      <c r="X44" s="832"/>
      <c r="Y44" s="832"/>
      <c r="Z44" s="8">
        <f t="shared" si="19"/>
        <v>0</v>
      </c>
    </row>
    <row r="45" spans="1:26">
      <c r="A45" s="784">
        <f t="shared" si="16"/>
        <v>28</v>
      </c>
      <c r="B45" s="302" t="s">
        <v>876</v>
      </c>
      <c r="C45" s="864">
        <f t="shared" si="5"/>
        <v>53992</v>
      </c>
      <c r="D45" s="785">
        <f t="shared" si="23"/>
        <v>1906.1057930666259</v>
      </c>
      <c r="E45" s="785">
        <f t="shared" si="23"/>
        <v>475.19164028831852</v>
      </c>
      <c r="F45" s="785">
        <f t="shared" si="23"/>
        <v>2205.8655276305253</v>
      </c>
      <c r="G45" s="785">
        <f t="shared" si="23"/>
        <v>253.68063765683993</v>
      </c>
      <c r="H45" s="785">
        <f t="shared" si="23"/>
        <v>114.41211242896915</v>
      </c>
      <c r="I45" s="785">
        <f t="shared" si="23"/>
        <v>482.79546928034779</v>
      </c>
      <c r="J45" s="369"/>
      <c r="K45" s="828">
        <f t="shared" si="21"/>
        <v>59430</v>
      </c>
      <c r="L45" s="785">
        <v>4</v>
      </c>
      <c r="M45" s="785">
        <f t="shared" si="17"/>
        <v>14857.5</v>
      </c>
      <c r="N45" s="685">
        <v>16433</v>
      </c>
      <c r="O45" s="685"/>
      <c r="P45" s="189" t="s">
        <v>524</v>
      </c>
      <c r="Q45" s="802">
        <v>40690</v>
      </c>
      <c r="R45" s="801"/>
      <c r="S45" s="310">
        <f t="shared" ref="S45:S46" si="26">L45</f>
        <v>4</v>
      </c>
      <c r="T45" s="263">
        <v>13498</v>
      </c>
      <c r="U45" s="8">
        <f t="shared" si="18"/>
        <v>53992</v>
      </c>
      <c r="V45" s="460"/>
      <c r="W45" s="802"/>
      <c r="X45" s="832"/>
      <c r="Y45" s="832"/>
      <c r="Z45" s="8">
        <f t="shared" si="19"/>
        <v>0</v>
      </c>
    </row>
    <row r="46" spans="1:26">
      <c r="A46" s="784">
        <f t="shared" si="16"/>
        <v>29</v>
      </c>
      <c r="B46" s="302" t="s">
        <v>877</v>
      </c>
      <c r="C46" s="864">
        <f t="shared" si="5"/>
        <v>323952</v>
      </c>
      <c r="D46" s="785">
        <f t="shared" si="23"/>
        <v>11436.634758399756</v>
      </c>
      <c r="E46" s="785">
        <f t="shared" si="23"/>
        <v>2851.1498417299113</v>
      </c>
      <c r="F46" s="785">
        <f t="shared" si="23"/>
        <v>13235.193165783152</v>
      </c>
      <c r="G46" s="785">
        <f t="shared" si="23"/>
        <v>1522.0838259410395</v>
      </c>
      <c r="H46" s="785">
        <f t="shared" si="23"/>
        <v>686.47267457381486</v>
      </c>
      <c r="I46" s="785">
        <f t="shared" si="23"/>
        <v>2896.7728156820867</v>
      </c>
      <c r="J46" s="369"/>
      <c r="K46" s="828">
        <f t="shared" si="21"/>
        <v>356580</v>
      </c>
      <c r="L46" s="785">
        <v>24</v>
      </c>
      <c r="M46" s="785">
        <f t="shared" si="17"/>
        <v>14857.5</v>
      </c>
      <c r="N46" s="685">
        <v>15538</v>
      </c>
      <c r="O46" s="685"/>
      <c r="P46" s="189" t="s">
        <v>524</v>
      </c>
      <c r="Q46" s="802">
        <v>40690</v>
      </c>
      <c r="R46" s="801"/>
      <c r="S46" s="310">
        <f t="shared" si="26"/>
        <v>24</v>
      </c>
      <c r="T46" s="263">
        <v>13498</v>
      </c>
      <c r="U46" s="8">
        <f t="shared" si="18"/>
        <v>323952</v>
      </c>
      <c r="V46" s="460"/>
      <c r="W46" s="802"/>
      <c r="X46" s="832"/>
      <c r="Y46" s="832"/>
      <c r="Z46" s="8">
        <f t="shared" si="19"/>
        <v>0</v>
      </c>
    </row>
    <row r="47" spans="1:26">
      <c r="A47" s="784">
        <f t="shared" si="16"/>
        <v>30</v>
      </c>
      <c r="B47" s="302" t="s">
        <v>878</v>
      </c>
      <c r="C47" s="864">
        <f t="shared" si="5"/>
        <v>5128200</v>
      </c>
      <c r="D47" s="785">
        <f t="shared" si="23"/>
        <v>173455.62716906297</v>
      </c>
      <c r="E47" s="785">
        <f t="shared" si="23"/>
        <v>43242.439266236986</v>
      </c>
      <c r="F47" s="785">
        <f t="shared" si="23"/>
        <v>200733.76301437779</v>
      </c>
      <c r="G47" s="785">
        <f t="shared" si="23"/>
        <v>23084.938026772434</v>
      </c>
      <c r="H47" s="785">
        <f t="shared" si="23"/>
        <v>10411.502231036193</v>
      </c>
      <c r="I47" s="785">
        <f t="shared" si="23"/>
        <v>43934.387704511646</v>
      </c>
      <c r="J47" s="369"/>
      <c r="K47" s="828">
        <f t="shared" si="21"/>
        <v>5623063</v>
      </c>
      <c r="L47" s="785">
        <v>364</v>
      </c>
      <c r="M47" s="785">
        <f t="shared" si="17"/>
        <v>15447.975274725275</v>
      </c>
      <c r="N47" s="685">
        <v>17124</v>
      </c>
      <c r="O47" s="685"/>
      <c r="P47" s="302" t="s">
        <v>505</v>
      </c>
      <c r="Q47" s="802">
        <v>40690</v>
      </c>
      <c r="R47" s="801"/>
      <c r="S47" s="310">
        <v>185</v>
      </c>
      <c r="T47" s="260">
        <v>27720</v>
      </c>
      <c r="U47" s="8">
        <f t="shared" si="18"/>
        <v>5128200</v>
      </c>
      <c r="V47" s="460"/>
      <c r="W47" s="802"/>
      <c r="X47" s="832"/>
      <c r="Y47" s="832"/>
      <c r="Z47" s="8">
        <f t="shared" si="19"/>
        <v>0</v>
      </c>
    </row>
    <row r="48" spans="1:26">
      <c r="A48" s="784">
        <f t="shared" si="16"/>
        <v>31</v>
      </c>
      <c r="B48" s="302" t="s">
        <v>879</v>
      </c>
      <c r="C48" s="864">
        <f t="shared" si="5"/>
        <v>17240</v>
      </c>
      <c r="D48" s="785">
        <f t="shared" ref="D48:I57" si="27">IF($L$182&lt;&gt;0,D$182/$L$182*$L48,0)</f>
        <v>953.05289653331295</v>
      </c>
      <c r="E48" s="785">
        <f t="shared" si="27"/>
        <v>237.59582014415926</v>
      </c>
      <c r="F48" s="785">
        <f t="shared" si="27"/>
        <v>1102.9327638152627</v>
      </c>
      <c r="G48" s="785">
        <f t="shared" si="27"/>
        <v>126.84031882841997</v>
      </c>
      <c r="H48" s="785">
        <f t="shared" si="27"/>
        <v>57.206056214484576</v>
      </c>
      <c r="I48" s="785">
        <f t="shared" si="27"/>
        <v>241.39773464017389</v>
      </c>
      <c r="J48" s="369"/>
      <c r="K48" s="828">
        <f t="shared" si="21"/>
        <v>19959</v>
      </c>
      <c r="L48" s="785">
        <v>2</v>
      </c>
      <c r="M48" s="785">
        <f t="shared" si="17"/>
        <v>9979.5</v>
      </c>
      <c r="N48" s="685">
        <v>12738</v>
      </c>
      <c r="O48" s="685"/>
      <c r="P48" s="189" t="s">
        <v>530</v>
      </c>
      <c r="Q48" s="802">
        <v>40690</v>
      </c>
      <c r="R48" s="801"/>
      <c r="S48" s="310">
        <f>L48</f>
        <v>2</v>
      </c>
      <c r="T48" s="260">
        <v>8620</v>
      </c>
      <c r="U48" s="8">
        <f t="shared" si="18"/>
        <v>17240</v>
      </c>
      <c r="V48" s="460"/>
      <c r="W48" s="802"/>
      <c r="X48" s="832"/>
      <c r="Y48" s="832"/>
      <c r="Z48" s="8">
        <f t="shared" si="19"/>
        <v>0</v>
      </c>
    </row>
    <row r="49" spans="1:26">
      <c r="A49" s="839">
        <f t="shared" si="16"/>
        <v>32</v>
      </c>
      <c r="B49" s="303" t="s">
        <v>880</v>
      </c>
      <c r="C49" s="864">
        <f t="shared" si="5"/>
        <v>118580</v>
      </c>
      <c r="D49" s="305">
        <f t="shared" si="27"/>
        <v>4765.2644826665646</v>
      </c>
      <c r="E49" s="305">
        <f t="shared" si="27"/>
        <v>1187.9791007207964</v>
      </c>
      <c r="F49" s="305">
        <f t="shared" si="27"/>
        <v>5514.6638190763133</v>
      </c>
      <c r="G49" s="305">
        <f t="shared" si="27"/>
        <v>634.20159414209979</v>
      </c>
      <c r="H49" s="305">
        <f t="shared" si="27"/>
        <v>286.03028107242289</v>
      </c>
      <c r="I49" s="305">
        <f t="shared" si="27"/>
        <v>1206.9886732008695</v>
      </c>
      <c r="J49" s="369"/>
      <c r="K49" s="828">
        <f t="shared" si="21"/>
        <v>132175</v>
      </c>
      <c r="L49" s="549">
        <v>10</v>
      </c>
      <c r="M49" s="549">
        <f t="shared" si="17"/>
        <v>13217.5</v>
      </c>
      <c r="N49" s="842">
        <v>14997</v>
      </c>
      <c r="O49" s="685"/>
      <c r="P49" s="189" t="s">
        <v>515</v>
      </c>
      <c r="Q49" s="802">
        <v>40690</v>
      </c>
      <c r="R49" s="801"/>
      <c r="S49" s="859">
        <v>5</v>
      </c>
      <c r="T49" s="263">
        <v>23716</v>
      </c>
      <c r="U49" s="8">
        <f t="shared" si="18"/>
        <v>118580</v>
      </c>
      <c r="V49" s="460"/>
      <c r="W49" s="802"/>
      <c r="X49" s="832"/>
      <c r="Y49" s="832"/>
      <c r="Z49" s="8">
        <f t="shared" si="19"/>
        <v>0</v>
      </c>
    </row>
    <row r="50" spans="1:26">
      <c r="A50" s="784">
        <f>IF(B50&lt;&gt;"",A49+1,"")</f>
        <v>33</v>
      </c>
      <c r="B50" s="302" t="s">
        <v>881</v>
      </c>
      <c r="C50" s="864">
        <f t="shared" si="5"/>
        <v>5821200</v>
      </c>
      <c r="D50" s="785">
        <f t="shared" si="27"/>
        <v>197281.94958239578</v>
      </c>
      <c r="E50" s="785">
        <f t="shared" si="27"/>
        <v>49182.334769840971</v>
      </c>
      <c r="F50" s="785">
        <f t="shared" si="27"/>
        <v>228307.08210975936</v>
      </c>
      <c r="G50" s="785">
        <f t="shared" si="27"/>
        <v>26255.945997482933</v>
      </c>
      <c r="H50" s="262">
        <f t="shared" si="27"/>
        <v>11841.653636398307</v>
      </c>
      <c r="I50" s="262">
        <f t="shared" si="27"/>
        <v>49969.331070515997</v>
      </c>
      <c r="J50" s="369"/>
      <c r="K50" s="828">
        <f t="shared" si="21"/>
        <v>6384038</v>
      </c>
      <c r="L50" s="262">
        <v>414</v>
      </c>
      <c r="M50" s="262">
        <f t="shared" si="17"/>
        <v>15420.381642512077</v>
      </c>
      <c r="N50" s="685">
        <v>16852</v>
      </c>
      <c r="O50" s="685"/>
      <c r="P50" s="302" t="s">
        <v>505</v>
      </c>
      <c r="Q50" s="802">
        <v>40690</v>
      </c>
      <c r="R50" s="801"/>
      <c r="S50" s="310">
        <v>210</v>
      </c>
      <c r="T50" s="260">
        <v>27720</v>
      </c>
      <c r="U50" s="8">
        <f t="shared" si="18"/>
        <v>5821200</v>
      </c>
      <c r="V50" s="460"/>
      <c r="W50" s="802"/>
      <c r="X50" s="832"/>
      <c r="Y50" s="832"/>
      <c r="Z50" s="8">
        <f t="shared" si="19"/>
        <v>0</v>
      </c>
    </row>
    <row r="51" spans="1:26">
      <c r="A51" s="784">
        <f t="shared" si="16"/>
        <v>34</v>
      </c>
      <c r="B51" s="302" t="s">
        <v>882</v>
      </c>
      <c r="C51" s="864">
        <f t="shared" si="5"/>
        <v>17388000</v>
      </c>
      <c r="D51" s="785">
        <f t="shared" si="27"/>
        <v>657606.49860798591</v>
      </c>
      <c r="E51" s="785">
        <f t="shared" si="27"/>
        <v>163941.11589946988</v>
      </c>
      <c r="F51" s="785">
        <f t="shared" si="27"/>
        <v>761023.60703253129</v>
      </c>
      <c r="G51" s="785">
        <f t="shared" si="27"/>
        <v>87519.81999160978</v>
      </c>
      <c r="H51" s="262">
        <f t="shared" si="27"/>
        <v>39472.178787994359</v>
      </c>
      <c r="I51" s="262">
        <f t="shared" si="27"/>
        <v>166564.43690171998</v>
      </c>
      <c r="J51" s="369"/>
      <c r="K51" s="828">
        <f t="shared" si="21"/>
        <v>19264128</v>
      </c>
      <c r="L51" s="262">
        <v>1380</v>
      </c>
      <c r="M51" s="262">
        <f t="shared" si="17"/>
        <v>13959.51304347826</v>
      </c>
      <c r="N51" s="685">
        <v>14135</v>
      </c>
      <c r="O51" s="685"/>
      <c r="P51" s="302" t="s">
        <v>504</v>
      </c>
      <c r="Q51" s="802">
        <v>40690</v>
      </c>
      <c r="R51" s="801"/>
      <c r="S51" s="859">
        <f>L51/2</f>
        <v>690</v>
      </c>
      <c r="T51" s="263">
        <v>25200</v>
      </c>
      <c r="U51" s="8">
        <f t="shared" si="18"/>
        <v>17388000</v>
      </c>
      <c r="V51" s="460"/>
      <c r="W51" s="802"/>
      <c r="X51" s="832"/>
      <c r="Y51" s="832"/>
      <c r="Z51" s="8">
        <f t="shared" si="19"/>
        <v>0</v>
      </c>
    </row>
    <row r="52" spans="1:26">
      <c r="A52" s="839">
        <f t="shared" si="16"/>
        <v>35</v>
      </c>
      <c r="B52" s="303" t="s">
        <v>883</v>
      </c>
      <c r="C52" s="864">
        <f t="shared" si="5"/>
        <v>14212800</v>
      </c>
      <c r="D52" s="305">
        <f t="shared" si="27"/>
        <v>537045.3071965219</v>
      </c>
      <c r="E52" s="305">
        <f t="shared" si="27"/>
        <v>133885.24465123375</v>
      </c>
      <c r="F52" s="305">
        <f t="shared" si="27"/>
        <v>621502.61240990052</v>
      </c>
      <c r="G52" s="305">
        <f t="shared" si="27"/>
        <v>71474.519659814658</v>
      </c>
      <c r="H52" s="305">
        <f t="shared" si="27"/>
        <v>32235.61267686206</v>
      </c>
      <c r="I52" s="305">
        <f t="shared" si="27"/>
        <v>136027.623469738</v>
      </c>
      <c r="J52" s="305"/>
      <c r="K52" s="828">
        <f t="shared" si="21"/>
        <v>15744971</v>
      </c>
      <c r="L52" s="549">
        <v>1127</v>
      </c>
      <c r="M52" s="549">
        <f t="shared" si="17"/>
        <v>13970.692990239573</v>
      </c>
      <c r="N52" s="842">
        <v>14920</v>
      </c>
      <c r="O52" s="685"/>
      <c r="P52" s="302" t="s">
        <v>504</v>
      </c>
      <c r="Q52" s="802">
        <v>40690</v>
      </c>
      <c r="R52" s="801"/>
      <c r="S52" s="859">
        <v>564</v>
      </c>
      <c r="T52" s="263">
        <v>25200</v>
      </c>
      <c r="U52" s="8">
        <f t="shared" si="18"/>
        <v>14212800</v>
      </c>
      <c r="V52" s="460"/>
      <c r="W52" s="802"/>
      <c r="X52" s="832"/>
      <c r="Y52" s="832"/>
      <c r="Z52" s="8">
        <f t="shared" si="19"/>
        <v>0</v>
      </c>
    </row>
    <row r="53" spans="1:26">
      <c r="A53" s="839">
        <f>IF(B53&lt;&gt;"",A52+1,"")</f>
        <v>36</v>
      </c>
      <c r="B53" s="303" t="s">
        <v>765</v>
      </c>
      <c r="C53" s="864">
        <f t="shared" si="5"/>
        <v>3063425</v>
      </c>
      <c r="D53" s="305">
        <f t="shared" si="27"/>
        <v>86251.287136264815</v>
      </c>
      <c r="E53" s="305">
        <f t="shared" si="27"/>
        <v>21502.421723046413</v>
      </c>
      <c r="F53" s="305">
        <f t="shared" si="27"/>
        <v>99815.415125281274</v>
      </c>
      <c r="G53" s="305">
        <f t="shared" si="27"/>
        <v>11479.048853972006</v>
      </c>
      <c r="H53" s="305">
        <f t="shared" si="27"/>
        <v>5177.1480874108538</v>
      </c>
      <c r="I53" s="305">
        <f t="shared" si="27"/>
        <v>21846.494984935736</v>
      </c>
      <c r="J53" s="305"/>
      <c r="K53" s="828">
        <f t="shared" si="21"/>
        <v>3309497</v>
      </c>
      <c r="L53" s="549">
        <v>181</v>
      </c>
      <c r="M53" s="549">
        <f t="shared" si="17"/>
        <v>18284.513812154695</v>
      </c>
      <c r="N53" s="842">
        <v>19720</v>
      </c>
      <c r="O53" s="685"/>
      <c r="P53" s="189" t="s">
        <v>512</v>
      </c>
      <c r="Q53" s="802">
        <v>40691</v>
      </c>
      <c r="R53" s="801"/>
      <c r="S53" s="859">
        <f>L53</f>
        <v>181</v>
      </c>
      <c r="T53" s="834">
        <v>16925</v>
      </c>
      <c r="U53" s="8">
        <f t="shared" si="18"/>
        <v>3063425</v>
      </c>
      <c r="V53" s="460"/>
      <c r="W53" s="802"/>
      <c r="X53" s="832"/>
      <c r="Y53" s="832"/>
      <c r="Z53" s="8">
        <f t="shared" si="19"/>
        <v>0</v>
      </c>
    </row>
    <row r="54" spans="1:26">
      <c r="A54" s="839">
        <f>IF(B54&lt;&gt;"",A53+1,"")</f>
        <v>37</v>
      </c>
      <c r="B54" s="303" t="s">
        <v>890</v>
      </c>
      <c r="C54" s="864">
        <f t="shared" si="5"/>
        <v>284736</v>
      </c>
      <c r="D54" s="305">
        <f t="shared" si="27"/>
        <v>121037.71785973075</v>
      </c>
      <c r="E54" s="305">
        <f t="shared" si="27"/>
        <v>30174.669158308225</v>
      </c>
      <c r="F54" s="305">
        <f t="shared" si="27"/>
        <v>140072.46100453835</v>
      </c>
      <c r="G54" s="305">
        <f t="shared" si="27"/>
        <v>16108.720491209337</v>
      </c>
      <c r="H54" s="305">
        <f t="shared" si="27"/>
        <v>7265.1691392395414</v>
      </c>
      <c r="I54" s="305">
        <f t="shared" si="27"/>
        <v>30657.512299302085</v>
      </c>
      <c r="J54" s="549"/>
      <c r="K54" s="828">
        <f t="shared" si="21"/>
        <v>630052</v>
      </c>
      <c r="L54" s="549">
        <v>254</v>
      </c>
      <c r="M54" s="549">
        <f t="shared" si="17"/>
        <v>2480.51968503937</v>
      </c>
      <c r="N54" s="842">
        <v>2200</v>
      </c>
      <c r="O54" s="685"/>
      <c r="P54" s="189" t="s">
        <v>410</v>
      </c>
      <c r="Q54" s="802">
        <v>40691</v>
      </c>
      <c r="R54" s="801"/>
      <c r="S54" s="310">
        <v>64</v>
      </c>
      <c r="T54" s="263">
        <v>4449</v>
      </c>
      <c r="U54" s="8">
        <f t="shared" si="18"/>
        <v>284736</v>
      </c>
      <c r="V54" s="460"/>
      <c r="W54" s="802"/>
      <c r="X54" s="832"/>
      <c r="Y54" s="832"/>
      <c r="Z54" s="8">
        <f t="shared" si="19"/>
        <v>0</v>
      </c>
    </row>
    <row r="55" spans="1:26">
      <c r="A55" s="784">
        <f>IF(B55&lt;&gt;"",A54+1,"")</f>
        <v>38</v>
      </c>
      <c r="B55" s="302" t="s">
        <v>891</v>
      </c>
      <c r="C55" s="864">
        <f t="shared" si="5"/>
        <v>5241600</v>
      </c>
      <c r="D55" s="785">
        <f t="shared" si="27"/>
        <v>194422.79089279583</v>
      </c>
      <c r="E55" s="785">
        <f t="shared" si="27"/>
        <v>48469.547309408488</v>
      </c>
      <c r="F55" s="785">
        <f t="shared" si="27"/>
        <v>224998.28381831359</v>
      </c>
      <c r="G55" s="785">
        <f t="shared" si="27"/>
        <v>25875.425040997674</v>
      </c>
      <c r="H55" s="785">
        <f t="shared" si="27"/>
        <v>11670.035467754853</v>
      </c>
      <c r="I55" s="785">
        <f t="shared" si="27"/>
        <v>49245.137866595476</v>
      </c>
      <c r="J55" s="369"/>
      <c r="K55" s="828">
        <f t="shared" si="21"/>
        <v>5796281</v>
      </c>
      <c r="L55" s="785">
        <v>408</v>
      </c>
      <c r="M55" s="785">
        <f t="shared" ref="M55:M86" si="28">IF(L55&lt;&gt;"",K55/L55,"")</f>
        <v>14206.571078431372</v>
      </c>
      <c r="N55" s="685">
        <v>15770</v>
      </c>
      <c r="O55" s="685"/>
      <c r="P55" s="302" t="s">
        <v>504</v>
      </c>
      <c r="Q55" s="802">
        <v>40691</v>
      </c>
      <c r="R55" s="801"/>
      <c r="S55" s="310">
        <v>208</v>
      </c>
      <c r="T55" s="260">
        <v>25200</v>
      </c>
      <c r="U55" s="8">
        <f t="shared" si="18"/>
        <v>5241600</v>
      </c>
      <c r="V55" s="460"/>
      <c r="W55" s="802"/>
      <c r="X55" s="832"/>
      <c r="Y55" s="832"/>
      <c r="Z55" s="8">
        <f t="shared" ref="Z55:Z86" si="29">X55*Y55</f>
        <v>0</v>
      </c>
    </row>
    <row r="56" spans="1:26">
      <c r="A56" s="784">
        <f t="shared" ref="A56:A86" si="30">IF(B56&lt;&gt;"",A55+1,"")</f>
        <v>39</v>
      </c>
      <c r="B56" s="302" t="s">
        <v>892</v>
      </c>
      <c r="C56" s="864">
        <f t="shared" si="5"/>
        <v>2764485</v>
      </c>
      <c r="D56" s="785">
        <f t="shared" si="27"/>
        <v>164401.62465199648</v>
      </c>
      <c r="E56" s="785">
        <f t="shared" si="27"/>
        <v>40985.27897486747</v>
      </c>
      <c r="F56" s="785">
        <f t="shared" si="27"/>
        <v>190255.90175813282</v>
      </c>
      <c r="G56" s="785">
        <f t="shared" si="27"/>
        <v>21879.954997902445</v>
      </c>
      <c r="H56" s="785">
        <f t="shared" si="27"/>
        <v>9868.0446969985896</v>
      </c>
      <c r="I56" s="785">
        <f t="shared" si="27"/>
        <v>41641.109225429995</v>
      </c>
      <c r="J56" s="369"/>
      <c r="K56" s="828">
        <f t="shared" si="21"/>
        <v>3233517</v>
      </c>
      <c r="L56" s="785">
        <v>345</v>
      </c>
      <c r="M56" s="785">
        <f t="shared" si="28"/>
        <v>9372.5130434782604</v>
      </c>
      <c r="N56" s="685">
        <v>11002</v>
      </c>
      <c r="O56" s="685"/>
      <c r="P56" s="189" t="s">
        <v>540</v>
      </c>
      <c r="Q56" s="802">
        <v>40691</v>
      </c>
      <c r="R56" s="801"/>
      <c r="S56" s="310">
        <f t="shared" ref="S56:S58" si="31">L56</f>
        <v>345</v>
      </c>
      <c r="T56" s="260">
        <v>8013</v>
      </c>
      <c r="U56" s="8">
        <f t="shared" si="18"/>
        <v>2764485</v>
      </c>
      <c r="V56" s="460"/>
      <c r="W56" s="802"/>
      <c r="X56" s="832"/>
      <c r="Y56" s="832"/>
      <c r="Z56" s="8">
        <f t="shared" si="29"/>
        <v>0</v>
      </c>
    </row>
    <row r="57" spans="1:26">
      <c r="A57" s="784">
        <f t="shared" si="30"/>
        <v>40</v>
      </c>
      <c r="B57" s="302" t="s">
        <v>893</v>
      </c>
      <c r="C57" s="864">
        <f t="shared" si="5"/>
        <v>34480</v>
      </c>
      <c r="D57" s="785">
        <f t="shared" si="27"/>
        <v>1906.1057930666259</v>
      </c>
      <c r="E57" s="785">
        <f t="shared" si="27"/>
        <v>475.19164028831852</v>
      </c>
      <c r="F57" s="785">
        <f t="shared" si="27"/>
        <v>2205.8655276305253</v>
      </c>
      <c r="G57" s="785">
        <f t="shared" si="27"/>
        <v>253.68063765683993</v>
      </c>
      <c r="H57" s="785">
        <f t="shared" si="27"/>
        <v>114.41211242896915</v>
      </c>
      <c r="I57" s="785">
        <f t="shared" si="27"/>
        <v>482.79546928034779</v>
      </c>
      <c r="J57" s="369"/>
      <c r="K57" s="828">
        <f t="shared" si="21"/>
        <v>39918</v>
      </c>
      <c r="L57" s="785">
        <v>4</v>
      </c>
      <c r="M57" s="785">
        <f t="shared" si="28"/>
        <v>9979.5</v>
      </c>
      <c r="N57" s="685">
        <v>12279</v>
      </c>
      <c r="O57" s="685"/>
      <c r="P57" s="189" t="s">
        <v>530</v>
      </c>
      <c r="Q57" s="802">
        <v>40691</v>
      </c>
      <c r="R57" s="801"/>
      <c r="S57" s="310">
        <f t="shared" si="31"/>
        <v>4</v>
      </c>
      <c r="T57" s="260">
        <v>8620</v>
      </c>
      <c r="U57" s="8">
        <f t="shared" si="18"/>
        <v>34480</v>
      </c>
      <c r="V57" s="460"/>
      <c r="W57" s="802"/>
      <c r="X57" s="832"/>
      <c r="Y57" s="832"/>
      <c r="Z57" s="8">
        <f t="shared" si="29"/>
        <v>0</v>
      </c>
    </row>
    <row r="58" spans="1:26">
      <c r="A58" s="784">
        <f t="shared" si="30"/>
        <v>41</v>
      </c>
      <c r="B58" s="302" t="s">
        <v>894</v>
      </c>
      <c r="C58" s="864">
        <f t="shared" si="5"/>
        <v>577540</v>
      </c>
      <c r="D58" s="785">
        <f t="shared" ref="D58:I67" si="32">IF($L$182&lt;&gt;0,D$182/$L$182*$L58,0)</f>
        <v>31927.272033865982</v>
      </c>
      <c r="E58" s="785">
        <f t="shared" si="32"/>
        <v>7959.4599748293349</v>
      </c>
      <c r="F58" s="785">
        <f t="shared" si="32"/>
        <v>36948.247587811296</v>
      </c>
      <c r="G58" s="785">
        <f t="shared" si="32"/>
        <v>4249.1506807520691</v>
      </c>
      <c r="H58" s="785">
        <f t="shared" si="32"/>
        <v>1916.4028831852333</v>
      </c>
      <c r="I58" s="785">
        <f t="shared" si="32"/>
        <v>8086.8241104458257</v>
      </c>
      <c r="J58" s="369"/>
      <c r="K58" s="828">
        <f t="shared" si="21"/>
        <v>668627</v>
      </c>
      <c r="L58" s="785">
        <v>67</v>
      </c>
      <c r="M58" s="785">
        <f t="shared" si="28"/>
        <v>9979.507462686568</v>
      </c>
      <c r="N58" s="685">
        <v>11075</v>
      </c>
      <c r="O58" s="685"/>
      <c r="P58" s="189" t="s">
        <v>530</v>
      </c>
      <c r="Q58" s="802">
        <v>40691</v>
      </c>
      <c r="R58" s="801"/>
      <c r="S58" s="310">
        <f t="shared" si="31"/>
        <v>67</v>
      </c>
      <c r="T58" s="260">
        <v>8620</v>
      </c>
      <c r="U58" s="8">
        <f t="shared" si="18"/>
        <v>577540</v>
      </c>
      <c r="V58" s="460"/>
      <c r="W58" s="802"/>
      <c r="X58" s="832"/>
      <c r="Y58" s="832"/>
      <c r="Z58" s="8">
        <f t="shared" si="29"/>
        <v>0</v>
      </c>
    </row>
    <row r="59" spans="1:26">
      <c r="A59" s="784">
        <f t="shared" si="30"/>
        <v>42</v>
      </c>
      <c r="B59" s="302" t="s">
        <v>895</v>
      </c>
      <c r="C59" s="864">
        <f t="shared" si="5"/>
        <v>399168</v>
      </c>
      <c r="D59" s="785">
        <f t="shared" si="32"/>
        <v>12866.214103199725</v>
      </c>
      <c r="E59" s="785">
        <f t="shared" si="32"/>
        <v>3207.5435719461502</v>
      </c>
      <c r="F59" s="785">
        <f t="shared" si="32"/>
        <v>14889.592311506047</v>
      </c>
      <c r="G59" s="785">
        <f t="shared" si="32"/>
        <v>1712.3443041836695</v>
      </c>
      <c r="H59" s="785">
        <f t="shared" si="32"/>
        <v>772.28175889554177</v>
      </c>
      <c r="I59" s="785">
        <f t="shared" si="32"/>
        <v>3258.8694176423478</v>
      </c>
      <c r="J59" s="369"/>
      <c r="K59" s="828">
        <f t="shared" si="21"/>
        <v>435875</v>
      </c>
      <c r="L59" s="785">
        <v>27</v>
      </c>
      <c r="M59" s="785">
        <f t="shared" si="28"/>
        <v>16143.518518518518</v>
      </c>
      <c r="N59" s="685">
        <v>15277</v>
      </c>
      <c r="O59" s="685"/>
      <c r="P59" s="189" t="s">
        <v>532</v>
      </c>
      <c r="Q59" s="802">
        <v>40691</v>
      </c>
      <c r="R59" s="801"/>
      <c r="S59" s="310">
        <f>L59</f>
        <v>27</v>
      </c>
      <c r="T59" s="260">
        <v>14784</v>
      </c>
      <c r="U59" s="8">
        <f t="shared" si="18"/>
        <v>399168</v>
      </c>
      <c r="V59" s="460"/>
      <c r="W59" s="802"/>
      <c r="X59" s="832"/>
      <c r="Y59" s="832"/>
      <c r="Z59" s="8">
        <f t="shared" si="29"/>
        <v>0</v>
      </c>
    </row>
    <row r="60" spans="1:26">
      <c r="A60" s="784">
        <f t="shared" si="30"/>
        <v>43</v>
      </c>
      <c r="B60" s="302" t="s">
        <v>896</v>
      </c>
      <c r="C60" s="864">
        <f t="shared" si="5"/>
        <v>97984</v>
      </c>
      <c r="D60" s="785">
        <f t="shared" si="32"/>
        <v>7624.4231722665036</v>
      </c>
      <c r="E60" s="785">
        <f t="shared" si="32"/>
        <v>1900.7665611532741</v>
      </c>
      <c r="F60" s="785">
        <f t="shared" si="32"/>
        <v>8823.4621105221013</v>
      </c>
      <c r="G60" s="785">
        <f t="shared" si="32"/>
        <v>1014.7225506273597</v>
      </c>
      <c r="H60" s="785">
        <f t="shared" si="32"/>
        <v>457.64844971587661</v>
      </c>
      <c r="I60" s="785">
        <f t="shared" si="32"/>
        <v>1931.1818771213912</v>
      </c>
      <c r="J60" s="369"/>
      <c r="K60" s="828">
        <f t="shared" si="21"/>
        <v>119736</v>
      </c>
      <c r="L60" s="785">
        <v>16</v>
      </c>
      <c r="M60" s="785">
        <f t="shared" si="28"/>
        <v>7483.5</v>
      </c>
      <c r="N60" s="685">
        <v>9352</v>
      </c>
      <c r="O60" s="685"/>
      <c r="P60" s="189" t="s">
        <v>408</v>
      </c>
      <c r="Q60" s="802">
        <v>40691</v>
      </c>
      <c r="R60" s="801"/>
      <c r="S60" s="310">
        <f>L60</f>
        <v>16</v>
      </c>
      <c r="T60" s="260">
        <v>6124</v>
      </c>
      <c r="U60" s="8">
        <f t="shared" si="18"/>
        <v>97984</v>
      </c>
      <c r="V60" s="460"/>
      <c r="W60" s="802"/>
      <c r="X60" s="832"/>
      <c r="Y60" s="832"/>
      <c r="Z60" s="8">
        <f t="shared" si="29"/>
        <v>0</v>
      </c>
    </row>
    <row r="61" spans="1:26">
      <c r="A61" s="784">
        <f t="shared" si="30"/>
        <v>44</v>
      </c>
      <c r="B61" s="302" t="s">
        <v>897</v>
      </c>
      <c r="C61" s="864">
        <f t="shared" si="5"/>
        <v>1877568</v>
      </c>
      <c r="D61" s="785">
        <f t="shared" si="32"/>
        <v>60518.858929865375</v>
      </c>
      <c r="E61" s="785">
        <f t="shared" si="32"/>
        <v>15087.334579154112</v>
      </c>
      <c r="F61" s="785">
        <f t="shared" si="32"/>
        <v>70036.230502269173</v>
      </c>
      <c r="G61" s="785">
        <f t="shared" si="32"/>
        <v>8054.3602456046683</v>
      </c>
      <c r="H61" s="785">
        <f t="shared" si="32"/>
        <v>3632.5845696197707</v>
      </c>
      <c r="I61" s="785">
        <f t="shared" si="32"/>
        <v>15328.756149651043</v>
      </c>
      <c r="J61" s="369"/>
      <c r="K61" s="828">
        <f t="shared" si="21"/>
        <v>2050226</v>
      </c>
      <c r="L61" s="785">
        <v>127</v>
      </c>
      <c r="M61" s="785">
        <f t="shared" si="28"/>
        <v>16143.511811023622</v>
      </c>
      <c r="N61" s="685">
        <v>17979</v>
      </c>
      <c r="O61" s="685"/>
      <c r="P61" s="189" t="s">
        <v>532</v>
      </c>
      <c r="Q61" s="802">
        <v>40691</v>
      </c>
      <c r="R61" s="801"/>
      <c r="S61" s="310">
        <f>L61</f>
        <v>127</v>
      </c>
      <c r="T61" s="260">
        <v>14784</v>
      </c>
      <c r="U61" s="8">
        <f t="shared" si="18"/>
        <v>1877568</v>
      </c>
      <c r="V61" s="460"/>
      <c r="W61" s="802"/>
      <c r="X61" s="832"/>
      <c r="Y61" s="832"/>
      <c r="Z61" s="8">
        <f t="shared" si="29"/>
        <v>0</v>
      </c>
    </row>
    <row r="62" spans="1:26">
      <c r="A62" s="784">
        <f t="shared" si="30"/>
        <v>45</v>
      </c>
      <c r="B62" s="302" t="s">
        <v>898</v>
      </c>
      <c r="C62" s="864">
        <f t="shared" si="5"/>
        <v>22245</v>
      </c>
      <c r="D62" s="785">
        <f t="shared" si="32"/>
        <v>2382.6322413332823</v>
      </c>
      <c r="E62" s="785">
        <f t="shared" si="32"/>
        <v>593.9895503603982</v>
      </c>
      <c r="F62" s="785">
        <f t="shared" si="32"/>
        <v>2757.3319095381567</v>
      </c>
      <c r="G62" s="785">
        <f t="shared" si="32"/>
        <v>317.1007970710499</v>
      </c>
      <c r="H62" s="785">
        <f t="shared" si="32"/>
        <v>143.01514053621145</v>
      </c>
      <c r="I62" s="785">
        <f t="shared" si="32"/>
        <v>603.49433660043474</v>
      </c>
      <c r="J62" s="369"/>
      <c r="K62" s="828">
        <f t="shared" si="21"/>
        <v>29043</v>
      </c>
      <c r="L62" s="785">
        <v>5</v>
      </c>
      <c r="M62" s="785">
        <f t="shared" si="28"/>
        <v>5808.6</v>
      </c>
      <c r="N62" s="685">
        <v>5282</v>
      </c>
      <c r="O62" s="685"/>
      <c r="P62" s="302" t="s">
        <v>410</v>
      </c>
      <c r="Q62" s="802">
        <v>40691</v>
      </c>
      <c r="R62" s="801"/>
      <c r="S62" s="310">
        <f>L62</f>
        <v>5</v>
      </c>
      <c r="T62" s="263">
        <v>4449</v>
      </c>
      <c r="U62" s="8">
        <f t="shared" ref="U62:U86" si="33">S62*T62</f>
        <v>22245</v>
      </c>
      <c r="V62" s="460"/>
      <c r="W62" s="802"/>
      <c r="X62" s="832"/>
      <c r="Y62" s="832"/>
      <c r="Z62" s="8">
        <f t="shared" si="29"/>
        <v>0</v>
      </c>
    </row>
    <row r="63" spans="1:26">
      <c r="A63" s="784">
        <f t="shared" si="30"/>
        <v>46</v>
      </c>
      <c r="B63" s="302" t="s">
        <v>899</v>
      </c>
      <c r="C63" s="864">
        <f t="shared" si="5"/>
        <v>25860</v>
      </c>
      <c r="D63" s="785">
        <f t="shared" si="32"/>
        <v>1429.5793447999695</v>
      </c>
      <c r="E63" s="785">
        <f t="shared" si="32"/>
        <v>356.39373021623891</v>
      </c>
      <c r="F63" s="785">
        <f t="shared" si="32"/>
        <v>1654.399145722894</v>
      </c>
      <c r="G63" s="785">
        <f t="shared" si="32"/>
        <v>190.26047824262994</v>
      </c>
      <c r="H63" s="785">
        <f t="shared" si="32"/>
        <v>85.809084321726857</v>
      </c>
      <c r="I63" s="785">
        <f t="shared" si="32"/>
        <v>362.09660196026084</v>
      </c>
      <c r="J63" s="369"/>
      <c r="K63" s="828">
        <f t="shared" si="21"/>
        <v>29939</v>
      </c>
      <c r="L63" s="785">
        <v>3</v>
      </c>
      <c r="M63" s="785">
        <f t="shared" si="28"/>
        <v>9979.6666666666661</v>
      </c>
      <c r="N63" s="685">
        <v>11444</v>
      </c>
      <c r="O63" s="685"/>
      <c r="P63" s="189" t="s">
        <v>530</v>
      </c>
      <c r="Q63" s="802">
        <v>40691</v>
      </c>
      <c r="R63" s="801"/>
      <c r="S63" s="310">
        <f t="shared" ref="S63:S69" si="34">L63</f>
        <v>3</v>
      </c>
      <c r="T63" s="260">
        <v>8620</v>
      </c>
      <c r="U63" s="8">
        <f t="shared" si="33"/>
        <v>25860</v>
      </c>
      <c r="V63" s="460"/>
      <c r="W63" s="802"/>
      <c r="X63" s="832"/>
      <c r="Y63" s="832"/>
      <c r="Z63" s="8">
        <f t="shared" si="29"/>
        <v>0</v>
      </c>
    </row>
    <row r="64" spans="1:26">
      <c r="A64" s="784">
        <f t="shared" si="30"/>
        <v>47</v>
      </c>
      <c r="B64" s="302" t="s">
        <v>900</v>
      </c>
      <c r="C64" s="864">
        <f t="shared" si="5"/>
        <v>193500</v>
      </c>
      <c r="D64" s="785">
        <f t="shared" si="32"/>
        <v>5718.3173791998779</v>
      </c>
      <c r="E64" s="785">
        <f t="shared" si="32"/>
        <v>1425.5749208649556</v>
      </c>
      <c r="F64" s="785">
        <f t="shared" si="32"/>
        <v>6617.596582891576</v>
      </c>
      <c r="G64" s="785">
        <f t="shared" si="32"/>
        <v>761.04191297051977</v>
      </c>
      <c r="H64" s="785">
        <f t="shared" si="32"/>
        <v>343.23633728690743</v>
      </c>
      <c r="I64" s="785">
        <f t="shared" si="32"/>
        <v>1448.3864078410434</v>
      </c>
      <c r="J64" s="369"/>
      <c r="K64" s="828">
        <f t="shared" si="21"/>
        <v>209814</v>
      </c>
      <c r="L64" s="785">
        <v>12</v>
      </c>
      <c r="M64" s="785">
        <f t="shared" si="28"/>
        <v>17484.5</v>
      </c>
      <c r="N64" s="685">
        <v>19788</v>
      </c>
      <c r="O64" s="685"/>
      <c r="P64" s="302" t="s">
        <v>503</v>
      </c>
      <c r="Q64" s="802">
        <v>40691</v>
      </c>
      <c r="R64" s="801"/>
      <c r="S64" s="859">
        <f t="shared" si="34"/>
        <v>12</v>
      </c>
      <c r="T64" s="260">
        <v>16125</v>
      </c>
      <c r="U64" s="8">
        <f t="shared" si="33"/>
        <v>193500</v>
      </c>
      <c r="V64" s="460"/>
      <c r="W64" s="802"/>
      <c r="X64" s="832"/>
      <c r="Y64" s="832"/>
      <c r="Z64" s="8">
        <f t="shared" si="29"/>
        <v>0</v>
      </c>
    </row>
    <row r="65" spans="1:26">
      <c r="A65" s="784">
        <f t="shared" si="30"/>
        <v>48</v>
      </c>
      <c r="B65" s="302" t="s">
        <v>901</v>
      </c>
      <c r="C65" s="864">
        <f t="shared" si="5"/>
        <v>57600</v>
      </c>
      <c r="D65" s="785">
        <f t="shared" si="32"/>
        <v>4288.7380343999084</v>
      </c>
      <c r="E65" s="785">
        <f t="shared" si="32"/>
        <v>1069.1811906487167</v>
      </c>
      <c r="F65" s="785">
        <f t="shared" si="32"/>
        <v>4963.197437168682</v>
      </c>
      <c r="G65" s="785">
        <f t="shared" si="32"/>
        <v>570.78143472788986</v>
      </c>
      <c r="H65" s="785">
        <f t="shared" si="32"/>
        <v>257.42725296518057</v>
      </c>
      <c r="I65" s="785">
        <f t="shared" si="32"/>
        <v>1086.2898058807825</v>
      </c>
      <c r="J65" s="369"/>
      <c r="K65" s="828">
        <f t="shared" si="21"/>
        <v>69836</v>
      </c>
      <c r="L65" s="785">
        <v>9</v>
      </c>
      <c r="M65" s="785">
        <f t="shared" si="28"/>
        <v>7759.5555555555557</v>
      </c>
      <c r="N65" s="685">
        <v>8450</v>
      </c>
      <c r="O65" s="685"/>
      <c r="P65" s="189" t="s">
        <v>543</v>
      </c>
      <c r="Q65" s="802">
        <v>40691</v>
      </c>
      <c r="R65" s="801"/>
      <c r="S65" s="310">
        <f t="shared" si="34"/>
        <v>9</v>
      </c>
      <c r="T65" s="263">
        <v>6400</v>
      </c>
      <c r="U65" s="8">
        <f t="shared" si="33"/>
        <v>57600</v>
      </c>
      <c r="V65" s="460"/>
      <c r="W65" s="802"/>
      <c r="X65" s="832"/>
      <c r="Y65" s="832"/>
      <c r="Z65" s="8">
        <f t="shared" si="29"/>
        <v>0</v>
      </c>
    </row>
    <row r="66" spans="1:26">
      <c r="A66" s="784">
        <f t="shared" si="30"/>
        <v>49</v>
      </c>
      <c r="B66" s="302" t="s">
        <v>902</v>
      </c>
      <c r="C66" s="864">
        <f t="shared" si="5"/>
        <v>68960</v>
      </c>
      <c r="D66" s="785">
        <f t="shared" si="32"/>
        <v>3812.2115861332518</v>
      </c>
      <c r="E66" s="785">
        <f t="shared" si="32"/>
        <v>950.38328057663705</v>
      </c>
      <c r="F66" s="785">
        <f t="shared" si="32"/>
        <v>4411.7310552610506</v>
      </c>
      <c r="G66" s="785">
        <f t="shared" si="32"/>
        <v>507.36127531367987</v>
      </c>
      <c r="H66" s="785">
        <f t="shared" si="32"/>
        <v>228.8242248579383</v>
      </c>
      <c r="I66" s="785">
        <f t="shared" si="32"/>
        <v>965.59093856069558</v>
      </c>
      <c r="J66" s="369"/>
      <c r="K66" s="828">
        <f t="shared" si="21"/>
        <v>79836</v>
      </c>
      <c r="L66" s="785">
        <v>8</v>
      </c>
      <c r="M66" s="785">
        <f t="shared" si="28"/>
        <v>9979.5</v>
      </c>
      <c r="N66" s="685">
        <v>10110</v>
      </c>
      <c r="O66" s="685"/>
      <c r="P66" s="189" t="s">
        <v>530</v>
      </c>
      <c r="Q66" s="802">
        <v>40691</v>
      </c>
      <c r="R66" s="801"/>
      <c r="S66" s="310">
        <f t="shared" si="34"/>
        <v>8</v>
      </c>
      <c r="T66" s="260">
        <v>8620</v>
      </c>
      <c r="U66" s="8">
        <f t="shared" si="33"/>
        <v>68960</v>
      </c>
      <c r="V66" s="460"/>
      <c r="W66" s="802"/>
      <c r="X66" s="832"/>
      <c r="Y66" s="832"/>
      <c r="Z66" s="8">
        <f t="shared" si="29"/>
        <v>0</v>
      </c>
    </row>
    <row r="67" spans="1:26">
      <c r="A67" s="784">
        <f t="shared" si="30"/>
        <v>50</v>
      </c>
      <c r="B67" s="302" t="s">
        <v>903</v>
      </c>
      <c r="C67" s="864">
        <f t="shared" si="5"/>
        <v>60340</v>
      </c>
      <c r="D67" s="785">
        <f t="shared" si="32"/>
        <v>3335.6851378665951</v>
      </c>
      <c r="E67" s="785">
        <f t="shared" si="32"/>
        <v>831.58537050455743</v>
      </c>
      <c r="F67" s="785">
        <f t="shared" si="32"/>
        <v>3860.2646733534193</v>
      </c>
      <c r="G67" s="785">
        <f t="shared" si="32"/>
        <v>443.94111589946988</v>
      </c>
      <c r="H67" s="785">
        <f t="shared" si="32"/>
        <v>200.22119675069601</v>
      </c>
      <c r="I67" s="785">
        <f t="shared" si="32"/>
        <v>844.89207124060863</v>
      </c>
      <c r="J67" s="369"/>
      <c r="K67" s="828">
        <f t="shared" si="21"/>
        <v>69857</v>
      </c>
      <c r="L67" s="785">
        <v>7</v>
      </c>
      <c r="M67" s="785">
        <f t="shared" si="28"/>
        <v>9979.5714285714294</v>
      </c>
      <c r="N67" s="685">
        <v>10345</v>
      </c>
      <c r="O67" s="685"/>
      <c r="P67" s="189" t="s">
        <v>530</v>
      </c>
      <c r="Q67" s="802">
        <v>40691</v>
      </c>
      <c r="R67" s="801"/>
      <c r="S67" s="310">
        <f t="shared" si="34"/>
        <v>7</v>
      </c>
      <c r="T67" s="260">
        <v>8620</v>
      </c>
      <c r="U67" s="8">
        <f t="shared" si="33"/>
        <v>60340</v>
      </c>
      <c r="V67" s="460"/>
      <c r="W67" s="802"/>
      <c r="X67" s="832"/>
      <c r="Y67" s="832"/>
      <c r="Z67" s="8">
        <f t="shared" si="29"/>
        <v>0</v>
      </c>
    </row>
    <row r="68" spans="1:26">
      <c r="A68" s="784">
        <f t="shared" si="30"/>
        <v>51</v>
      </c>
      <c r="B68" s="302" t="s">
        <v>904</v>
      </c>
      <c r="C68" s="864">
        <f t="shared" si="5"/>
        <v>150631</v>
      </c>
      <c r="D68" s="785">
        <f t="shared" ref="D68:I77" si="35">IF($L$182&lt;&gt;0,D$182/$L$182*$L68,0)</f>
        <v>6194.8438274665341</v>
      </c>
      <c r="E68" s="785">
        <f t="shared" si="35"/>
        <v>1544.3728309370351</v>
      </c>
      <c r="F68" s="785">
        <f t="shared" si="35"/>
        <v>7169.0629647992073</v>
      </c>
      <c r="G68" s="785">
        <f t="shared" si="35"/>
        <v>824.46207238472982</v>
      </c>
      <c r="H68" s="785">
        <f t="shared" si="35"/>
        <v>371.83936539414975</v>
      </c>
      <c r="I68" s="785">
        <f t="shared" si="35"/>
        <v>1569.0852751611303</v>
      </c>
      <c r="J68" s="369"/>
      <c r="K68" s="828">
        <f t="shared" si="21"/>
        <v>168305</v>
      </c>
      <c r="L68" s="785">
        <v>13</v>
      </c>
      <c r="M68" s="785">
        <f t="shared" si="28"/>
        <v>12946.538461538461</v>
      </c>
      <c r="N68" s="685">
        <v>12672</v>
      </c>
      <c r="O68" s="685"/>
      <c r="P68" s="189" t="s">
        <v>520</v>
      </c>
      <c r="Q68" s="802">
        <v>40691</v>
      </c>
      <c r="R68" s="801"/>
      <c r="S68" s="310">
        <f t="shared" si="34"/>
        <v>13</v>
      </c>
      <c r="T68" s="834">
        <v>11587</v>
      </c>
      <c r="U68" s="8">
        <f t="shared" si="33"/>
        <v>150631</v>
      </c>
      <c r="V68" s="460"/>
      <c r="W68" s="802"/>
      <c r="X68" s="832"/>
      <c r="Y68" s="832"/>
      <c r="Z68" s="8">
        <f t="shared" si="29"/>
        <v>0</v>
      </c>
    </row>
    <row r="69" spans="1:26">
      <c r="A69" s="784">
        <f t="shared" si="30"/>
        <v>52</v>
      </c>
      <c r="B69" s="302" t="s">
        <v>906</v>
      </c>
      <c r="C69" s="864">
        <f t="shared" si="5"/>
        <v>57935</v>
      </c>
      <c r="D69" s="785">
        <f t="shared" si="35"/>
        <v>2382.6322413332823</v>
      </c>
      <c r="E69" s="785">
        <f t="shared" si="35"/>
        <v>593.9895503603982</v>
      </c>
      <c r="F69" s="785">
        <f t="shared" si="35"/>
        <v>2757.3319095381567</v>
      </c>
      <c r="G69" s="785">
        <f t="shared" si="35"/>
        <v>317.1007970710499</v>
      </c>
      <c r="H69" s="785">
        <f t="shared" si="35"/>
        <v>143.01514053621145</v>
      </c>
      <c r="I69" s="785">
        <f t="shared" si="35"/>
        <v>603.49433660043474</v>
      </c>
      <c r="J69" s="369"/>
      <c r="K69" s="828">
        <f t="shared" si="21"/>
        <v>64733</v>
      </c>
      <c r="L69" s="785">
        <v>5</v>
      </c>
      <c r="M69" s="785">
        <f t="shared" si="28"/>
        <v>12946.6</v>
      </c>
      <c r="N69" s="685">
        <v>12304</v>
      </c>
      <c r="O69" s="685"/>
      <c r="P69" s="189" t="s">
        <v>520</v>
      </c>
      <c r="Q69" s="802">
        <v>40691</v>
      </c>
      <c r="R69" s="801"/>
      <c r="S69" s="310">
        <f t="shared" si="34"/>
        <v>5</v>
      </c>
      <c r="T69" s="834">
        <v>11587</v>
      </c>
      <c r="U69" s="8">
        <f t="shared" si="33"/>
        <v>57935</v>
      </c>
      <c r="V69" s="460"/>
      <c r="W69" s="802"/>
      <c r="X69" s="832"/>
      <c r="Y69" s="832"/>
      <c r="Z69" s="8">
        <f t="shared" si="29"/>
        <v>0</v>
      </c>
    </row>
    <row r="70" spans="1:26">
      <c r="A70" s="784">
        <f t="shared" si="30"/>
        <v>53</v>
      </c>
      <c r="B70" s="302" t="s">
        <v>907</v>
      </c>
      <c r="C70" s="864">
        <f t="shared" si="5"/>
        <v>362164</v>
      </c>
      <c r="D70" s="785">
        <f t="shared" si="35"/>
        <v>10483.581861866442</v>
      </c>
      <c r="E70" s="785">
        <f t="shared" si="35"/>
        <v>2613.5540215857518</v>
      </c>
      <c r="F70" s="785">
        <f t="shared" si="35"/>
        <v>12132.260401967889</v>
      </c>
      <c r="G70" s="785">
        <f t="shared" si="35"/>
        <v>1395.2435071126197</v>
      </c>
      <c r="H70" s="785">
        <f t="shared" si="35"/>
        <v>629.26661835933032</v>
      </c>
      <c r="I70" s="785">
        <f t="shared" si="35"/>
        <v>2655.3750810419128</v>
      </c>
      <c r="J70" s="369"/>
      <c r="K70" s="828">
        <f t="shared" si="21"/>
        <v>392073</v>
      </c>
      <c r="L70" s="785">
        <v>22</v>
      </c>
      <c r="M70" s="785">
        <f t="shared" si="28"/>
        <v>17821.5</v>
      </c>
      <c r="N70" s="685">
        <v>18862</v>
      </c>
      <c r="O70" s="685"/>
      <c r="P70" s="189" t="s">
        <v>519</v>
      </c>
      <c r="Q70" s="802">
        <v>40691</v>
      </c>
      <c r="R70" s="801"/>
      <c r="S70" s="310">
        <v>22</v>
      </c>
      <c r="T70" s="834">
        <v>16462</v>
      </c>
      <c r="U70" s="8">
        <f t="shared" si="33"/>
        <v>362164</v>
      </c>
      <c r="V70" s="460"/>
      <c r="W70" s="802"/>
      <c r="X70" s="832"/>
      <c r="Y70" s="832"/>
      <c r="Z70" s="8">
        <f t="shared" si="29"/>
        <v>0</v>
      </c>
    </row>
    <row r="71" spans="1:26">
      <c r="A71" s="784">
        <f t="shared" si="30"/>
        <v>54</v>
      </c>
      <c r="B71" s="302" t="s">
        <v>908</v>
      </c>
      <c r="C71" s="864">
        <f t="shared" si="5"/>
        <v>1500380</v>
      </c>
      <c r="D71" s="785">
        <f t="shared" si="35"/>
        <v>116748.97982533084</v>
      </c>
      <c r="E71" s="785">
        <f t="shared" si="35"/>
        <v>29105.487967659508</v>
      </c>
      <c r="F71" s="785">
        <f t="shared" si="35"/>
        <v>135109.26356736966</v>
      </c>
      <c r="G71" s="785">
        <f t="shared" si="35"/>
        <v>15537.939056481446</v>
      </c>
      <c r="H71" s="785">
        <f t="shared" si="35"/>
        <v>7007.7418862743607</v>
      </c>
      <c r="I71" s="785">
        <f t="shared" si="35"/>
        <v>29571.222493421301</v>
      </c>
      <c r="J71" s="369"/>
      <c r="K71" s="828">
        <f t="shared" si="21"/>
        <v>1833461</v>
      </c>
      <c r="L71" s="785">
        <v>245</v>
      </c>
      <c r="M71" s="785">
        <f t="shared" si="28"/>
        <v>7483.5142857142855</v>
      </c>
      <c r="N71" s="685">
        <v>9989</v>
      </c>
      <c r="O71" s="685"/>
      <c r="P71" s="189" t="s">
        <v>408</v>
      </c>
      <c r="Q71" s="802">
        <v>40691</v>
      </c>
      <c r="R71" s="801"/>
      <c r="S71" s="310">
        <f>L71</f>
        <v>245</v>
      </c>
      <c r="T71" s="260">
        <v>6124</v>
      </c>
      <c r="U71" s="8">
        <f t="shared" si="33"/>
        <v>1500380</v>
      </c>
      <c r="V71" s="460"/>
      <c r="W71" s="802"/>
      <c r="X71" s="832"/>
      <c r="Y71" s="832"/>
      <c r="Z71" s="8">
        <f t="shared" si="29"/>
        <v>0</v>
      </c>
    </row>
    <row r="72" spans="1:26">
      <c r="A72" s="784">
        <f t="shared" si="30"/>
        <v>55</v>
      </c>
      <c r="B72" s="302" t="s">
        <v>909</v>
      </c>
      <c r="C72" s="864">
        <f t="shared" si="5"/>
        <v>9720774</v>
      </c>
      <c r="D72" s="785">
        <f t="shared" si="35"/>
        <v>204429.84630639563</v>
      </c>
      <c r="E72" s="785">
        <f t="shared" si="35"/>
        <v>50964.303420922159</v>
      </c>
      <c r="F72" s="785">
        <f t="shared" si="35"/>
        <v>236579.07783837384</v>
      </c>
      <c r="G72" s="785">
        <f t="shared" si="35"/>
        <v>27207.248388696084</v>
      </c>
      <c r="H72" s="785">
        <f t="shared" si="35"/>
        <v>12270.699058006941</v>
      </c>
      <c r="I72" s="785">
        <f t="shared" si="35"/>
        <v>51779.814080317301</v>
      </c>
      <c r="J72" s="369"/>
      <c r="K72" s="828">
        <f t="shared" si="21"/>
        <v>10304005</v>
      </c>
      <c r="L72" s="785">
        <v>429</v>
      </c>
      <c r="M72" s="785">
        <f t="shared" si="28"/>
        <v>24018.659673659673</v>
      </c>
      <c r="N72" s="685">
        <v>25535</v>
      </c>
      <c r="O72" s="685"/>
      <c r="P72" s="189" t="s">
        <v>514</v>
      </c>
      <c r="Q72" s="802">
        <v>40691</v>
      </c>
      <c r="R72" s="801"/>
      <c r="S72" s="310">
        <v>431</v>
      </c>
      <c r="T72" s="263">
        <v>22554</v>
      </c>
      <c r="U72" s="8">
        <f t="shared" si="33"/>
        <v>9720774</v>
      </c>
      <c r="V72" s="460"/>
      <c r="W72" s="802"/>
      <c r="X72" s="832"/>
      <c r="Y72" s="832"/>
      <c r="Z72" s="8">
        <f t="shared" si="29"/>
        <v>0</v>
      </c>
    </row>
    <row r="73" spans="1:26">
      <c r="A73" s="784">
        <f t="shared" si="30"/>
        <v>56</v>
      </c>
      <c r="B73" s="302" t="s">
        <v>897</v>
      </c>
      <c r="C73" s="864">
        <f t="shared" si="5"/>
        <v>325248</v>
      </c>
      <c r="D73" s="785">
        <f t="shared" si="35"/>
        <v>10483.581861866442</v>
      </c>
      <c r="E73" s="785">
        <f t="shared" si="35"/>
        <v>2613.5540215857518</v>
      </c>
      <c r="F73" s="785">
        <f t="shared" si="35"/>
        <v>12132.260401967889</v>
      </c>
      <c r="G73" s="785">
        <f t="shared" si="35"/>
        <v>1395.2435071126197</v>
      </c>
      <c r="H73" s="785">
        <f t="shared" si="35"/>
        <v>629.26661835933032</v>
      </c>
      <c r="I73" s="785">
        <f t="shared" si="35"/>
        <v>2655.3750810419128</v>
      </c>
      <c r="J73" s="369"/>
      <c r="K73" s="828">
        <f t="shared" si="21"/>
        <v>355157</v>
      </c>
      <c r="L73" s="785">
        <v>22</v>
      </c>
      <c r="M73" s="785">
        <f t="shared" si="28"/>
        <v>16143.5</v>
      </c>
      <c r="N73" s="685">
        <v>17979</v>
      </c>
      <c r="O73" s="685"/>
      <c r="P73" s="189" t="s">
        <v>532</v>
      </c>
      <c r="Q73" s="802">
        <v>40691</v>
      </c>
      <c r="R73" s="801"/>
      <c r="S73" s="310">
        <f t="shared" ref="S73:S77" si="36">L73</f>
        <v>22</v>
      </c>
      <c r="T73" s="260">
        <v>14784</v>
      </c>
      <c r="U73" s="8">
        <f t="shared" si="33"/>
        <v>325248</v>
      </c>
      <c r="V73" s="460"/>
      <c r="W73" s="802"/>
      <c r="X73" s="832"/>
      <c r="Y73" s="832"/>
      <c r="Z73" s="8">
        <f t="shared" si="29"/>
        <v>0</v>
      </c>
    </row>
    <row r="74" spans="1:26">
      <c r="A74" s="784">
        <f t="shared" si="30"/>
        <v>57</v>
      </c>
      <c r="B74" s="302" t="s">
        <v>910</v>
      </c>
      <c r="C74" s="864">
        <f t="shared" si="5"/>
        <v>59136</v>
      </c>
      <c r="D74" s="785">
        <f t="shared" si="35"/>
        <v>1906.1057930666259</v>
      </c>
      <c r="E74" s="785">
        <f t="shared" si="35"/>
        <v>475.19164028831852</v>
      </c>
      <c r="F74" s="785">
        <f t="shared" si="35"/>
        <v>2205.8655276305253</v>
      </c>
      <c r="G74" s="785">
        <f t="shared" si="35"/>
        <v>253.68063765683993</v>
      </c>
      <c r="H74" s="785">
        <f t="shared" si="35"/>
        <v>114.41211242896915</v>
      </c>
      <c r="I74" s="785">
        <f t="shared" si="35"/>
        <v>482.79546928034779</v>
      </c>
      <c r="J74" s="369"/>
      <c r="K74" s="828">
        <f t="shared" si="21"/>
        <v>64574</v>
      </c>
      <c r="L74" s="785">
        <v>4</v>
      </c>
      <c r="M74" s="785">
        <f t="shared" si="28"/>
        <v>16143.5</v>
      </c>
      <c r="N74" s="685">
        <v>16852</v>
      </c>
      <c r="O74" s="685"/>
      <c r="P74" s="189" t="s">
        <v>532</v>
      </c>
      <c r="Q74" s="802">
        <v>40691</v>
      </c>
      <c r="R74" s="801"/>
      <c r="S74" s="310">
        <f t="shared" si="36"/>
        <v>4</v>
      </c>
      <c r="T74" s="260">
        <v>14784</v>
      </c>
      <c r="U74" s="8">
        <f t="shared" si="33"/>
        <v>59136</v>
      </c>
      <c r="V74" s="460"/>
      <c r="W74" s="802"/>
      <c r="X74" s="832"/>
      <c r="Y74" s="832"/>
      <c r="Z74" s="8">
        <f t="shared" si="29"/>
        <v>0</v>
      </c>
    </row>
    <row r="75" spans="1:26">
      <c r="A75" s="784">
        <f t="shared" si="30"/>
        <v>58</v>
      </c>
      <c r="B75" s="302" t="s">
        <v>911</v>
      </c>
      <c r="C75" s="864">
        <f t="shared" si="5"/>
        <v>26996</v>
      </c>
      <c r="D75" s="785">
        <f t="shared" si="35"/>
        <v>953.05289653331295</v>
      </c>
      <c r="E75" s="785">
        <f t="shared" si="35"/>
        <v>237.59582014415926</v>
      </c>
      <c r="F75" s="785">
        <f t="shared" si="35"/>
        <v>1102.9327638152627</v>
      </c>
      <c r="G75" s="785">
        <f t="shared" si="35"/>
        <v>126.84031882841997</v>
      </c>
      <c r="H75" s="785">
        <f t="shared" si="35"/>
        <v>57.206056214484576</v>
      </c>
      <c r="I75" s="785">
        <f t="shared" si="35"/>
        <v>241.39773464017389</v>
      </c>
      <c r="J75" s="369"/>
      <c r="K75" s="828">
        <f t="shared" si="21"/>
        <v>29715</v>
      </c>
      <c r="L75" s="785">
        <v>2</v>
      </c>
      <c r="M75" s="785">
        <f t="shared" si="28"/>
        <v>14857.5</v>
      </c>
      <c r="N75" s="685">
        <v>16052</v>
      </c>
      <c r="O75" s="685"/>
      <c r="P75" s="189" t="s">
        <v>524</v>
      </c>
      <c r="Q75" s="802">
        <v>40691</v>
      </c>
      <c r="R75" s="801"/>
      <c r="S75" s="310">
        <f t="shared" si="36"/>
        <v>2</v>
      </c>
      <c r="T75" s="263">
        <v>13498</v>
      </c>
      <c r="U75" s="8">
        <f t="shared" si="33"/>
        <v>26996</v>
      </c>
      <c r="V75" s="460"/>
      <c r="W75" s="802"/>
      <c r="X75" s="832"/>
      <c r="Y75" s="832"/>
      <c r="Z75" s="8">
        <f t="shared" si="29"/>
        <v>0</v>
      </c>
    </row>
    <row r="76" spans="1:26">
      <c r="A76" s="784">
        <f t="shared" si="30"/>
        <v>59</v>
      </c>
      <c r="B76" s="302" t="s">
        <v>891</v>
      </c>
      <c r="C76" s="864">
        <f t="shared" si="5"/>
        <v>40494</v>
      </c>
      <c r="D76" s="785">
        <f t="shared" si="35"/>
        <v>1429.5793447999695</v>
      </c>
      <c r="E76" s="785">
        <f t="shared" si="35"/>
        <v>356.39373021623891</v>
      </c>
      <c r="F76" s="785">
        <f t="shared" si="35"/>
        <v>1654.399145722894</v>
      </c>
      <c r="G76" s="785">
        <f t="shared" si="35"/>
        <v>190.26047824262994</v>
      </c>
      <c r="H76" s="785">
        <f t="shared" si="35"/>
        <v>85.809084321726857</v>
      </c>
      <c r="I76" s="785">
        <f t="shared" si="35"/>
        <v>362.09660196026084</v>
      </c>
      <c r="J76" s="369"/>
      <c r="K76" s="828">
        <f t="shared" si="21"/>
        <v>44573</v>
      </c>
      <c r="L76" s="785">
        <v>3</v>
      </c>
      <c r="M76" s="785">
        <f t="shared" si="28"/>
        <v>14857.666666666666</v>
      </c>
      <c r="N76" s="685">
        <v>15770</v>
      </c>
      <c r="O76" s="685"/>
      <c r="P76" s="189" t="s">
        <v>524</v>
      </c>
      <c r="Q76" s="802">
        <v>40691</v>
      </c>
      <c r="R76" s="801"/>
      <c r="S76" s="310">
        <f t="shared" si="36"/>
        <v>3</v>
      </c>
      <c r="T76" s="263">
        <v>13498</v>
      </c>
      <c r="U76" s="8">
        <f t="shared" si="33"/>
        <v>40494</v>
      </c>
      <c r="V76" s="460"/>
      <c r="W76" s="802"/>
      <c r="X76" s="832"/>
      <c r="Y76" s="832"/>
      <c r="Z76" s="8">
        <f t="shared" si="29"/>
        <v>0</v>
      </c>
    </row>
    <row r="77" spans="1:26">
      <c r="A77" s="784">
        <f t="shared" si="30"/>
        <v>60</v>
      </c>
      <c r="B77" s="302" t="s">
        <v>895</v>
      </c>
      <c r="C77" s="864">
        <f t="shared" si="5"/>
        <v>13498</v>
      </c>
      <c r="D77" s="785">
        <f t="shared" si="35"/>
        <v>476.52644826665647</v>
      </c>
      <c r="E77" s="785">
        <f t="shared" si="35"/>
        <v>118.79791007207963</v>
      </c>
      <c r="F77" s="785">
        <f t="shared" si="35"/>
        <v>551.46638190763133</v>
      </c>
      <c r="G77" s="785">
        <f t="shared" si="35"/>
        <v>63.420159414209984</v>
      </c>
      <c r="H77" s="785">
        <f t="shared" si="35"/>
        <v>28.603028107242288</v>
      </c>
      <c r="I77" s="785">
        <f t="shared" si="35"/>
        <v>120.69886732008695</v>
      </c>
      <c r="J77" s="369"/>
      <c r="K77" s="828">
        <f t="shared" si="21"/>
        <v>14858</v>
      </c>
      <c r="L77" s="785">
        <v>1</v>
      </c>
      <c r="M77" s="785">
        <f t="shared" si="28"/>
        <v>14858</v>
      </c>
      <c r="N77" s="685">
        <v>15277</v>
      </c>
      <c r="O77" s="685"/>
      <c r="P77" s="189" t="s">
        <v>524</v>
      </c>
      <c r="Q77" s="802">
        <v>40691</v>
      </c>
      <c r="R77" s="801"/>
      <c r="S77" s="310">
        <f t="shared" si="36"/>
        <v>1</v>
      </c>
      <c r="T77" s="263">
        <v>13498</v>
      </c>
      <c r="U77" s="8">
        <f t="shared" si="33"/>
        <v>13498</v>
      </c>
      <c r="V77" s="460"/>
      <c r="W77" s="802"/>
      <c r="X77" s="832"/>
      <c r="Y77" s="832"/>
      <c r="Z77" s="8">
        <f t="shared" si="29"/>
        <v>0</v>
      </c>
    </row>
    <row r="78" spans="1:26">
      <c r="A78" s="784">
        <f t="shared" si="30"/>
        <v>61</v>
      </c>
      <c r="B78" s="302" t="s">
        <v>892</v>
      </c>
      <c r="C78" s="864">
        <f t="shared" si="5"/>
        <v>40065</v>
      </c>
      <c r="D78" s="785">
        <f t="shared" ref="D78:I87" si="37">IF($L$182&lt;&gt;0,D$182/$L$182*$L78,0)</f>
        <v>2382.6322413332823</v>
      </c>
      <c r="E78" s="785">
        <f t="shared" si="37"/>
        <v>593.9895503603982</v>
      </c>
      <c r="F78" s="785">
        <f t="shared" si="37"/>
        <v>2757.3319095381567</v>
      </c>
      <c r="G78" s="785">
        <f t="shared" si="37"/>
        <v>317.1007970710499</v>
      </c>
      <c r="H78" s="785">
        <f t="shared" si="37"/>
        <v>143.01514053621145</v>
      </c>
      <c r="I78" s="785">
        <f t="shared" si="37"/>
        <v>603.49433660043474</v>
      </c>
      <c r="J78" s="369"/>
      <c r="K78" s="828">
        <f t="shared" si="21"/>
        <v>46863</v>
      </c>
      <c r="L78" s="785">
        <v>5</v>
      </c>
      <c r="M78" s="785">
        <f t="shared" si="28"/>
        <v>9372.6</v>
      </c>
      <c r="N78" s="685">
        <v>11002</v>
      </c>
      <c r="O78" s="685"/>
      <c r="P78" s="189" t="s">
        <v>540</v>
      </c>
      <c r="Q78" s="802">
        <v>40691</v>
      </c>
      <c r="R78" s="801"/>
      <c r="S78" s="310">
        <f>L78</f>
        <v>5</v>
      </c>
      <c r="T78" s="260">
        <v>8013</v>
      </c>
      <c r="U78" s="8">
        <f t="shared" si="33"/>
        <v>40065</v>
      </c>
      <c r="V78" s="460"/>
      <c r="W78" s="802"/>
      <c r="X78" s="832"/>
      <c r="Y78" s="832"/>
      <c r="Z78" s="8">
        <f t="shared" si="29"/>
        <v>0</v>
      </c>
    </row>
    <row r="79" spans="1:26">
      <c r="A79" s="784">
        <f t="shared" si="30"/>
        <v>62</v>
      </c>
      <c r="B79" s="302" t="s">
        <v>915</v>
      </c>
      <c r="C79" s="864">
        <f t="shared" si="5"/>
        <v>5275116</v>
      </c>
      <c r="D79" s="785">
        <f t="shared" si="37"/>
        <v>163925.09820372984</v>
      </c>
      <c r="E79" s="785">
        <f t="shared" si="37"/>
        <v>40866.481064795393</v>
      </c>
      <c r="F79" s="785">
        <f t="shared" si="37"/>
        <v>189704.43537622518</v>
      </c>
      <c r="G79" s="785">
        <f t="shared" si="37"/>
        <v>21816.534838488235</v>
      </c>
      <c r="H79" s="785">
        <f t="shared" si="37"/>
        <v>9839.4416688913479</v>
      </c>
      <c r="I79" s="785">
        <f t="shared" si="37"/>
        <v>41520.410358109912</v>
      </c>
      <c r="J79" s="369"/>
      <c r="K79" s="828">
        <f t="shared" si="21"/>
        <v>5742788</v>
      </c>
      <c r="L79" s="785">
        <v>344</v>
      </c>
      <c r="M79" s="785">
        <f t="shared" si="28"/>
        <v>16694.151162790698</v>
      </c>
      <c r="N79" s="685">
        <v>19248</v>
      </c>
      <c r="O79" s="685"/>
      <c r="P79" s="189" t="s">
        <v>537</v>
      </c>
      <c r="Q79" s="802">
        <v>40691</v>
      </c>
      <c r="R79" s="801"/>
      <c r="S79" s="859">
        <v>346</v>
      </c>
      <c r="T79" s="260">
        <v>15246</v>
      </c>
      <c r="U79" s="8">
        <f t="shared" si="33"/>
        <v>5275116</v>
      </c>
      <c r="V79" s="460"/>
      <c r="W79" s="802"/>
      <c r="X79" s="832"/>
      <c r="Y79" s="832"/>
      <c r="Z79" s="8">
        <f t="shared" si="29"/>
        <v>0</v>
      </c>
    </row>
    <row r="80" spans="1:26">
      <c r="A80" s="784">
        <f t="shared" si="30"/>
        <v>63</v>
      </c>
      <c r="B80" s="302" t="s">
        <v>913</v>
      </c>
      <c r="C80" s="864">
        <f t="shared" si="5"/>
        <v>1063311</v>
      </c>
      <c r="D80" s="785">
        <f t="shared" si="37"/>
        <v>113889.82113573089</v>
      </c>
      <c r="E80" s="785">
        <f t="shared" si="37"/>
        <v>28392.700507227033</v>
      </c>
      <c r="F80" s="785">
        <f t="shared" si="37"/>
        <v>131800.4652759239</v>
      </c>
      <c r="G80" s="785">
        <f t="shared" si="37"/>
        <v>15157.418099996186</v>
      </c>
      <c r="H80" s="785">
        <f t="shared" si="37"/>
        <v>6836.1237176309069</v>
      </c>
      <c r="I80" s="785">
        <f t="shared" si="37"/>
        <v>28847.029289500781</v>
      </c>
      <c r="J80" s="369"/>
      <c r="K80" s="828">
        <f t="shared" si="21"/>
        <v>1388235</v>
      </c>
      <c r="L80" s="785">
        <v>239</v>
      </c>
      <c r="M80" s="785">
        <f t="shared" si="28"/>
        <v>5808.5146443514641</v>
      </c>
      <c r="N80" s="685">
        <v>6577</v>
      </c>
      <c r="O80" s="685"/>
      <c r="P80" s="302" t="s">
        <v>410</v>
      </c>
      <c r="Q80" s="802">
        <v>40691</v>
      </c>
      <c r="R80" s="801"/>
      <c r="S80" s="310">
        <f>L80</f>
        <v>239</v>
      </c>
      <c r="T80" s="263">
        <v>4449</v>
      </c>
      <c r="U80" s="8">
        <f t="shared" si="33"/>
        <v>1063311</v>
      </c>
      <c r="V80" s="460"/>
      <c r="W80" s="802"/>
      <c r="X80" s="832"/>
      <c r="Y80" s="832"/>
      <c r="Z80" s="8">
        <f t="shared" si="29"/>
        <v>0</v>
      </c>
    </row>
    <row r="81" spans="1:26">
      <c r="A81" s="784">
        <f t="shared" si="30"/>
        <v>64</v>
      </c>
      <c r="B81" s="302" t="s">
        <v>914</v>
      </c>
      <c r="C81" s="864">
        <f t="shared" si="5"/>
        <v>226899</v>
      </c>
      <c r="D81" s="785">
        <f t="shared" si="37"/>
        <v>48605.697723198959</v>
      </c>
      <c r="E81" s="785">
        <f t="shared" si="37"/>
        <v>12117.386827352122</v>
      </c>
      <c r="F81" s="785">
        <f t="shared" si="37"/>
        <v>56249.570954578398</v>
      </c>
      <c r="G81" s="785">
        <f t="shared" si="37"/>
        <v>6468.8562602494185</v>
      </c>
      <c r="H81" s="785">
        <f t="shared" si="37"/>
        <v>2917.5088669387133</v>
      </c>
      <c r="I81" s="785">
        <f t="shared" si="37"/>
        <v>12311.284466648869</v>
      </c>
      <c r="J81" s="369"/>
      <c r="K81" s="828">
        <f t="shared" si="21"/>
        <v>365569</v>
      </c>
      <c r="L81" s="785">
        <v>102</v>
      </c>
      <c r="M81" s="785">
        <f t="shared" si="28"/>
        <v>3584.0098039215686</v>
      </c>
      <c r="N81" s="685">
        <v>4704</v>
      </c>
      <c r="O81" s="685"/>
      <c r="P81" s="189" t="s">
        <v>410</v>
      </c>
      <c r="Q81" s="802">
        <v>40691</v>
      </c>
      <c r="R81" s="801"/>
      <c r="S81" s="310">
        <f>L81/2</f>
        <v>51</v>
      </c>
      <c r="T81" s="263">
        <v>4449</v>
      </c>
      <c r="U81" s="8">
        <f t="shared" si="33"/>
        <v>226899</v>
      </c>
      <c r="V81" s="460"/>
      <c r="W81" s="802"/>
      <c r="X81" s="832"/>
      <c r="Y81" s="832"/>
      <c r="Z81" s="8">
        <f t="shared" si="29"/>
        <v>0</v>
      </c>
    </row>
    <row r="82" spans="1:26">
      <c r="A82" s="784">
        <f t="shared" si="30"/>
        <v>65</v>
      </c>
      <c r="B82" s="302" t="s">
        <v>916</v>
      </c>
      <c r="C82" s="864">
        <f t="shared" si="5"/>
        <v>302400</v>
      </c>
      <c r="D82" s="785">
        <f t="shared" si="37"/>
        <v>11436.634758399756</v>
      </c>
      <c r="E82" s="785">
        <f t="shared" si="37"/>
        <v>2851.1498417299113</v>
      </c>
      <c r="F82" s="785">
        <f t="shared" si="37"/>
        <v>13235.193165783152</v>
      </c>
      <c r="G82" s="785">
        <f t="shared" si="37"/>
        <v>1522.0838259410395</v>
      </c>
      <c r="H82" s="785">
        <f t="shared" si="37"/>
        <v>686.47267457381486</v>
      </c>
      <c r="I82" s="785">
        <f t="shared" si="37"/>
        <v>2896.7728156820867</v>
      </c>
      <c r="J82" s="369"/>
      <c r="K82" s="828">
        <f t="shared" si="21"/>
        <v>335028</v>
      </c>
      <c r="L82" s="785">
        <v>24</v>
      </c>
      <c r="M82" s="785">
        <f t="shared" si="28"/>
        <v>13959.5</v>
      </c>
      <c r="N82" s="685">
        <v>14056</v>
      </c>
      <c r="O82" s="685"/>
      <c r="P82" s="302" t="s">
        <v>504</v>
      </c>
      <c r="Q82" s="802">
        <v>40691</v>
      </c>
      <c r="R82" s="801"/>
      <c r="S82" s="310">
        <v>12</v>
      </c>
      <c r="T82" s="260">
        <v>25200</v>
      </c>
      <c r="U82" s="8">
        <f t="shared" si="33"/>
        <v>302400</v>
      </c>
      <c r="V82" s="460"/>
      <c r="W82" s="802"/>
      <c r="X82" s="832"/>
      <c r="Y82" s="832"/>
      <c r="Z82" s="8">
        <f t="shared" si="29"/>
        <v>0</v>
      </c>
    </row>
    <row r="83" spans="1:26">
      <c r="A83" s="784">
        <f t="shared" si="30"/>
        <v>66</v>
      </c>
      <c r="B83" s="302" t="s">
        <v>909</v>
      </c>
      <c r="C83" s="864">
        <f t="shared" ref="C83:C146" si="38">U83</f>
        <v>4713786</v>
      </c>
      <c r="D83" s="785">
        <f t="shared" si="37"/>
        <v>99117.501239464546</v>
      </c>
      <c r="E83" s="785">
        <f t="shared" si="37"/>
        <v>24709.965294992562</v>
      </c>
      <c r="F83" s="785">
        <f t="shared" si="37"/>
        <v>114705.00743678732</v>
      </c>
      <c r="G83" s="785">
        <f t="shared" si="37"/>
        <v>13191.393158155677</v>
      </c>
      <c r="H83" s="785">
        <f t="shared" si="37"/>
        <v>5949.429846306396</v>
      </c>
      <c r="I83" s="785">
        <f t="shared" si="37"/>
        <v>25105.364402578085</v>
      </c>
      <c r="J83" s="369"/>
      <c r="K83" s="828">
        <f t="shared" ref="K83:K146" si="39">ROUND(SUM(C83:I83),0)</f>
        <v>4996565</v>
      </c>
      <c r="L83" s="785">
        <v>208</v>
      </c>
      <c r="M83" s="785">
        <f t="shared" si="28"/>
        <v>24021.947115384617</v>
      </c>
      <c r="N83" s="685">
        <v>25535</v>
      </c>
      <c r="O83" s="685"/>
      <c r="P83" s="189" t="s">
        <v>514</v>
      </c>
      <c r="Q83" s="802">
        <v>40691</v>
      </c>
      <c r="R83" s="801"/>
      <c r="S83" s="310">
        <v>209</v>
      </c>
      <c r="T83" s="263">
        <v>22554</v>
      </c>
      <c r="U83" s="8">
        <f t="shared" si="33"/>
        <v>4713786</v>
      </c>
      <c r="V83" s="460"/>
      <c r="W83" s="802"/>
      <c r="X83" s="832"/>
      <c r="Y83" s="832"/>
      <c r="Z83" s="8">
        <f t="shared" si="29"/>
        <v>0</v>
      </c>
    </row>
    <row r="84" spans="1:26">
      <c r="A84" s="784">
        <f t="shared" si="30"/>
        <v>67</v>
      </c>
      <c r="B84" s="302" t="s">
        <v>917</v>
      </c>
      <c r="C84" s="864">
        <f t="shared" si="38"/>
        <v>1264900</v>
      </c>
      <c r="D84" s="785">
        <f t="shared" si="37"/>
        <v>24302.848861599479</v>
      </c>
      <c r="E84" s="785">
        <f t="shared" si="37"/>
        <v>6058.693413676061</v>
      </c>
      <c r="F84" s="785">
        <f t="shared" si="37"/>
        <v>28124.785477289199</v>
      </c>
      <c r="G84" s="785">
        <f t="shared" si="37"/>
        <v>3234.4281301247092</v>
      </c>
      <c r="H84" s="785">
        <f t="shared" si="37"/>
        <v>1458.7544334693566</v>
      </c>
      <c r="I84" s="785">
        <f t="shared" si="37"/>
        <v>6155.6422333244345</v>
      </c>
      <c r="J84" s="369"/>
      <c r="K84" s="828">
        <f t="shared" si="39"/>
        <v>1334235</v>
      </c>
      <c r="L84" s="785">
        <v>51</v>
      </c>
      <c r="M84" s="785">
        <f t="shared" si="28"/>
        <v>26161.470588235294</v>
      </c>
      <c r="N84" s="685">
        <v>27650</v>
      </c>
      <c r="O84" s="685"/>
      <c r="P84" s="189" t="s">
        <v>425</v>
      </c>
      <c r="Q84" s="802">
        <v>40691</v>
      </c>
      <c r="R84" s="801"/>
      <c r="S84" s="310">
        <v>52</v>
      </c>
      <c r="T84" s="263">
        <v>24325</v>
      </c>
      <c r="U84" s="8">
        <f t="shared" si="33"/>
        <v>1264900</v>
      </c>
      <c r="V84" s="460"/>
      <c r="W84" s="802"/>
      <c r="X84" s="832"/>
      <c r="Y84" s="832"/>
      <c r="Z84" s="8">
        <f t="shared" si="29"/>
        <v>0</v>
      </c>
    </row>
    <row r="85" spans="1:26">
      <c r="A85" s="784">
        <f t="shared" si="30"/>
        <v>68</v>
      </c>
      <c r="B85" s="302" t="s">
        <v>919</v>
      </c>
      <c r="C85" s="864">
        <f t="shared" si="38"/>
        <v>9628696</v>
      </c>
      <c r="D85" s="785">
        <f t="shared" si="37"/>
        <v>193469.73799626253</v>
      </c>
      <c r="E85" s="785">
        <f t="shared" si="37"/>
        <v>48231.951489264327</v>
      </c>
      <c r="F85" s="785">
        <f t="shared" si="37"/>
        <v>223895.35105449831</v>
      </c>
      <c r="G85" s="785">
        <f t="shared" si="37"/>
        <v>25748.584722169253</v>
      </c>
      <c r="H85" s="785">
        <f t="shared" si="37"/>
        <v>11612.82941154037</v>
      </c>
      <c r="I85" s="785">
        <f t="shared" si="37"/>
        <v>49003.740131955303</v>
      </c>
      <c r="J85" s="369"/>
      <c r="K85" s="828">
        <f t="shared" si="39"/>
        <v>10180658</v>
      </c>
      <c r="L85" s="785">
        <v>406</v>
      </c>
      <c r="M85" s="785">
        <f t="shared" si="28"/>
        <v>25075.512315270935</v>
      </c>
      <c r="N85" s="685">
        <v>26855</v>
      </c>
      <c r="O85" s="685"/>
      <c r="P85" s="189" t="s">
        <v>515</v>
      </c>
      <c r="Q85" s="802">
        <v>40691</v>
      </c>
      <c r="R85" s="801"/>
      <c r="S85" s="310">
        <v>406</v>
      </c>
      <c r="T85" s="263">
        <v>23716</v>
      </c>
      <c r="U85" s="8">
        <f t="shared" si="33"/>
        <v>9628696</v>
      </c>
      <c r="V85" s="460"/>
      <c r="W85" s="802"/>
      <c r="X85" s="832"/>
      <c r="Y85" s="832"/>
      <c r="Z85" s="8">
        <f t="shared" si="29"/>
        <v>0</v>
      </c>
    </row>
    <row r="86" spans="1:26">
      <c r="A86" s="784">
        <f t="shared" si="30"/>
        <v>69</v>
      </c>
      <c r="B86" s="302" t="s">
        <v>920</v>
      </c>
      <c r="C86" s="864">
        <f t="shared" si="38"/>
        <v>222450</v>
      </c>
      <c r="D86" s="785">
        <f t="shared" si="37"/>
        <v>23826.322413332822</v>
      </c>
      <c r="E86" s="785">
        <f t="shared" si="37"/>
        <v>5939.8955036039815</v>
      </c>
      <c r="F86" s="785">
        <f t="shared" si="37"/>
        <v>27573.319095381565</v>
      </c>
      <c r="G86" s="785">
        <f t="shared" si="37"/>
        <v>3171.0079707104992</v>
      </c>
      <c r="H86" s="785">
        <f t="shared" si="37"/>
        <v>1430.1514053621145</v>
      </c>
      <c r="I86" s="785">
        <f t="shared" si="37"/>
        <v>6034.9433660043469</v>
      </c>
      <c r="J86" s="369"/>
      <c r="K86" s="828">
        <f t="shared" si="39"/>
        <v>290426</v>
      </c>
      <c r="L86" s="785">
        <v>50</v>
      </c>
      <c r="M86" s="785">
        <f t="shared" si="28"/>
        <v>5808.52</v>
      </c>
      <c r="N86" s="685">
        <v>5286</v>
      </c>
      <c r="O86" s="685"/>
      <c r="P86" s="302" t="s">
        <v>410</v>
      </c>
      <c r="Q86" s="802">
        <v>40691</v>
      </c>
      <c r="R86" s="801"/>
      <c r="S86" s="310">
        <f>L86</f>
        <v>50</v>
      </c>
      <c r="T86" s="263">
        <v>4449</v>
      </c>
      <c r="U86" s="8">
        <f t="shared" si="33"/>
        <v>222450</v>
      </c>
      <c r="V86" s="460"/>
      <c r="W86" s="802"/>
      <c r="X86" s="832"/>
      <c r="Y86" s="832"/>
      <c r="Z86" s="8">
        <f t="shared" si="29"/>
        <v>0</v>
      </c>
    </row>
    <row r="87" spans="1:26">
      <c r="A87" s="784">
        <f t="shared" ref="A87:A100" si="40">IF(B87&lt;&gt;"",A86+1,"")</f>
        <v>70</v>
      </c>
      <c r="B87" s="302" t="s">
        <v>921</v>
      </c>
      <c r="C87" s="864">
        <f t="shared" si="38"/>
        <v>75633</v>
      </c>
      <c r="D87" s="785">
        <f t="shared" si="37"/>
        <v>32403.798482132639</v>
      </c>
      <c r="E87" s="785">
        <f t="shared" si="37"/>
        <v>8078.2578849014153</v>
      </c>
      <c r="F87" s="785">
        <f t="shared" si="37"/>
        <v>37499.713969718927</v>
      </c>
      <c r="G87" s="785">
        <f t="shared" si="37"/>
        <v>4312.5708401662787</v>
      </c>
      <c r="H87" s="785">
        <f t="shared" si="37"/>
        <v>1945.0059112924755</v>
      </c>
      <c r="I87" s="785">
        <f t="shared" si="37"/>
        <v>8207.5229777659115</v>
      </c>
      <c r="J87" s="369"/>
      <c r="K87" s="828">
        <f t="shared" si="39"/>
        <v>168080</v>
      </c>
      <c r="L87" s="785">
        <v>68</v>
      </c>
      <c r="M87" s="785">
        <f t="shared" ref="M87:M100" si="41">IF(L87&lt;&gt;"",K87/L87,"")</f>
        <v>2471.7647058823532</v>
      </c>
      <c r="N87" s="685">
        <v>2734</v>
      </c>
      <c r="O87" s="685"/>
      <c r="P87" s="189" t="s">
        <v>410</v>
      </c>
      <c r="Q87" s="802">
        <v>40691</v>
      </c>
      <c r="R87" s="801"/>
      <c r="S87" s="310">
        <f t="shared" ref="S87:S89" si="42">L87/4</f>
        <v>17</v>
      </c>
      <c r="T87" s="263">
        <v>4449</v>
      </c>
      <c r="U87" s="8">
        <f t="shared" ref="U87:U100" si="43">S87*T87</f>
        <v>75633</v>
      </c>
      <c r="V87" s="460"/>
      <c r="W87" s="802"/>
      <c r="X87" s="832"/>
      <c r="Y87" s="832"/>
      <c r="Z87" s="8">
        <f t="shared" ref="Z87:Z100" si="44">X87*Y87</f>
        <v>0</v>
      </c>
    </row>
    <row r="88" spans="1:26">
      <c r="A88" s="784">
        <f t="shared" si="40"/>
        <v>71</v>
      </c>
      <c r="B88" s="302" t="s">
        <v>922</v>
      </c>
      <c r="C88" s="864">
        <f t="shared" si="38"/>
        <v>333675</v>
      </c>
      <c r="D88" s="785">
        <f t="shared" ref="D88:I97" si="45">IF($L$182&lt;&gt;0,D$182/$L$182*$L88,0)</f>
        <v>142957.93447999694</v>
      </c>
      <c r="E88" s="785">
        <f t="shared" si="45"/>
        <v>35639.373021623891</v>
      </c>
      <c r="F88" s="785">
        <f t="shared" si="45"/>
        <v>165439.91457228939</v>
      </c>
      <c r="G88" s="785">
        <f t="shared" si="45"/>
        <v>19026.047824262994</v>
      </c>
      <c r="H88" s="785">
        <f t="shared" si="45"/>
        <v>8580.9084321726859</v>
      </c>
      <c r="I88" s="785">
        <f t="shared" si="45"/>
        <v>36209.660196026081</v>
      </c>
      <c r="J88" s="369"/>
      <c r="K88" s="828">
        <f t="shared" si="39"/>
        <v>741529</v>
      </c>
      <c r="L88" s="785">
        <v>300</v>
      </c>
      <c r="M88" s="785">
        <f t="shared" si="41"/>
        <v>2471.7633333333333</v>
      </c>
      <c r="N88" s="685">
        <v>3065</v>
      </c>
      <c r="O88" s="685"/>
      <c r="P88" s="189" t="s">
        <v>410</v>
      </c>
      <c r="Q88" s="802">
        <v>40691</v>
      </c>
      <c r="R88" s="801"/>
      <c r="S88" s="310">
        <f t="shared" si="42"/>
        <v>75</v>
      </c>
      <c r="T88" s="263">
        <v>4449</v>
      </c>
      <c r="U88" s="8">
        <f t="shared" si="43"/>
        <v>333675</v>
      </c>
      <c r="V88" s="460"/>
      <c r="W88" s="802"/>
      <c r="X88" s="832"/>
      <c r="Y88" s="832"/>
      <c r="Z88" s="8">
        <f t="shared" si="44"/>
        <v>0</v>
      </c>
    </row>
    <row r="89" spans="1:26">
      <c r="A89" s="784">
        <f t="shared" si="40"/>
        <v>72</v>
      </c>
      <c r="B89" s="302" t="s">
        <v>923</v>
      </c>
      <c r="C89" s="864">
        <f t="shared" si="38"/>
        <v>44490</v>
      </c>
      <c r="D89" s="785">
        <f t="shared" si="45"/>
        <v>19061.057930666258</v>
      </c>
      <c r="E89" s="785">
        <f t="shared" si="45"/>
        <v>4751.9164028831856</v>
      </c>
      <c r="F89" s="785">
        <f t="shared" si="45"/>
        <v>22058.655276305253</v>
      </c>
      <c r="G89" s="785">
        <f t="shared" si="45"/>
        <v>2536.8063765683992</v>
      </c>
      <c r="H89" s="785">
        <f t="shared" si="45"/>
        <v>1144.1211242896916</v>
      </c>
      <c r="I89" s="785">
        <f t="shared" si="45"/>
        <v>4827.9546928034779</v>
      </c>
      <c r="J89" s="369"/>
      <c r="K89" s="828">
        <f t="shared" si="39"/>
        <v>98871</v>
      </c>
      <c r="L89" s="785">
        <v>40</v>
      </c>
      <c r="M89" s="785">
        <f t="shared" si="41"/>
        <v>2471.7750000000001</v>
      </c>
      <c r="N89" s="685">
        <v>3778</v>
      </c>
      <c r="O89" s="685"/>
      <c r="P89" s="189" t="s">
        <v>410</v>
      </c>
      <c r="Q89" s="802">
        <v>40691</v>
      </c>
      <c r="R89" s="801"/>
      <c r="S89" s="310">
        <f t="shared" si="42"/>
        <v>10</v>
      </c>
      <c r="T89" s="263">
        <v>4449</v>
      </c>
      <c r="U89" s="8">
        <f t="shared" si="43"/>
        <v>44490</v>
      </c>
      <c r="V89" s="460"/>
      <c r="W89" s="802"/>
      <c r="X89" s="832"/>
      <c r="Y89" s="832"/>
      <c r="Z89" s="8">
        <f t="shared" si="44"/>
        <v>0</v>
      </c>
    </row>
    <row r="90" spans="1:26">
      <c r="A90" s="784">
        <f t="shared" si="40"/>
        <v>73</v>
      </c>
      <c r="B90" s="302" t="s">
        <v>924</v>
      </c>
      <c r="C90" s="864">
        <f t="shared" si="38"/>
        <v>75633</v>
      </c>
      <c r="D90" s="785">
        <f t="shared" si="45"/>
        <v>16201.89924106632</v>
      </c>
      <c r="E90" s="785">
        <f t="shared" si="45"/>
        <v>4039.1289424507077</v>
      </c>
      <c r="F90" s="785">
        <f t="shared" si="45"/>
        <v>18749.856984859463</v>
      </c>
      <c r="G90" s="785">
        <f t="shared" si="45"/>
        <v>2156.2854200831393</v>
      </c>
      <c r="H90" s="785">
        <f t="shared" si="45"/>
        <v>972.50295564623775</v>
      </c>
      <c r="I90" s="785">
        <f t="shared" si="45"/>
        <v>4103.7614888829557</v>
      </c>
      <c r="J90" s="369"/>
      <c r="K90" s="828">
        <f t="shared" si="39"/>
        <v>121856</v>
      </c>
      <c r="L90" s="785">
        <v>34</v>
      </c>
      <c r="M90" s="785">
        <f t="shared" si="41"/>
        <v>3584</v>
      </c>
      <c r="N90" s="685">
        <v>4913</v>
      </c>
      <c r="O90" s="685"/>
      <c r="P90" s="189" t="s">
        <v>410</v>
      </c>
      <c r="Q90" s="802">
        <v>40691</v>
      </c>
      <c r="R90" s="801"/>
      <c r="S90" s="310">
        <f t="shared" ref="S90:S91" si="46">L90/2</f>
        <v>17</v>
      </c>
      <c r="T90" s="263">
        <v>4449</v>
      </c>
      <c r="U90" s="8">
        <f t="shared" si="43"/>
        <v>75633</v>
      </c>
      <c r="V90" s="460"/>
      <c r="W90" s="802"/>
      <c r="X90" s="832"/>
      <c r="Y90" s="832"/>
      <c r="Z90" s="8">
        <f t="shared" si="44"/>
        <v>0</v>
      </c>
    </row>
    <row r="91" spans="1:26">
      <c r="A91" s="784">
        <f t="shared" si="40"/>
        <v>74</v>
      </c>
      <c r="B91" s="302" t="s">
        <v>925</v>
      </c>
      <c r="C91" s="864">
        <f t="shared" si="38"/>
        <v>311430</v>
      </c>
      <c r="D91" s="785">
        <f t="shared" si="45"/>
        <v>66713.702757331906</v>
      </c>
      <c r="E91" s="785">
        <f t="shared" si="45"/>
        <v>16631.707410091149</v>
      </c>
      <c r="F91" s="785">
        <f t="shared" si="45"/>
        <v>77205.29346706839</v>
      </c>
      <c r="G91" s="785">
        <f t="shared" si="45"/>
        <v>8878.8223179893976</v>
      </c>
      <c r="H91" s="785">
        <f t="shared" si="45"/>
        <v>4004.4239350139205</v>
      </c>
      <c r="I91" s="785">
        <f t="shared" si="45"/>
        <v>16897.841424812173</v>
      </c>
      <c r="J91" s="369"/>
      <c r="K91" s="828">
        <f t="shared" si="39"/>
        <v>501762</v>
      </c>
      <c r="L91" s="785">
        <v>140</v>
      </c>
      <c r="M91" s="785">
        <f t="shared" si="41"/>
        <v>3584.0142857142855</v>
      </c>
      <c r="N91" s="685">
        <v>4320</v>
      </c>
      <c r="O91" s="685"/>
      <c r="P91" s="189" t="s">
        <v>410</v>
      </c>
      <c r="Q91" s="802">
        <v>40691</v>
      </c>
      <c r="R91" s="801"/>
      <c r="S91" s="310">
        <f t="shared" si="46"/>
        <v>70</v>
      </c>
      <c r="T91" s="263">
        <v>4449</v>
      </c>
      <c r="U91" s="8">
        <f t="shared" si="43"/>
        <v>311430</v>
      </c>
      <c r="V91" s="460"/>
      <c r="W91" s="802"/>
      <c r="X91" s="832"/>
      <c r="Y91" s="832"/>
      <c r="Z91" s="8">
        <f t="shared" si="44"/>
        <v>0</v>
      </c>
    </row>
    <row r="92" spans="1:26">
      <c r="A92" s="784">
        <f t="shared" si="40"/>
        <v>75</v>
      </c>
      <c r="B92" s="302" t="s">
        <v>926</v>
      </c>
      <c r="C92" s="864">
        <f t="shared" si="38"/>
        <v>1121820</v>
      </c>
      <c r="D92" s="785">
        <f t="shared" si="45"/>
        <v>66713.702757331906</v>
      </c>
      <c r="E92" s="785">
        <f t="shared" si="45"/>
        <v>16631.707410091149</v>
      </c>
      <c r="F92" s="785">
        <f t="shared" si="45"/>
        <v>77205.29346706839</v>
      </c>
      <c r="G92" s="785">
        <f t="shared" si="45"/>
        <v>8878.8223179893976</v>
      </c>
      <c r="H92" s="785">
        <f t="shared" si="45"/>
        <v>4004.4239350139205</v>
      </c>
      <c r="I92" s="785">
        <f t="shared" si="45"/>
        <v>16897.841424812173</v>
      </c>
      <c r="J92" s="369"/>
      <c r="K92" s="828">
        <f t="shared" si="39"/>
        <v>1312152</v>
      </c>
      <c r="L92" s="785">
        <v>140</v>
      </c>
      <c r="M92" s="785">
        <f t="shared" si="41"/>
        <v>9372.5142857142855</v>
      </c>
      <c r="N92" s="685">
        <v>11516</v>
      </c>
      <c r="O92" s="685"/>
      <c r="P92" s="189" t="s">
        <v>540</v>
      </c>
      <c r="Q92" s="802">
        <v>40691</v>
      </c>
      <c r="R92" s="801"/>
      <c r="S92" s="310">
        <f>L92</f>
        <v>140</v>
      </c>
      <c r="T92" s="260">
        <v>8013</v>
      </c>
      <c r="U92" s="8">
        <f t="shared" si="43"/>
        <v>1121820</v>
      </c>
      <c r="V92" s="460"/>
      <c r="W92" s="802"/>
      <c r="X92" s="832"/>
      <c r="Y92" s="832"/>
      <c r="Z92" s="8">
        <f t="shared" si="44"/>
        <v>0</v>
      </c>
    </row>
    <row r="93" spans="1:26">
      <c r="A93" s="784">
        <f t="shared" si="40"/>
        <v>76</v>
      </c>
      <c r="B93" s="302" t="s">
        <v>916</v>
      </c>
      <c r="C93" s="864">
        <f t="shared" si="38"/>
        <v>126000</v>
      </c>
      <c r="D93" s="785">
        <f t="shared" si="45"/>
        <v>4765.2644826665646</v>
      </c>
      <c r="E93" s="785">
        <f t="shared" si="45"/>
        <v>1187.9791007207964</v>
      </c>
      <c r="F93" s="785">
        <f t="shared" si="45"/>
        <v>5514.6638190763133</v>
      </c>
      <c r="G93" s="785">
        <f t="shared" si="45"/>
        <v>634.20159414209979</v>
      </c>
      <c r="H93" s="785">
        <f t="shared" si="45"/>
        <v>286.03028107242289</v>
      </c>
      <c r="I93" s="785">
        <f t="shared" si="45"/>
        <v>1206.9886732008695</v>
      </c>
      <c r="J93" s="369"/>
      <c r="K93" s="828">
        <f t="shared" si="39"/>
        <v>139595</v>
      </c>
      <c r="L93" s="785">
        <v>10</v>
      </c>
      <c r="M93" s="785">
        <f t="shared" si="41"/>
        <v>13959.5</v>
      </c>
      <c r="N93" s="685">
        <v>14056</v>
      </c>
      <c r="O93" s="685"/>
      <c r="P93" s="302" t="s">
        <v>504</v>
      </c>
      <c r="Q93" s="802">
        <v>40691</v>
      </c>
      <c r="R93" s="801"/>
      <c r="S93" s="310">
        <v>5</v>
      </c>
      <c r="T93" s="260">
        <v>25200</v>
      </c>
      <c r="U93" s="8">
        <f t="shared" si="43"/>
        <v>126000</v>
      </c>
      <c r="V93" s="460"/>
      <c r="W93" s="802"/>
      <c r="X93" s="832"/>
      <c r="Y93" s="832"/>
      <c r="Z93" s="8">
        <f t="shared" si="44"/>
        <v>0</v>
      </c>
    </row>
    <row r="94" spans="1:26">
      <c r="A94" s="784">
        <f t="shared" si="40"/>
        <v>77</v>
      </c>
      <c r="B94" s="302" t="s">
        <v>927</v>
      </c>
      <c r="C94" s="864">
        <f t="shared" si="38"/>
        <v>586160</v>
      </c>
      <c r="D94" s="785">
        <f t="shared" si="45"/>
        <v>32403.798482132639</v>
      </c>
      <c r="E94" s="785">
        <f t="shared" si="45"/>
        <v>8078.2578849014153</v>
      </c>
      <c r="F94" s="785">
        <f t="shared" si="45"/>
        <v>37499.713969718927</v>
      </c>
      <c r="G94" s="785">
        <f t="shared" si="45"/>
        <v>4312.5708401662787</v>
      </c>
      <c r="H94" s="785">
        <f t="shared" si="45"/>
        <v>1945.0059112924755</v>
      </c>
      <c r="I94" s="785">
        <f t="shared" si="45"/>
        <v>8207.5229777659115</v>
      </c>
      <c r="J94" s="369"/>
      <c r="K94" s="828">
        <f t="shared" si="39"/>
        <v>678607</v>
      </c>
      <c r="L94" s="785">
        <v>68</v>
      </c>
      <c r="M94" s="785">
        <f t="shared" si="41"/>
        <v>9979.5147058823532</v>
      </c>
      <c r="N94" s="685">
        <v>10433</v>
      </c>
      <c r="O94" s="685"/>
      <c r="P94" s="189" t="s">
        <v>530</v>
      </c>
      <c r="Q94" s="802">
        <v>40691</v>
      </c>
      <c r="R94" s="801"/>
      <c r="S94" s="310">
        <f>L94</f>
        <v>68</v>
      </c>
      <c r="T94" s="260">
        <v>8620</v>
      </c>
      <c r="U94" s="8">
        <f t="shared" si="43"/>
        <v>586160</v>
      </c>
      <c r="V94" s="460"/>
      <c r="W94" s="802"/>
      <c r="X94" s="832"/>
      <c r="Y94" s="832"/>
      <c r="Z94" s="8">
        <f t="shared" si="44"/>
        <v>0</v>
      </c>
    </row>
    <row r="95" spans="1:26">
      <c r="A95" s="784">
        <f t="shared" si="40"/>
        <v>78</v>
      </c>
      <c r="B95" s="302" t="s">
        <v>928</v>
      </c>
      <c r="C95" s="864">
        <f t="shared" si="38"/>
        <v>3476100</v>
      </c>
      <c r="D95" s="785">
        <f t="shared" si="45"/>
        <v>142957.93447999694</v>
      </c>
      <c r="E95" s="785">
        <f t="shared" si="45"/>
        <v>35639.373021623891</v>
      </c>
      <c r="F95" s="785">
        <f t="shared" si="45"/>
        <v>165439.91457228939</v>
      </c>
      <c r="G95" s="785">
        <f t="shared" si="45"/>
        <v>19026.047824262994</v>
      </c>
      <c r="H95" s="785">
        <f t="shared" si="45"/>
        <v>8580.9084321726859</v>
      </c>
      <c r="I95" s="785">
        <f t="shared" si="45"/>
        <v>36209.660196026081</v>
      </c>
      <c r="J95" s="369"/>
      <c r="K95" s="828">
        <f t="shared" si="39"/>
        <v>3883954</v>
      </c>
      <c r="L95" s="785">
        <v>300</v>
      </c>
      <c r="M95" s="785">
        <f t="shared" si="41"/>
        <v>12946.513333333334</v>
      </c>
      <c r="N95" s="685">
        <v>13172</v>
      </c>
      <c r="O95" s="685"/>
      <c r="P95" s="189" t="s">
        <v>520</v>
      </c>
      <c r="Q95" s="802">
        <v>40691</v>
      </c>
      <c r="R95" s="801"/>
      <c r="S95" s="310">
        <f>L95</f>
        <v>300</v>
      </c>
      <c r="T95" s="260">
        <v>11587</v>
      </c>
      <c r="U95" s="8">
        <f t="shared" si="43"/>
        <v>3476100</v>
      </c>
      <c r="V95" s="460"/>
      <c r="W95" s="802"/>
      <c r="X95" s="832"/>
      <c r="Y95" s="832"/>
      <c r="Z95" s="8">
        <f t="shared" si="44"/>
        <v>0</v>
      </c>
    </row>
    <row r="96" spans="1:26">
      <c r="A96" s="784">
        <f t="shared" si="40"/>
        <v>79</v>
      </c>
      <c r="B96" s="302" t="s">
        <v>929</v>
      </c>
      <c r="C96" s="864">
        <f t="shared" si="38"/>
        <v>529200</v>
      </c>
      <c r="D96" s="785">
        <f t="shared" si="45"/>
        <v>19061.057930666258</v>
      </c>
      <c r="E96" s="785">
        <f t="shared" si="45"/>
        <v>4751.9164028831856</v>
      </c>
      <c r="F96" s="785">
        <f t="shared" si="45"/>
        <v>22058.655276305253</v>
      </c>
      <c r="G96" s="785">
        <f t="shared" si="45"/>
        <v>2536.8063765683992</v>
      </c>
      <c r="H96" s="785">
        <f t="shared" si="45"/>
        <v>1144.1211242896916</v>
      </c>
      <c r="I96" s="785">
        <f t="shared" si="45"/>
        <v>4827.9546928034779</v>
      </c>
      <c r="J96" s="369"/>
      <c r="K96" s="828">
        <f t="shared" si="39"/>
        <v>583581</v>
      </c>
      <c r="L96" s="785">
        <v>40</v>
      </c>
      <c r="M96" s="785">
        <f t="shared" si="41"/>
        <v>14589.525</v>
      </c>
      <c r="N96" s="685">
        <v>15040</v>
      </c>
      <c r="O96" s="685"/>
      <c r="P96" s="302" t="s">
        <v>504</v>
      </c>
      <c r="Q96" s="802">
        <v>40691</v>
      </c>
      <c r="R96" s="801"/>
      <c r="S96" s="310">
        <v>21</v>
      </c>
      <c r="T96" s="260">
        <v>25200</v>
      </c>
      <c r="U96" s="8">
        <f t="shared" si="43"/>
        <v>529200</v>
      </c>
      <c r="V96" s="460"/>
      <c r="W96" s="802"/>
      <c r="X96" s="832"/>
      <c r="Y96" s="832"/>
      <c r="Z96" s="8">
        <f t="shared" si="44"/>
        <v>0</v>
      </c>
    </row>
    <row r="97" spans="1:26">
      <c r="A97" s="784">
        <f t="shared" si="40"/>
        <v>80</v>
      </c>
      <c r="B97" s="302" t="s">
        <v>931</v>
      </c>
      <c r="C97" s="864">
        <f t="shared" si="38"/>
        <v>4330256</v>
      </c>
      <c r="D97" s="785">
        <f t="shared" si="45"/>
        <v>449364.44071545708</v>
      </c>
      <c r="E97" s="785">
        <f t="shared" si="45"/>
        <v>112026.4291979711</v>
      </c>
      <c r="F97" s="785">
        <f t="shared" si="45"/>
        <v>520032.79813889635</v>
      </c>
      <c r="G97" s="785">
        <f t="shared" si="45"/>
        <v>59805.210327600013</v>
      </c>
      <c r="H97" s="785">
        <f t="shared" si="45"/>
        <v>26972.655505129478</v>
      </c>
      <c r="I97" s="785">
        <f t="shared" si="45"/>
        <v>113819.03188284198</v>
      </c>
      <c r="J97" s="369"/>
      <c r="K97" s="828">
        <f t="shared" si="39"/>
        <v>5612277</v>
      </c>
      <c r="L97" s="785">
        <v>943</v>
      </c>
      <c r="M97" s="785">
        <f t="shared" si="41"/>
        <v>5951.5132555673381</v>
      </c>
      <c r="N97" s="685">
        <v>7229</v>
      </c>
      <c r="O97" s="685"/>
      <c r="P97" s="302" t="s">
        <v>501</v>
      </c>
      <c r="Q97" s="802">
        <v>40694</v>
      </c>
      <c r="R97" s="801"/>
      <c r="S97" s="310">
        <f t="shared" ref="S97:S98" si="47">L97</f>
        <v>943</v>
      </c>
      <c r="T97" s="263">
        <v>4592</v>
      </c>
      <c r="U97" s="8">
        <f t="shared" si="43"/>
        <v>4330256</v>
      </c>
      <c r="V97" s="460"/>
      <c r="W97" s="802"/>
      <c r="X97" s="832"/>
      <c r="Y97" s="832"/>
      <c r="Z97" s="8">
        <f t="shared" si="44"/>
        <v>0</v>
      </c>
    </row>
    <row r="98" spans="1:26">
      <c r="A98" s="784">
        <f t="shared" si="40"/>
        <v>81</v>
      </c>
      <c r="B98" s="302" t="s">
        <v>932</v>
      </c>
      <c r="C98" s="864">
        <f t="shared" si="38"/>
        <v>1348047</v>
      </c>
      <c r="D98" s="785">
        <f t="shared" ref="D98:I107" si="48">IF($L$182&lt;&gt;0,D$182/$L$182*$L98,0)</f>
        <v>144387.51382479692</v>
      </c>
      <c r="E98" s="785">
        <f t="shared" si="48"/>
        <v>35995.766751840129</v>
      </c>
      <c r="F98" s="785">
        <f t="shared" si="48"/>
        <v>167094.3137180123</v>
      </c>
      <c r="G98" s="785">
        <f t="shared" si="48"/>
        <v>19216.308302505626</v>
      </c>
      <c r="H98" s="785">
        <f t="shared" si="48"/>
        <v>8666.7175164944128</v>
      </c>
      <c r="I98" s="785">
        <f t="shared" si="48"/>
        <v>36571.756797986345</v>
      </c>
      <c r="J98" s="369"/>
      <c r="K98" s="828">
        <f t="shared" si="39"/>
        <v>1759979</v>
      </c>
      <c r="L98" s="785">
        <v>303</v>
      </c>
      <c r="M98" s="785">
        <f t="shared" si="41"/>
        <v>5808.5115511551157</v>
      </c>
      <c r="N98" s="685">
        <v>6620</v>
      </c>
      <c r="O98" s="685"/>
      <c r="P98" s="302" t="s">
        <v>410</v>
      </c>
      <c r="Q98" s="802">
        <v>40694</v>
      </c>
      <c r="R98" s="801"/>
      <c r="S98" s="310">
        <f t="shared" si="47"/>
        <v>303</v>
      </c>
      <c r="T98" s="263">
        <v>4449</v>
      </c>
      <c r="U98" s="8">
        <f t="shared" si="43"/>
        <v>1348047</v>
      </c>
      <c r="V98" s="460"/>
      <c r="W98" s="802"/>
      <c r="X98" s="832"/>
      <c r="Y98" s="832"/>
      <c r="Z98" s="8">
        <f t="shared" si="44"/>
        <v>0</v>
      </c>
    </row>
    <row r="99" spans="1:26">
      <c r="A99" s="784">
        <f t="shared" si="40"/>
        <v>82</v>
      </c>
      <c r="B99" s="302" t="s">
        <v>933</v>
      </c>
      <c r="C99" s="864">
        <f t="shared" si="38"/>
        <v>347610</v>
      </c>
      <c r="D99" s="785">
        <f t="shared" si="48"/>
        <v>14295.793447999695</v>
      </c>
      <c r="E99" s="785">
        <f t="shared" si="48"/>
        <v>3563.9373021623887</v>
      </c>
      <c r="F99" s="785">
        <f t="shared" si="48"/>
        <v>16543.991457228942</v>
      </c>
      <c r="G99" s="785">
        <f t="shared" si="48"/>
        <v>1902.6047824262996</v>
      </c>
      <c r="H99" s="785">
        <f t="shared" si="48"/>
        <v>858.09084321726868</v>
      </c>
      <c r="I99" s="785">
        <f t="shared" si="48"/>
        <v>3620.9660196026084</v>
      </c>
      <c r="J99" s="369"/>
      <c r="K99" s="828">
        <f t="shared" si="39"/>
        <v>388395</v>
      </c>
      <c r="L99" s="785">
        <v>30</v>
      </c>
      <c r="M99" s="785">
        <f t="shared" si="41"/>
        <v>12946.5</v>
      </c>
      <c r="N99" s="685">
        <v>14576</v>
      </c>
      <c r="O99" s="685"/>
      <c r="P99" s="189" t="s">
        <v>520</v>
      </c>
      <c r="Q99" s="802">
        <v>40694</v>
      </c>
      <c r="R99" s="801"/>
      <c r="S99" s="310">
        <f>L99</f>
        <v>30</v>
      </c>
      <c r="T99" s="260">
        <v>11587</v>
      </c>
      <c r="U99" s="8">
        <f t="shared" si="43"/>
        <v>347610</v>
      </c>
      <c r="V99" s="460"/>
      <c r="W99" s="802"/>
      <c r="X99" s="832"/>
      <c r="Y99" s="832"/>
      <c r="Z99" s="8">
        <f t="shared" si="44"/>
        <v>0</v>
      </c>
    </row>
    <row r="100" spans="1:26">
      <c r="A100" s="784">
        <f t="shared" si="40"/>
        <v>83</v>
      </c>
      <c r="B100" s="302" t="s">
        <v>759</v>
      </c>
      <c r="C100" s="864">
        <f t="shared" si="38"/>
        <v>3592166</v>
      </c>
      <c r="D100" s="785">
        <f t="shared" si="48"/>
        <v>48129.171274932305</v>
      </c>
      <c r="E100" s="785">
        <f t="shared" si="48"/>
        <v>11998.588917280043</v>
      </c>
      <c r="F100" s="785">
        <f t="shared" si="48"/>
        <v>55698.104572670767</v>
      </c>
      <c r="G100" s="785">
        <f t="shared" si="48"/>
        <v>6405.436100835208</v>
      </c>
      <c r="H100" s="785">
        <f t="shared" si="48"/>
        <v>2888.9058388314711</v>
      </c>
      <c r="I100" s="785">
        <f t="shared" si="48"/>
        <v>12190.585599328782</v>
      </c>
      <c r="J100" s="369"/>
      <c r="K100" s="828">
        <f t="shared" si="39"/>
        <v>3729477</v>
      </c>
      <c r="L100" s="785">
        <v>101</v>
      </c>
      <c r="M100" s="785">
        <f t="shared" si="41"/>
        <v>36925.514851485146</v>
      </c>
      <c r="N100" s="685">
        <v>43865</v>
      </c>
      <c r="O100" s="685"/>
      <c r="P100" s="189" t="s">
        <v>606</v>
      </c>
      <c r="Q100" s="802">
        <v>40695</v>
      </c>
      <c r="R100" s="801"/>
      <c r="S100" s="310">
        <v>101</v>
      </c>
      <c r="T100" s="834">
        <v>35566</v>
      </c>
      <c r="U100" s="8">
        <f t="shared" si="43"/>
        <v>3592166</v>
      </c>
      <c r="V100" s="460"/>
      <c r="W100" s="802"/>
      <c r="X100" s="832"/>
      <c r="Y100" s="832"/>
      <c r="Z100" s="8">
        <f t="shared" si="44"/>
        <v>0</v>
      </c>
    </row>
    <row r="101" spans="1:26">
      <c r="A101" s="784">
        <f t="shared" ref="A101:A147" si="49">IF(B101&lt;&gt;"",A100+1,"")</f>
        <v>84</v>
      </c>
      <c r="B101" s="302" t="s">
        <v>762</v>
      </c>
      <c r="C101" s="864">
        <f t="shared" si="38"/>
        <v>3617012</v>
      </c>
      <c r="D101" s="785">
        <f t="shared" si="48"/>
        <v>48129.171274932305</v>
      </c>
      <c r="E101" s="785">
        <f t="shared" si="48"/>
        <v>11998.588917280043</v>
      </c>
      <c r="F101" s="785">
        <f t="shared" si="48"/>
        <v>55698.104572670767</v>
      </c>
      <c r="G101" s="785">
        <f t="shared" si="48"/>
        <v>6405.436100835208</v>
      </c>
      <c r="H101" s="785">
        <f t="shared" si="48"/>
        <v>2888.9058388314711</v>
      </c>
      <c r="I101" s="785">
        <f t="shared" si="48"/>
        <v>12190.585599328782</v>
      </c>
      <c r="J101" s="369"/>
      <c r="K101" s="828">
        <f t="shared" si="39"/>
        <v>3754323</v>
      </c>
      <c r="L101" s="785">
        <v>101</v>
      </c>
      <c r="M101" s="785">
        <f t="shared" ref="M101:M167" si="50">IF(L101&lt;&gt;"",K101/L101,"")</f>
        <v>37171.514851485146</v>
      </c>
      <c r="N101" s="685">
        <v>50416</v>
      </c>
      <c r="O101" s="685"/>
      <c r="P101" s="189" t="s">
        <v>659</v>
      </c>
      <c r="Q101" s="802">
        <v>40695</v>
      </c>
      <c r="R101" s="801"/>
      <c r="S101" s="310">
        <v>101</v>
      </c>
      <c r="T101" s="263">
        <v>35812</v>
      </c>
      <c r="U101" s="8">
        <f t="shared" ref="U101:U167" si="51">S101*T101</f>
        <v>3617012</v>
      </c>
      <c r="V101" s="460"/>
      <c r="W101" s="802"/>
      <c r="X101" s="832"/>
      <c r="Y101" s="832"/>
      <c r="Z101" s="8">
        <f t="shared" ref="Z101:Z167" si="52">X101*Y101</f>
        <v>0</v>
      </c>
    </row>
    <row r="102" spans="1:26">
      <c r="A102" s="784">
        <f t="shared" si="49"/>
        <v>85</v>
      </c>
      <c r="B102" s="302" t="s">
        <v>935</v>
      </c>
      <c r="C102" s="864">
        <f t="shared" si="38"/>
        <v>353010</v>
      </c>
      <c r="D102" s="785">
        <f t="shared" si="48"/>
        <v>8100.9496205331598</v>
      </c>
      <c r="E102" s="785">
        <f t="shared" si="48"/>
        <v>2019.5644712253538</v>
      </c>
      <c r="F102" s="785">
        <f t="shared" si="48"/>
        <v>9374.9284924297317</v>
      </c>
      <c r="G102" s="785">
        <f t="shared" si="48"/>
        <v>1078.1427100415697</v>
      </c>
      <c r="H102" s="785">
        <f t="shared" si="48"/>
        <v>486.25147782311888</v>
      </c>
      <c r="I102" s="785">
        <f t="shared" si="48"/>
        <v>2051.8807444414779</v>
      </c>
      <c r="J102" s="369"/>
      <c r="K102" s="828">
        <f t="shared" si="39"/>
        <v>376122</v>
      </c>
      <c r="L102" s="785">
        <v>17</v>
      </c>
      <c r="M102" s="785">
        <f t="shared" si="50"/>
        <v>22124.823529411766</v>
      </c>
      <c r="N102" s="685">
        <v>23643</v>
      </c>
      <c r="O102" s="685"/>
      <c r="P102" s="40" t="s">
        <v>614</v>
      </c>
      <c r="Q102" s="802">
        <v>40723</v>
      </c>
      <c r="R102" s="801"/>
      <c r="S102" s="310">
        <v>10</v>
      </c>
      <c r="T102" s="834">
        <v>35301</v>
      </c>
      <c r="U102" s="25">
        <f t="shared" si="51"/>
        <v>353010</v>
      </c>
      <c r="V102" s="460"/>
      <c r="W102" s="802"/>
      <c r="X102" s="832"/>
      <c r="Y102" s="832"/>
      <c r="Z102" s="8">
        <f t="shared" si="52"/>
        <v>0</v>
      </c>
    </row>
    <row r="103" spans="1:26">
      <c r="A103" s="784">
        <f t="shared" si="49"/>
        <v>86</v>
      </c>
      <c r="B103" s="302" t="s">
        <v>919</v>
      </c>
      <c r="C103" s="864">
        <f t="shared" si="38"/>
        <v>191248</v>
      </c>
      <c r="D103" s="785">
        <f t="shared" si="48"/>
        <v>3812.2115861332518</v>
      </c>
      <c r="E103" s="785">
        <f t="shared" si="48"/>
        <v>950.38328057663705</v>
      </c>
      <c r="F103" s="785">
        <f t="shared" si="48"/>
        <v>4411.7310552610506</v>
      </c>
      <c r="G103" s="785">
        <f t="shared" si="48"/>
        <v>507.36127531367987</v>
      </c>
      <c r="H103" s="785">
        <f t="shared" si="48"/>
        <v>228.8242248579383</v>
      </c>
      <c r="I103" s="785">
        <f t="shared" si="48"/>
        <v>965.59093856069558</v>
      </c>
      <c r="J103" s="369"/>
      <c r="K103" s="828">
        <f t="shared" si="39"/>
        <v>202124</v>
      </c>
      <c r="L103" s="785">
        <v>8</v>
      </c>
      <c r="M103" s="785">
        <f t="shared" si="50"/>
        <v>25265.5</v>
      </c>
      <c r="N103" s="685">
        <v>26855</v>
      </c>
      <c r="O103" s="685"/>
      <c r="P103" s="40" t="s">
        <v>645</v>
      </c>
      <c r="Q103" s="802">
        <v>40723</v>
      </c>
      <c r="R103" s="801"/>
      <c r="S103" s="310">
        <v>8</v>
      </c>
      <c r="T103" s="834">
        <v>23906</v>
      </c>
      <c r="U103" s="25">
        <f t="shared" si="51"/>
        <v>191248</v>
      </c>
      <c r="V103" s="460"/>
      <c r="W103" s="802"/>
      <c r="X103" s="832"/>
      <c r="Y103" s="832"/>
      <c r="Z103" s="8">
        <f t="shared" si="52"/>
        <v>0</v>
      </c>
    </row>
    <row r="104" spans="1:26">
      <c r="A104" s="784">
        <f t="shared" si="49"/>
        <v>87</v>
      </c>
      <c r="B104" s="302" t="s">
        <v>909</v>
      </c>
      <c r="C104" s="864">
        <f t="shared" si="38"/>
        <v>908428</v>
      </c>
      <c r="D104" s="785">
        <f t="shared" si="48"/>
        <v>18108.005034132944</v>
      </c>
      <c r="E104" s="785">
        <f t="shared" si="48"/>
        <v>4514.3205827390257</v>
      </c>
      <c r="F104" s="785">
        <f t="shared" si="48"/>
        <v>20955.722512489992</v>
      </c>
      <c r="G104" s="785">
        <f t="shared" si="48"/>
        <v>2409.9660577399795</v>
      </c>
      <c r="H104" s="785">
        <f t="shared" si="48"/>
        <v>1086.915068075207</v>
      </c>
      <c r="I104" s="785">
        <f t="shared" si="48"/>
        <v>4586.5569581633044</v>
      </c>
      <c r="J104" s="369"/>
      <c r="K104" s="828">
        <f t="shared" si="39"/>
        <v>960089</v>
      </c>
      <c r="L104" s="785">
        <v>38</v>
      </c>
      <c r="M104" s="785">
        <f t="shared" si="50"/>
        <v>25265.5</v>
      </c>
      <c r="N104" s="685">
        <v>25535</v>
      </c>
      <c r="O104" s="685"/>
      <c r="P104" s="40" t="s">
        <v>645</v>
      </c>
      <c r="Q104" s="802">
        <v>40723</v>
      </c>
      <c r="R104" s="801"/>
      <c r="S104" s="310">
        <v>38</v>
      </c>
      <c r="T104" s="834">
        <v>23906</v>
      </c>
      <c r="U104" s="25">
        <f t="shared" si="51"/>
        <v>908428</v>
      </c>
      <c r="V104" s="460"/>
      <c r="W104" s="802"/>
      <c r="X104" s="832"/>
      <c r="Y104" s="832"/>
      <c r="Z104" s="8">
        <f t="shared" si="52"/>
        <v>0</v>
      </c>
    </row>
    <row r="105" spans="1:26">
      <c r="A105" s="784">
        <f t="shared" si="49"/>
        <v>88</v>
      </c>
      <c r="B105" s="302" t="s">
        <v>936</v>
      </c>
      <c r="C105" s="864">
        <f t="shared" si="38"/>
        <v>835801</v>
      </c>
      <c r="D105" s="785">
        <f t="shared" si="48"/>
        <v>22396.743068532855</v>
      </c>
      <c r="E105" s="785">
        <f t="shared" si="48"/>
        <v>5583.501773387743</v>
      </c>
      <c r="F105" s="785">
        <f t="shared" si="48"/>
        <v>25918.919949658673</v>
      </c>
      <c r="G105" s="785">
        <f t="shared" si="48"/>
        <v>2980.7474924678691</v>
      </c>
      <c r="H105" s="785">
        <f t="shared" si="48"/>
        <v>1344.3423210403876</v>
      </c>
      <c r="I105" s="785">
        <f t="shared" si="48"/>
        <v>5672.8467640440867</v>
      </c>
      <c r="J105" s="369"/>
      <c r="K105" s="828">
        <f t="shared" si="39"/>
        <v>899698</v>
      </c>
      <c r="L105" s="785">
        <v>47</v>
      </c>
      <c r="M105" s="785">
        <f t="shared" si="50"/>
        <v>19142.510638297874</v>
      </c>
      <c r="N105" s="685">
        <v>21721</v>
      </c>
      <c r="O105" s="685"/>
      <c r="P105" s="189" t="s">
        <v>606</v>
      </c>
      <c r="Q105" s="802">
        <v>40723</v>
      </c>
      <c r="R105" s="801"/>
      <c r="S105" s="310">
        <v>23.5</v>
      </c>
      <c r="T105" s="834">
        <v>35566</v>
      </c>
      <c r="U105" s="25">
        <f t="shared" si="51"/>
        <v>835801</v>
      </c>
      <c r="V105" s="460"/>
      <c r="W105" s="802"/>
      <c r="X105" s="832"/>
      <c r="Y105" s="832"/>
      <c r="Z105" s="8">
        <f t="shared" si="52"/>
        <v>0</v>
      </c>
    </row>
    <row r="106" spans="1:26">
      <c r="A106" s="784">
        <f t="shared" si="49"/>
        <v>89</v>
      </c>
      <c r="B106" s="302" t="s">
        <v>937</v>
      </c>
      <c r="C106" s="864">
        <f t="shared" si="38"/>
        <v>9962075</v>
      </c>
      <c r="D106" s="785">
        <f t="shared" si="48"/>
        <v>395516.95206132485</v>
      </c>
      <c r="E106" s="785">
        <f t="shared" si="48"/>
        <v>98602.265359826095</v>
      </c>
      <c r="F106" s="785">
        <f t="shared" si="48"/>
        <v>457717.09698333399</v>
      </c>
      <c r="G106" s="785">
        <f t="shared" si="48"/>
        <v>52638.732313794288</v>
      </c>
      <c r="H106" s="785">
        <f t="shared" si="48"/>
        <v>23740.513329011101</v>
      </c>
      <c r="I106" s="785">
        <f t="shared" si="48"/>
        <v>100180.05987567216</v>
      </c>
      <c r="J106" s="369"/>
      <c r="K106" s="828">
        <f t="shared" si="39"/>
        <v>11090471</v>
      </c>
      <c r="L106" s="785">
        <v>830</v>
      </c>
      <c r="M106" s="785">
        <f t="shared" si="50"/>
        <v>13362.013253012048</v>
      </c>
      <c r="N106" s="685">
        <v>14435</v>
      </c>
      <c r="O106" s="685"/>
      <c r="P106" s="40" t="s">
        <v>580</v>
      </c>
      <c r="Q106" s="802">
        <v>40723</v>
      </c>
      <c r="R106" s="801"/>
      <c r="S106" s="310">
        <f>L106/2</f>
        <v>415</v>
      </c>
      <c r="T106" s="834">
        <v>24005</v>
      </c>
      <c r="U106" s="8">
        <f t="shared" si="51"/>
        <v>9962075</v>
      </c>
      <c r="V106" s="460"/>
      <c r="W106" s="802"/>
      <c r="X106" s="832"/>
      <c r="Y106" s="832"/>
      <c r="Z106" s="8">
        <f t="shared" si="52"/>
        <v>0</v>
      </c>
    </row>
    <row r="107" spans="1:26">
      <c r="A107" s="839">
        <f t="shared" si="49"/>
        <v>90</v>
      </c>
      <c r="B107" s="303" t="s">
        <v>774</v>
      </c>
      <c r="C107" s="864">
        <f t="shared" si="38"/>
        <v>8857845</v>
      </c>
      <c r="D107" s="549">
        <f t="shared" si="48"/>
        <v>351676.51882079249</v>
      </c>
      <c r="E107" s="549">
        <f t="shared" si="48"/>
        <v>87672.85763319477</v>
      </c>
      <c r="F107" s="549">
        <f t="shared" si="48"/>
        <v>406982.18984783191</v>
      </c>
      <c r="G107" s="549">
        <f t="shared" si="48"/>
        <v>46804.077647686965</v>
      </c>
      <c r="H107" s="549">
        <f t="shared" si="48"/>
        <v>21109.03474314481</v>
      </c>
      <c r="I107" s="549">
        <f t="shared" si="48"/>
        <v>89075.764082224166</v>
      </c>
      <c r="J107" s="549"/>
      <c r="K107" s="828">
        <f t="shared" si="39"/>
        <v>9861165</v>
      </c>
      <c r="L107" s="549">
        <v>738</v>
      </c>
      <c r="M107" s="549">
        <f t="shared" si="50"/>
        <v>13362.012195121952</v>
      </c>
      <c r="N107" s="685">
        <v>14011</v>
      </c>
      <c r="O107" s="685"/>
      <c r="P107" s="40" t="s">
        <v>580</v>
      </c>
      <c r="Q107" s="802">
        <v>40723</v>
      </c>
      <c r="R107" s="801"/>
      <c r="S107" s="310">
        <f>L107/2</f>
        <v>369</v>
      </c>
      <c r="T107" s="834">
        <v>24005</v>
      </c>
      <c r="U107" s="8">
        <f t="shared" si="51"/>
        <v>8857845</v>
      </c>
      <c r="V107" s="460"/>
      <c r="W107" s="802"/>
      <c r="X107" s="832"/>
      <c r="Y107" s="832"/>
      <c r="Z107" s="8">
        <f t="shared" si="52"/>
        <v>0</v>
      </c>
    </row>
    <row r="108" spans="1:26">
      <c r="A108" s="784">
        <f>IF(B108&lt;&gt;"",A107+1,"")</f>
        <v>91</v>
      </c>
      <c r="B108" s="302" t="s">
        <v>778</v>
      </c>
      <c r="C108" s="864">
        <f t="shared" si="38"/>
        <v>16462</v>
      </c>
      <c r="D108" s="785">
        <f t="shared" ref="D108:I117" si="53">IF($L$182&lt;&gt;0,D$182/$L$182*$L108,0)</f>
        <v>953.05289653331295</v>
      </c>
      <c r="E108" s="785">
        <f t="shared" si="53"/>
        <v>237.59582014415926</v>
      </c>
      <c r="F108" s="785">
        <f t="shared" si="53"/>
        <v>1102.9327638152627</v>
      </c>
      <c r="G108" s="785">
        <f t="shared" si="53"/>
        <v>126.84031882841997</v>
      </c>
      <c r="H108" s="785">
        <f t="shared" si="53"/>
        <v>57.206056214484576</v>
      </c>
      <c r="I108" s="785">
        <f t="shared" si="53"/>
        <v>241.39773464017389</v>
      </c>
      <c r="J108" s="369"/>
      <c r="K108" s="828">
        <f t="shared" si="39"/>
        <v>19181</v>
      </c>
      <c r="L108" s="785">
        <v>2</v>
      </c>
      <c r="M108" s="785">
        <f t="shared" si="50"/>
        <v>9590.5</v>
      </c>
      <c r="N108" s="685">
        <v>12177</v>
      </c>
      <c r="O108" s="685"/>
      <c r="P108" s="189" t="s">
        <v>519</v>
      </c>
      <c r="Q108" s="802">
        <v>40723</v>
      </c>
      <c r="R108" s="801"/>
      <c r="S108" s="310">
        <f>L108/2</f>
        <v>1</v>
      </c>
      <c r="T108" s="834">
        <v>16462</v>
      </c>
      <c r="U108" s="8">
        <f t="shared" si="51"/>
        <v>16462</v>
      </c>
      <c r="V108" s="460"/>
      <c r="W108" s="802"/>
      <c r="X108" s="832"/>
      <c r="Y108" s="832"/>
      <c r="Z108" s="8">
        <f t="shared" si="52"/>
        <v>0</v>
      </c>
    </row>
    <row r="109" spans="1:26">
      <c r="A109" s="784">
        <f t="shared" si="49"/>
        <v>92</v>
      </c>
      <c r="B109" s="302" t="s">
        <v>938</v>
      </c>
      <c r="C109" s="864">
        <f t="shared" si="38"/>
        <v>18390</v>
      </c>
      <c r="D109" s="785">
        <f t="shared" si="53"/>
        <v>953.05289653331295</v>
      </c>
      <c r="E109" s="785">
        <f t="shared" si="53"/>
        <v>237.59582014415926</v>
      </c>
      <c r="F109" s="785">
        <f t="shared" si="53"/>
        <v>1102.9327638152627</v>
      </c>
      <c r="G109" s="785">
        <f t="shared" si="53"/>
        <v>126.84031882841997</v>
      </c>
      <c r="H109" s="785">
        <f t="shared" si="53"/>
        <v>57.206056214484576</v>
      </c>
      <c r="I109" s="785">
        <f t="shared" si="53"/>
        <v>241.39773464017389</v>
      </c>
      <c r="J109" s="369"/>
      <c r="K109" s="828">
        <f t="shared" si="39"/>
        <v>21109</v>
      </c>
      <c r="L109" s="785">
        <v>2</v>
      </c>
      <c r="M109" s="785">
        <f t="shared" si="50"/>
        <v>10554.5</v>
      </c>
      <c r="N109" s="685">
        <v>12562</v>
      </c>
      <c r="O109" s="685"/>
      <c r="P109" s="189" t="s">
        <v>585</v>
      </c>
      <c r="Q109" s="802">
        <v>40723</v>
      </c>
      <c r="R109" s="801"/>
      <c r="S109" s="310">
        <f>L109/2</f>
        <v>1</v>
      </c>
      <c r="T109" s="834">
        <v>18390</v>
      </c>
      <c r="U109" s="8">
        <f t="shared" si="51"/>
        <v>18390</v>
      </c>
      <c r="V109" s="460"/>
      <c r="W109" s="802"/>
      <c r="X109" s="832"/>
      <c r="Y109" s="832"/>
      <c r="Z109" s="8">
        <f t="shared" si="52"/>
        <v>0</v>
      </c>
    </row>
    <row r="110" spans="1:26">
      <c r="A110" s="784">
        <f t="shared" si="49"/>
        <v>93</v>
      </c>
      <c r="B110" s="302" t="s">
        <v>938</v>
      </c>
      <c r="C110" s="864">
        <f t="shared" si="38"/>
        <v>334866</v>
      </c>
      <c r="D110" s="785">
        <f t="shared" si="53"/>
        <v>10007.055413599786</v>
      </c>
      <c r="E110" s="785">
        <f t="shared" si="53"/>
        <v>2494.7561115136723</v>
      </c>
      <c r="F110" s="785">
        <f t="shared" si="53"/>
        <v>11580.794020060257</v>
      </c>
      <c r="G110" s="785">
        <f t="shared" si="53"/>
        <v>1331.8233476984096</v>
      </c>
      <c r="H110" s="785">
        <f t="shared" si="53"/>
        <v>600.66359025208806</v>
      </c>
      <c r="I110" s="785">
        <f t="shared" si="53"/>
        <v>2534.6762137218257</v>
      </c>
      <c r="J110" s="369"/>
      <c r="K110" s="828">
        <f t="shared" si="39"/>
        <v>363416</v>
      </c>
      <c r="L110" s="785">
        <v>21</v>
      </c>
      <c r="M110" s="785">
        <f t="shared" si="50"/>
        <v>17305.523809523809</v>
      </c>
      <c r="N110" s="685">
        <v>17837</v>
      </c>
      <c r="O110" s="685"/>
      <c r="P110" s="40" t="s">
        <v>619</v>
      </c>
      <c r="Q110" s="802">
        <v>40723</v>
      </c>
      <c r="R110" s="801"/>
      <c r="S110" s="310">
        <f>L110</f>
        <v>21</v>
      </c>
      <c r="T110" s="834">
        <v>15946</v>
      </c>
      <c r="U110" s="8">
        <f t="shared" si="51"/>
        <v>334866</v>
      </c>
      <c r="V110" s="460"/>
      <c r="W110" s="802"/>
      <c r="X110" s="832"/>
      <c r="Y110" s="832"/>
      <c r="Z110" s="8">
        <f t="shared" si="52"/>
        <v>0</v>
      </c>
    </row>
    <row r="111" spans="1:26">
      <c r="A111" s="784">
        <f t="shared" si="49"/>
        <v>94</v>
      </c>
      <c r="B111" s="302" t="s">
        <v>945</v>
      </c>
      <c r="C111" s="864">
        <f t="shared" si="38"/>
        <v>526218</v>
      </c>
      <c r="D111" s="785">
        <f t="shared" si="53"/>
        <v>15725.372792799664</v>
      </c>
      <c r="E111" s="785">
        <f t="shared" si="53"/>
        <v>3920.3310323786277</v>
      </c>
      <c r="F111" s="785">
        <f t="shared" si="53"/>
        <v>18198.390602951833</v>
      </c>
      <c r="G111" s="785">
        <f t="shared" si="53"/>
        <v>2092.8652606689293</v>
      </c>
      <c r="H111" s="785">
        <f t="shared" si="53"/>
        <v>943.89992753899548</v>
      </c>
      <c r="I111" s="785">
        <f t="shared" si="53"/>
        <v>3983.062621562869</v>
      </c>
      <c r="J111" s="369"/>
      <c r="K111" s="828">
        <f t="shared" si="39"/>
        <v>571082</v>
      </c>
      <c r="L111" s="785">
        <v>33</v>
      </c>
      <c r="M111" s="785">
        <f t="shared" si="50"/>
        <v>17305.515151515152</v>
      </c>
      <c r="N111" s="685">
        <v>17008</v>
      </c>
      <c r="O111" s="685"/>
      <c r="P111" s="40" t="s">
        <v>619</v>
      </c>
      <c r="Q111" s="802">
        <v>40723</v>
      </c>
      <c r="R111" s="801"/>
      <c r="S111" s="310">
        <f>L111</f>
        <v>33</v>
      </c>
      <c r="T111" s="834">
        <v>15946</v>
      </c>
      <c r="U111" s="8">
        <f t="shared" si="51"/>
        <v>526218</v>
      </c>
      <c r="V111" s="460"/>
      <c r="W111" s="802"/>
      <c r="X111" s="832"/>
      <c r="Y111" s="832"/>
      <c r="Z111" s="8">
        <f t="shared" si="52"/>
        <v>0</v>
      </c>
    </row>
    <row r="112" spans="1:26">
      <c r="A112" s="784">
        <f t="shared" si="49"/>
        <v>95</v>
      </c>
      <c r="B112" s="302" t="s">
        <v>765</v>
      </c>
      <c r="C112" s="864">
        <f t="shared" si="38"/>
        <v>6580700</v>
      </c>
      <c r="D112" s="785">
        <f t="shared" si="53"/>
        <v>185845.31482399601</v>
      </c>
      <c r="E112" s="785">
        <f t="shared" si="53"/>
        <v>46331.184928111055</v>
      </c>
      <c r="F112" s="785">
        <f t="shared" si="53"/>
        <v>215071.88894397623</v>
      </c>
      <c r="G112" s="785">
        <f t="shared" si="53"/>
        <v>24733.862171541892</v>
      </c>
      <c r="H112" s="785">
        <f t="shared" si="53"/>
        <v>11155.180961824492</v>
      </c>
      <c r="I112" s="785">
        <f t="shared" si="53"/>
        <v>47072.558254833908</v>
      </c>
      <c r="J112" s="369"/>
      <c r="K112" s="828">
        <f t="shared" si="39"/>
        <v>7110910</v>
      </c>
      <c r="L112" s="785">
        <v>390</v>
      </c>
      <c r="M112" s="785">
        <f t="shared" si="50"/>
        <v>18233.102564102563</v>
      </c>
      <c r="N112" s="685">
        <v>19820</v>
      </c>
      <c r="O112" s="685"/>
      <c r="P112" s="40" t="s">
        <v>618</v>
      </c>
      <c r="Q112" s="802">
        <v>40723</v>
      </c>
      <c r="R112" s="801"/>
      <c r="S112" s="310">
        <v>395</v>
      </c>
      <c r="T112" s="834">
        <v>16660</v>
      </c>
      <c r="U112" s="8">
        <f t="shared" si="51"/>
        <v>6580700</v>
      </c>
      <c r="V112" s="460"/>
      <c r="W112" s="802"/>
      <c r="X112" s="832"/>
      <c r="Y112" s="832"/>
      <c r="Z112" s="8">
        <f t="shared" si="52"/>
        <v>0</v>
      </c>
    </row>
    <row r="113" spans="1:26">
      <c r="A113" s="784">
        <f>IF(B113&lt;&gt;"",A112+1,"")</f>
        <v>96</v>
      </c>
      <c r="B113" s="302" t="s">
        <v>769</v>
      </c>
      <c r="C113" s="864">
        <f t="shared" si="38"/>
        <v>3473774</v>
      </c>
      <c r="D113" s="785">
        <f t="shared" si="53"/>
        <v>229685.74806452842</v>
      </c>
      <c r="E113" s="785">
        <f t="shared" si="53"/>
        <v>57260.592654742381</v>
      </c>
      <c r="F113" s="785">
        <f t="shared" si="53"/>
        <v>265806.79607947828</v>
      </c>
      <c r="G113" s="785">
        <f t="shared" si="53"/>
        <v>30568.516837649211</v>
      </c>
      <c r="H113" s="785">
        <f t="shared" si="53"/>
        <v>13786.659547690782</v>
      </c>
      <c r="I113" s="785">
        <f t="shared" si="53"/>
        <v>58176.854048281908</v>
      </c>
      <c r="J113" s="369"/>
      <c r="K113" s="828">
        <f t="shared" si="39"/>
        <v>4129059</v>
      </c>
      <c r="L113" s="785">
        <v>482</v>
      </c>
      <c r="M113" s="785">
        <f t="shared" si="50"/>
        <v>8566.5124481327803</v>
      </c>
      <c r="N113" s="685">
        <v>10600</v>
      </c>
      <c r="O113" s="685"/>
      <c r="P113" s="189" t="s">
        <v>658</v>
      </c>
      <c r="Q113" s="802">
        <v>40723</v>
      </c>
      <c r="R113" s="801"/>
      <c r="S113" s="310">
        <f>L113</f>
        <v>482</v>
      </c>
      <c r="T113" s="834">
        <v>7207</v>
      </c>
      <c r="U113" s="8">
        <f t="shared" si="51"/>
        <v>3473774</v>
      </c>
      <c r="V113" s="460"/>
      <c r="W113" s="802"/>
      <c r="X113" s="832"/>
      <c r="Y113" s="832"/>
      <c r="Z113" s="8">
        <f t="shared" si="52"/>
        <v>0</v>
      </c>
    </row>
    <row r="114" spans="1:26">
      <c r="A114" s="839">
        <f t="shared" si="49"/>
        <v>97</v>
      </c>
      <c r="B114" s="303" t="s">
        <v>938</v>
      </c>
      <c r="C114" s="864">
        <f t="shared" si="38"/>
        <v>788424</v>
      </c>
      <c r="D114" s="549">
        <f t="shared" si="53"/>
        <v>26685.481102932761</v>
      </c>
      <c r="E114" s="549">
        <f t="shared" si="53"/>
        <v>6652.6829640364595</v>
      </c>
      <c r="F114" s="549">
        <f t="shared" si="53"/>
        <v>30882.117386827354</v>
      </c>
      <c r="G114" s="549">
        <f t="shared" si="53"/>
        <v>3551.528927195759</v>
      </c>
      <c r="H114" s="549">
        <f t="shared" si="53"/>
        <v>1601.7695740055681</v>
      </c>
      <c r="I114" s="549">
        <f t="shared" si="53"/>
        <v>6759.136569924869</v>
      </c>
      <c r="J114" s="549"/>
      <c r="K114" s="828">
        <f t="shared" si="39"/>
        <v>864557</v>
      </c>
      <c r="L114" s="549">
        <v>56</v>
      </c>
      <c r="M114" s="549">
        <f t="shared" si="50"/>
        <v>15438.517857142857</v>
      </c>
      <c r="N114" s="685">
        <v>16713</v>
      </c>
      <c r="O114" s="685"/>
      <c r="P114" s="302" t="s">
        <v>404</v>
      </c>
      <c r="Q114" s="802">
        <v>40723</v>
      </c>
      <c r="R114" s="801"/>
      <c r="S114" s="310">
        <f>L114</f>
        <v>56</v>
      </c>
      <c r="T114" s="834">
        <v>14079</v>
      </c>
      <c r="U114" s="8">
        <f t="shared" si="51"/>
        <v>788424</v>
      </c>
      <c r="V114" s="460"/>
      <c r="W114" s="802"/>
      <c r="X114" s="832"/>
      <c r="Y114" s="832"/>
      <c r="Z114" s="8">
        <f t="shared" si="52"/>
        <v>0</v>
      </c>
    </row>
    <row r="115" spans="1:26">
      <c r="A115" s="784">
        <f>IF(B115&lt;&gt;"",A114+1,"")</f>
        <v>98</v>
      </c>
      <c r="B115" s="302" t="s">
        <v>946</v>
      </c>
      <c r="C115" s="864">
        <f t="shared" si="38"/>
        <v>1223278</v>
      </c>
      <c r="D115" s="785">
        <f t="shared" si="53"/>
        <v>96734.868998131264</v>
      </c>
      <c r="E115" s="785">
        <f t="shared" si="53"/>
        <v>24115.975744632164</v>
      </c>
      <c r="F115" s="785">
        <f t="shared" si="53"/>
        <v>111947.67552724916</v>
      </c>
      <c r="G115" s="785">
        <f t="shared" si="53"/>
        <v>12874.292361084626</v>
      </c>
      <c r="H115" s="785">
        <f t="shared" si="53"/>
        <v>5806.4147057701848</v>
      </c>
      <c r="I115" s="785">
        <f t="shared" si="53"/>
        <v>24501.870065977651</v>
      </c>
      <c r="J115" s="369"/>
      <c r="K115" s="828">
        <f t="shared" si="39"/>
        <v>1499259</v>
      </c>
      <c r="L115" s="785">
        <v>203</v>
      </c>
      <c r="M115" s="785">
        <f t="shared" si="50"/>
        <v>7385.5123152709357</v>
      </c>
      <c r="N115" s="685">
        <v>8450</v>
      </c>
      <c r="O115" s="685"/>
      <c r="P115" s="302" t="s">
        <v>502</v>
      </c>
      <c r="Q115" s="802">
        <v>40723</v>
      </c>
      <c r="R115" s="801"/>
      <c r="S115" s="310">
        <f>L115</f>
        <v>203</v>
      </c>
      <c r="T115" s="834">
        <v>6026</v>
      </c>
      <c r="U115" s="8">
        <f t="shared" si="51"/>
        <v>1223278</v>
      </c>
      <c r="V115" s="460"/>
      <c r="W115" s="802"/>
      <c r="X115" s="832"/>
      <c r="Y115" s="832"/>
      <c r="Z115" s="8">
        <f t="shared" si="52"/>
        <v>0</v>
      </c>
    </row>
    <row r="116" spans="1:26">
      <c r="A116" s="784">
        <f t="shared" si="49"/>
        <v>99</v>
      </c>
      <c r="B116" s="302" t="s">
        <v>947</v>
      </c>
      <c r="C116" s="864">
        <f t="shared" si="38"/>
        <v>4449</v>
      </c>
      <c r="D116" s="785">
        <f t="shared" si="53"/>
        <v>476.52644826665647</v>
      </c>
      <c r="E116" s="785">
        <f t="shared" si="53"/>
        <v>118.79791007207963</v>
      </c>
      <c r="F116" s="785">
        <f t="shared" si="53"/>
        <v>551.46638190763133</v>
      </c>
      <c r="G116" s="785">
        <f t="shared" si="53"/>
        <v>63.420159414209984</v>
      </c>
      <c r="H116" s="785">
        <f t="shared" si="53"/>
        <v>28.603028107242288</v>
      </c>
      <c r="I116" s="785">
        <f t="shared" si="53"/>
        <v>120.69886732008695</v>
      </c>
      <c r="J116" s="369"/>
      <c r="K116" s="828">
        <f t="shared" si="39"/>
        <v>5809</v>
      </c>
      <c r="L116" s="785">
        <v>1</v>
      </c>
      <c r="M116" s="785">
        <f t="shared" si="50"/>
        <v>5809</v>
      </c>
      <c r="N116" s="685">
        <v>5778</v>
      </c>
      <c r="O116" s="685"/>
      <c r="P116" s="189" t="s">
        <v>410</v>
      </c>
      <c r="Q116" s="802">
        <v>40723</v>
      </c>
      <c r="R116" s="801"/>
      <c r="S116" s="310">
        <f>L116</f>
        <v>1</v>
      </c>
      <c r="T116" s="263">
        <v>4449</v>
      </c>
      <c r="U116" s="8">
        <f t="shared" si="51"/>
        <v>4449</v>
      </c>
      <c r="V116" s="460"/>
      <c r="W116" s="802"/>
      <c r="X116" s="832"/>
      <c r="Y116" s="832"/>
      <c r="Z116" s="8">
        <f t="shared" si="52"/>
        <v>0</v>
      </c>
    </row>
    <row r="117" spans="1:26">
      <c r="A117" s="784">
        <f t="shared" si="49"/>
        <v>100</v>
      </c>
      <c r="B117" s="302" t="s">
        <v>771</v>
      </c>
      <c r="C117" s="864">
        <f t="shared" si="38"/>
        <v>8231</v>
      </c>
      <c r="D117" s="785">
        <f t="shared" si="53"/>
        <v>476.52644826665647</v>
      </c>
      <c r="E117" s="785">
        <f t="shared" si="53"/>
        <v>118.79791007207963</v>
      </c>
      <c r="F117" s="785">
        <f t="shared" si="53"/>
        <v>551.46638190763133</v>
      </c>
      <c r="G117" s="785">
        <f t="shared" si="53"/>
        <v>63.420159414209984</v>
      </c>
      <c r="H117" s="785">
        <f t="shared" si="53"/>
        <v>28.603028107242288</v>
      </c>
      <c r="I117" s="785">
        <f t="shared" si="53"/>
        <v>120.69886732008695</v>
      </c>
      <c r="J117" s="369"/>
      <c r="K117" s="828">
        <f t="shared" si="39"/>
        <v>9591</v>
      </c>
      <c r="L117" s="785">
        <v>1</v>
      </c>
      <c r="M117" s="785">
        <f t="shared" si="50"/>
        <v>9591</v>
      </c>
      <c r="N117" s="685">
        <v>10255</v>
      </c>
      <c r="O117" s="685"/>
      <c r="P117" s="189" t="s">
        <v>519</v>
      </c>
      <c r="Q117" s="802">
        <v>40723</v>
      </c>
      <c r="R117" s="801"/>
      <c r="S117" s="310">
        <f>L117/2</f>
        <v>0.5</v>
      </c>
      <c r="T117" s="834">
        <v>16462</v>
      </c>
      <c r="U117" s="8">
        <f t="shared" si="51"/>
        <v>8231</v>
      </c>
      <c r="V117" s="460"/>
      <c r="W117" s="802"/>
      <c r="X117" s="832"/>
      <c r="Y117" s="832"/>
      <c r="Z117" s="8">
        <f t="shared" si="52"/>
        <v>0</v>
      </c>
    </row>
    <row r="118" spans="1:26">
      <c r="A118" s="784">
        <f t="shared" si="49"/>
        <v>101</v>
      </c>
      <c r="B118" s="302" t="s">
        <v>948</v>
      </c>
      <c r="C118" s="864">
        <f t="shared" si="38"/>
        <v>9184</v>
      </c>
      <c r="D118" s="785">
        <f t="shared" ref="D118:I127" si="54">IF($L$182&lt;&gt;0,D$182/$L$182*$L118,0)</f>
        <v>953.05289653331295</v>
      </c>
      <c r="E118" s="785">
        <f t="shared" si="54"/>
        <v>237.59582014415926</v>
      </c>
      <c r="F118" s="785">
        <f t="shared" si="54"/>
        <v>1102.9327638152627</v>
      </c>
      <c r="G118" s="785">
        <f t="shared" si="54"/>
        <v>126.84031882841997</v>
      </c>
      <c r="H118" s="785">
        <f t="shared" si="54"/>
        <v>57.206056214484576</v>
      </c>
      <c r="I118" s="785">
        <f t="shared" si="54"/>
        <v>241.39773464017389</v>
      </c>
      <c r="J118" s="369"/>
      <c r="K118" s="828">
        <f t="shared" si="39"/>
        <v>11903</v>
      </c>
      <c r="L118" s="785">
        <v>2</v>
      </c>
      <c r="M118" s="785">
        <f t="shared" si="50"/>
        <v>5951.5</v>
      </c>
      <c r="N118" s="685">
        <v>7089</v>
      </c>
      <c r="O118" s="685"/>
      <c r="P118" s="189" t="s">
        <v>501</v>
      </c>
      <c r="Q118" s="802">
        <v>40723</v>
      </c>
      <c r="R118" s="801"/>
      <c r="S118" s="310">
        <f>L118</f>
        <v>2</v>
      </c>
      <c r="T118" s="834">
        <v>4592</v>
      </c>
      <c r="U118" s="8">
        <f t="shared" si="51"/>
        <v>9184</v>
      </c>
      <c r="V118" s="460"/>
      <c r="W118" s="802"/>
      <c r="X118" s="832"/>
      <c r="Y118" s="832"/>
      <c r="Z118" s="8">
        <f t="shared" si="52"/>
        <v>0</v>
      </c>
    </row>
    <row r="119" spans="1:26">
      <c r="A119" s="784">
        <f t="shared" si="49"/>
        <v>102</v>
      </c>
      <c r="B119" s="302" t="s">
        <v>782</v>
      </c>
      <c r="C119" s="864">
        <f t="shared" si="38"/>
        <v>13447</v>
      </c>
      <c r="D119" s="785">
        <f t="shared" si="54"/>
        <v>476.52644826665647</v>
      </c>
      <c r="E119" s="785">
        <f t="shared" si="54"/>
        <v>118.79791007207963</v>
      </c>
      <c r="F119" s="785">
        <f t="shared" si="54"/>
        <v>551.46638190763133</v>
      </c>
      <c r="G119" s="785">
        <f t="shared" si="54"/>
        <v>63.420159414209984</v>
      </c>
      <c r="H119" s="785">
        <f t="shared" si="54"/>
        <v>28.603028107242288</v>
      </c>
      <c r="I119" s="785">
        <f t="shared" si="54"/>
        <v>120.69886732008695</v>
      </c>
      <c r="J119" s="369"/>
      <c r="K119" s="828">
        <f t="shared" si="39"/>
        <v>14807</v>
      </c>
      <c r="L119" s="785">
        <v>1</v>
      </c>
      <c r="M119" s="785">
        <f t="shared" si="50"/>
        <v>14807</v>
      </c>
      <c r="N119" s="685">
        <v>15135</v>
      </c>
      <c r="O119" s="685"/>
      <c r="P119" s="40" t="s">
        <v>622</v>
      </c>
      <c r="Q119" s="802">
        <v>40723</v>
      </c>
      <c r="R119" s="801"/>
      <c r="S119" s="310">
        <f>L119/2</f>
        <v>0.5</v>
      </c>
      <c r="T119" s="834">
        <v>26894</v>
      </c>
      <c r="U119" s="8">
        <f t="shared" si="51"/>
        <v>13447</v>
      </c>
      <c r="V119" s="460"/>
      <c r="W119" s="802"/>
      <c r="X119" s="832"/>
      <c r="Y119" s="832"/>
      <c r="Z119" s="8">
        <f t="shared" si="52"/>
        <v>0</v>
      </c>
    </row>
    <row r="120" spans="1:26">
      <c r="A120" s="784">
        <f t="shared" si="49"/>
        <v>103</v>
      </c>
      <c r="B120" s="302" t="s">
        <v>949</v>
      </c>
      <c r="C120" s="864">
        <f t="shared" si="38"/>
        <v>121023</v>
      </c>
      <c r="D120" s="785">
        <f t="shared" si="54"/>
        <v>4288.7380343999084</v>
      </c>
      <c r="E120" s="785">
        <f t="shared" si="54"/>
        <v>1069.1811906487167</v>
      </c>
      <c r="F120" s="785">
        <f t="shared" si="54"/>
        <v>4963.197437168682</v>
      </c>
      <c r="G120" s="785">
        <f t="shared" si="54"/>
        <v>570.78143472788986</v>
      </c>
      <c r="H120" s="785">
        <f t="shared" si="54"/>
        <v>257.42725296518057</v>
      </c>
      <c r="I120" s="785">
        <f t="shared" si="54"/>
        <v>1086.2898058807825</v>
      </c>
      <c r="J120" s="369"/>
      <c r="K120" s="828">
        <f t="shared" si="39"/>
        <v>133259</v>
      </c>
      <c r="L120" s="785">
        <v>9</v>
      </c>
      <c r="M120" s="785">
        <f t="shared" si="50"/>
        <v>14806.555555555555</v>
      </c>
      <c r="N120" s="685">
        <v>15056</v>
      </c>
      <c r="O120" s="685"/>
      <c r="P120" s="40" t="s">
        <v>622</v>
      </c>
      <c r="Q120" s="802">
        <v>40723</v>
      </c>
      <c r="R120" s="801"/>
      <c r="S120" s="310">
        <f>L120/2</f>
        <v>4.5</v>
      </c>
      <c r="T120" s="834">
        <v>26894</v>
      </c>
      <c r="U120" s="8">
        <f t="shared" si="51"/>
        <v>121023</v>
      </c>
      <c r="V120" s="460"/>
      <c r="W120" s="802"/>
      <c r="X120" s="832"/>
      <c r="Y120" s="832"/>
      <c r="Z120" s="8">
        <f t="shared" si="52"/>
        <v>0</v>
      </c>
    </row>
    <row r="121" spans="1:26">
      <c r="A121" s="784">
        <f t="shared" si="49"/>
        <v>104</v>
      </c>
      <c r="B121" s="302" t="s">
        <v>950</v>
      </c>
      <c r="C121" s="864">
        <f t="shared" si="38"/>
        <v>1782084</v>
      </c>
      <c r="D121" s="785">
        <f t="shared" si="54"/>
        <v>138669.19644559704</v>
      </c>
      <c r="E121" s="785">
        <f t="shared" si="54"/>
        <v>34570.191830975171</v>
      </c>
      <c r="F121" s="785">
        <f t="shared" si="54"/>
        <v>160476.71713512071</v>
      </c>
      <c r="G121" s="785">
        <f t="shared" si="54"/>
        <v>18455.266389535107</v>
      </c>
      <c r="H121" s="785">
        <f t="shared" si="54"/>
        <v>8323.4811792075052</v>
      </c>
      <c r="I121" s="785">
        <f t="shared" si="54"/>
        <v>35123.370390145305</v>
      </c>
      <c r="J121" s="369"/>
      <c r="K121" s="828">
        <f t="shared" si="39"/>
        <v>2177702</v>
      </c>
      <c r="L121" s="785">
        <v>291</v>
      </c>
      <c r="M121" s="785">
        <f t="shared" si="50"/>
        <v>7483.5120274914088</v>
      </c>
      <c r="N121" s="685">
        <v>9880</v>
      </c>
      <c r="O121" s="685"/>
      <c r="P121" s="189" t="s">
        <v>408</v>
      </c>
      <c r="Q121" s="802">
        <v>40723</v>
      </c>
      <c r="R121" s="801"/>
      <c r="S121" s="310">
        <f>L121</f>
        <v>291</v>
      </c>
      <c r="T121" s="834">
        <v>6124</v>
      </c>
      <c r="U121" s="8">
        <f t="shared" si="51"/>
        <v>1782084</v>
      </c>
      <c r="V121" s="460"/>
      <c r="W121" s="802"/>
      <c r="X121" s="832"/>
      <c r="Y121" s="832"/>
      <c r="Z121" s="8">
        <f t="shared" si="52"/>
        <v>0</v>
      </c>
    </row>
    <row r="122" spans="1:26">
      <c r="A122" s="784">
        <f t="shared" si="49"/>
        <v>105</v>
      </c>
      <c r="B122" s="302" t="s">
        <v>938</v>
      </c>
      <c r="C122" s="864">
        <f t="shared" si="38"/>
        <v>6124</v>
      </c>
      <c r="D122" s="785">
        <f t="shared" si="54"/>
        <v>476.52644826665647</v>
      </c>
      <c r="E122" s="785">
        <f t="shared" si="54"/>
        <v>118.79791007207963</v>
      </c>
      <c r="F122" s="785">
        <f t="shared" si="54"/>
        <v>551.46638190763133</v>
      </c>
      <c r="G122" s="785">
        <f t="shared" si="54"/>
        <v>63.420159414209984</v>
      </c>
      <c r="H122" s="785">
        <f t="shared" si="54"/>
        <v>28.603028107242288</v>
      </c>
      <c r="I122" s="785">
        <f t="shared" si="54"/>
        <v>120.69886732008695</v>
      </c>
      <c r="J122" s="369"/>
      <c r="K122" s="828">
        <f t="shared" si="39"/>
        <v>7484</v>
      </c>
      <c r="L122" s="785">
        <v>1</v>
      </c>
      <c r="M122" s="785">
        <f t="shared" si="50"/>
        <v>7484</v>
      </c>
      <c r="N122" s="685">
        <v>9259</v>
      </c>
      <c r="O122" s="685"/>
      <c r="P122" s="189" t="s">
        <v>408</v>
      </c>
      <c r="Q122" s="802">
        <v>40723</v>
      </c>
      <c r="R122" s="801"/>
      <c r="S122" s="310">
        <f>L122</f>
        <v>1</v>
      </c>
      <c r="T122" s="834">
        <v>6124</v>
      </c>
      <c r="U122" s="8">
        <f t="shared" si="51"/>
        <v>6124</v>
      </c>
      <c r="V122" s="460"/>
      <c r="W122" s="802"/>
      <c r="X122" s="832"/>
      <c r="Y122" s="832"/>
      <c r="Z122" s="8">
        <f t="shared" si="52"/>
        <v>0</v>
      </c>
    </row>
    <row r="123" spans="1:26">
      <c r="A123" s="784">
        <f t="shared" si="49"/>
        <v>106</v>
      </c>
      <c r="B123" s="302" t="s">
        <v>764</v>
      </c>
      <c r="C123" s="864">
        <f t="shared" si="38"/>
        <v>1913520</v>
      </c>
      <c r="D123" s="785">
        <f t="shared" si="54"/>
        <v>56706.647343732118</v>
      </c>
      <c r="E123" s="785">
        <f t="shared" si="54"/>
        <v>14136.951298577476</v>
      </c>
      <c r="F123" s="785">
        <f t="shared" si="54"/>
        <v>65624.499447008129</v>
      </c>
      <c r="G123" s="785">
        <f t="shared" si="54"/>
        <v>7546.9989702909879</v>
      </c>
      <c r="H123" s="785">
        <f t="shared" si="54"/>
        <v>3403.7603447618321</v>
      </c>
      <c r="I123" s="785">
        <f t="shared" si="54"/>
        <v>14363.165211090347</v>
      </c>
      <c r="J123" s="369"/>
      <c r="K123" s="828">
        <f t="shared" si="39"/>
        <v>2075302</v>
      </c>
      <c r="L123" s="785">
        <v>119</v>
      </c>
      <c r="M123" s="785">
        <f t="shared" si="50"/>
        <v>17439.512605042019</v>
      </c>
      <c r="N123" s="685">
        <v>17330</v>
      </c>
      <c r="O123" s="685"/>
      <c r="P123" s="40" t="s">
        <v>619</v>
      </c>
      <c r="Q123" s="802">
        <v>40723</v>
      </c>
      <c r="R123" s="801"/>
      <c r="S123" s="310">
        <v>120</v>
      </c>
      <c r="T123" s="834">
        <v>15946</v>
      </c>
      <c r="U123" s="8">
        <f t="shared" si="51"/>
        <v>1913520</v>
      </c>
      <c r="V123" s="460"/>
      <c r="W123" s="802"/>
      <c r="X123" s="832"/>
      <c r="Y123" s="832"/>
      <c r="Z123" s="8">
        <f t="shared" si="52"/>
        <v>0</v>
      </c>
    </row>
    <row r="124" spans="1:26">
      <c r="A124" s="784">
        <f t="shared" si="49"/>
        <v>107</v>
      </c>
      <c r="B124" s="302" t="s">
        <v>928</v>
      </c>
      <c r="C124" s="864">
        <f t="shared" si="38"/>
        <v>3400544</v>
      </c>
      <c r="D124" s="785">
        <f t="shared" si="54"/>
        <v>144864.04027306355</v>
      </c>
      <c r="E124" s="785">
        <f t="shared" si="54"/>
        <v>36114.564661912205</v>
      </c>
      <c r="F124" s="785">
        <f t="shared" si="54"/>
        <v>167645.78009991994</v>
      </c>
      <c r="G124" s="785">
        <f t="shared" si="54"/>
        <v>19279.728461919836</v>
      </c>
      <c r="H124" s="785">
        <f t="shared" si="54"/>
        <v>8695.3205446016564</v>
      </c>
      <c r="I124" s="785">
        <f t="shared" si="54"/>
        <v>36692.455665306436</v>
      </c>
      <c r="J124" s="369"/>
      <c r="K124" s="828">
        <f t="shared" si="39"/>
        <v>3813836</v>
      </c>
      <c r="L124" s="785">
        <v>304</v>
      </c>
      <c r="M124" s="785">
        <f t="shared" si="50"/>
        <v>12545.513157894737</v>
      </c>
      <c r="N124" s="685">
        <v>13172</v>
      </c>
      <c r="O124" s="685"/>
      <c r="P124" s="40" t="s">
        <v>579</v>
      </c>
      <c r="Q124" s="802">
        <v>40723</v>
      </c>
      <c r="R124" s="801"/>
      <c r="S124" s="310">
        <f>L124/2</f>
        <v>152</v>
      </c>
      <c r="T124" s="834">
        <v>22372</v>
      </c>
      <c r="U124" s="8">
        <f t="shared" si="51"/>
        <v>3400544</v>
      </c>
      <c r="V124" s="460"/>
      <c r="W124" s="802"/>
      <c r="X124" s="832"/>
      <c r="Y124" s="832"/>
      <c r="Z124" s="8">
        <f t="shared" si="52"/>
        <v>0</v>
      </c>
    </row>
    <row r="125" spans="1:26">
      <c r="A125" s="784">
        <f t="shared" si="49"/>
        <v>108</v>
      </c>
      <c r="B125" s="302" t="s">
        <v>927</v>
      </c>
      <c r="C125" s="864">
        <f t="shared" si="38"/>
        <v>464100</v>
      </c>
      <c r="D125" s="785">
        <f t="shared" si="54"/>
        <v>30974.219137332671</v>
      </c>
      <c r="E125" s="785">
        <f t="shared" si="54"/>
        <v>7721.8641546851759</v>
      </c>
      <c r="F125" s="785">
        <f t="shared" si="54"/>
        <v>35845.314823996036</v>
      </c>
      <c r="G125" s="785">
        <f t="shared" si="54"/>
        <v>4122.310361923649</v>
      </c>
      <c r="H125" s="785">
        <f t="shared" si="54"/>
        <v>1859.1968269707488</v>
      </c>
      <c r="I125" s="785">
        <f t="shared" si="54"/>
        <v>7845.4263758056513</v>
      </c>
      <c r="J125" s="369"/>
      <c r="K125" s="828">
        <f t="shared" si="39"/>
        <v>552468</v>
      </c>
      <c r="L125" s="785">
        <v>65</v>
      </c>
      <c r="M125" s="785">
        <f t="shared" si="50"/>
        <v>8499.5076923076922</v>
      </c>
      <c r="N125" s="685">
        <v>10433</v>
      </c>
      <c r="O125" s="685"/>
      <c r="P125" s="40" t="s">
        <v>627</v>
      </c>
      <c r="Q125" s="802">
        <v>40723</v>
      </c>
      <c r="R125" s="801"/>
      <c r="S125" s="310">
        <f>L125/2</f>
        <v>32.5</v>
      </c>
      <c r="T125" s="834">
        <v>14280</v>
      </c>
      <c r="U125" s="8">
        <f t="shared" si="51"/>
        <v>464100</v>
      </c>
      <c r="V125" s="460"/>
      <c r="W125" s="802"/>
      <c r="X125" s="832"/>
      <c r="Y125" s="832"/>
      <c r="Z125" s="8">
        <f t="shared" si="52"/>
        <v>0</v>
      </c>
    </row>
    <row r="126" spans="1:26">
      <c r="A126" s="784">
        <f t="shared" si="49"/>
        <v>109</v>
      </c>
      <c r="B126" s="302" t="s">
        <v>949</v>
      </c>
      <c r="C126" s="864">
        <f t="shared" si="38"/>
        <v>430304</v>
      </c>
      <c r="D126" s="785">
        <f t="shared" si="54"/>
        <v>15248.846344533007</v>
      </c>
      <c r="E126" s="785">
        <f t="shared" si="54"/>
        <v>3801.5331223065482</v>
      </c>
      <c r="F126" s="785">
        <f t="shared" si="54"/>
        <v>17646.924221044203</v>
      </c>
      <c r="G126" s="785">
        <f t="shared" si="54"/>
        <v>2029.4451012547195</v>
      </c>
      <c r="H126" s="785">
        <f t="shared" si="54"/>
        <v>915.29689943175322</v>
      </c>
      <c r="I126" s="785">
        <f t="shared" si="54"/>
        <v>3862.3637542427823</v>
      </c>
      <c r="J126" s="369"/>
      <c r="K126" s="828">
        <f t="shared" si="39"/>
        <v>473808</v>
      </c>
      <c r="L126" s="785">
        <v>32</v>
      </c>
      <c r="M126" s="785">
        <f t="shared" si="50"/>
        <v>14806.5</v>
      </c>
      <c r="N126" s="685">
        <v>15175</v>
      </c>
      <c r="O126" s="685"/>
      <c r="P126" s="40" t="s">
        <v>622</v>
      </c>
      <c r="Q126" s="802">
        <v>40723</v>
      </c>
      <c r="R126" s="801"/>
      <c r="S126" s="310">
        <f t="shared" ref="S126" si="55">L126/2</f>
        <v>16</v>
      </c>
      <c r="T126" s="834">
        <v>26894</v>
      </c>
      <c r="U126" s="8">
        <f t="shared" si="51"/>
        <v>430304</v>
      </c>
      <c r="V126" s="460"/>
      <c r="W126" s="802"/>
      <c r="X126" s="832"/>
      <c r="Y126" s="832"/>
      <c r="Z126" s="8">
        <f t="shared" si="52"/>
        <v>0</v>
      </c>
    </row>
    <row r="127" spans="1:26">
      <c r="A127" s="784">
        <f t="shared" si="49"/>
        <v>110</v>
      </c>
      <c r="B127" s="302" t="s">
        <v>773</v>
      </c>
      <c r="C127" s="864">
        <f t="shared" si="38"/>
        <v>71132</v>
      </c>
      <c r="D127" s="785">
        <f t="shared" si="54"/>
        <v>2382.6322413332823</v>
      </c>
      <c r="E127" s="785">
        <f t="shared" si="54"/>
        <v>593.9895503603982</v>
      </c>
      <c r="F127" s="785">
        <f t="shared" si="54"/>
        <v>2757.3319095381567</v>
      </c>
      <c r="G127" s="785">
        <f t="shared" si="54"/>
        <v>317.1007970710499</v>
      </c>
      <c r="H127" s="785">
        <f t="shared" si="54"/>
        <v>143.01514053621145</v>
      </c>
      <c r="I127" s="785">
        <f t="shared" si="54"/>
        <v>603.49433660043474</v>
      </c>
      <c r="J127" s="369"/>
      <c r="K127" s="828">
        <f t="shared" si="39"/>
        <v>77930</v>
      </c>
      <c r="L127" s="785">
        <v>5</v>
      </c>
      <c r="M127" s="785">
        <f t="shared" si="50"/>
        <v>15586</v>
      </c>
      <c r="N127" s="685">
        <v>15756</v>
      </c>
      <c r="O127" s="685"/>
      <c r="P127" s="189" t="s">
        <v>606</v>
      </c>
      <c r="Q127" s="802">
        <v>40723</v>
      </c>
      <c r="R127" s="801"/>
      <c r="S127" s="310">
        <v>2</v>
      </c>
      <c r="T127" s="834">
        <v>35566</v>
      </c>
      <c r="U127" s="8">
        <f t="shared" si="51"/>
        <v>71132</v>
      </c>
      <c r="V127" s="460"/>
      <c r="W127" s="802"/>
      <c r="X127" s="832"/>
      <c r="Y127" s="832"/>
      <c r="Z127" s="8">
        <f t="shared" si="52"/>
        <v>0</v>
      </c>
    </row>
    <row r="128" spans="1:26">
      <c r="A128" s="784">
        <f t="shared" si="49"/>
        <v>111</v>
      </c>
      <c r="B128" s="302" t="s">
        <v>937</v>
      </c>
      <c r="C128" s="864">
        <f t="shared" si="38"/>
        <v>960200</v>
      </c>
      <c r="D128" s="785">
        <f t="shared" ref="D128:I137" si="56">IF($L$182&lt;&gt;0,D$182/$L$182*$L128,0)</f>
        <v>38122.115861332517</v>
      </c>
      <c r="E128" s="785">
        <f t="shared" si="56"/>
        <v>9503.8328057663712</v>
      </c>
      <c r="F128" s="785">
        <f t="shared" si="56"/>
        <v>44117.310552610506</v>
      </c>
      <c r="G128" s="785">
        <f t="shared" si="56"/>
        <v>5073.6127531367983</v>
      </c>
      <c r="H128" s="785">
        <f t="shared" si="56"/>
        <v>2288.2422485793832</v>
      </c>
      <c r="I128" s="785">
        <f t="shared" si="56"/>
        <v>9655.9093856069558</v>
      </c>
      <c r="J128" s="369"/>
      <c r="K128" s="828">
        <f t="shared" si="39"/>
        <v>1068961</v>
      </c>
      <c r="L128" s="785">
        <v>80</v>
      </c>
      <c r="M128" s="785">
        <f t="shared" si="50"/>
        <v>13362.012500000001</v>
      </c>
      <c r="N128" s="685">
        <v>14563</v>
      </c>
      <c r="O128" s="685"/>
      <c r="P128" s="40" t="s">
        <v>580</v>
      </c>
      <c r="Q128" s="802">
        <v>40723</v>
      </c>
      <c r="R128" s="801"/>
      <c r="S128" s="310">
        <f>L128/2</f>
        <v>40</v>
      </c>
      <c r="T128" s="834">
        <v>24005</v>
      </c>
      <c r="U128" s="8">
        <f t="shared" si="51"/>
        <v>960200</v>
      </c>
      <c r="V128" s="460"/>
      <c r="W128" s="802"/>
      <c r="X128" s="832"/>
      <c r="Y128" s="832"/>
      <c r="Z128" s="8">
        <f t="shared" si="52"/>
        <v>0</v>
      </c>
    </row>
    <row r="129" spans="1:26">
      <c r="A129" s="784">
        <f t="shared" si="49"/>
        <v>112</v>
      </c>
      <c r="B129" s="302" t="s">
        <v>769</v>
      </c>
      <c r="C129" s="864">
        <f t="shared" si="38"/>
        <v>349860</v>
      </c>
      <c r="D129" s="785">
        <f t="shared" si="56"/>
        <v>23349.795965066169</v>
      </c>
      <c r="E129" s="785">
        <f t="shared" si="56"/>
        <v>5821.097593531902</v>
      </c>
      <c r="F129" s="785">
        <f t="shared" si="56"/>
        <v>27021.852713473934</v>
      </c>
      <c r="G129" s="785">
        <f t="shared" si="56"/>
        <v>3107.5878112962891</v>
      </c>
      <c r="H129" s="785">
        <f t="shared" si="56"/>
        <v>1401.5483772548721</v>
      </c>
      <c r="I129" s="785">
        <f t="shared" si="56"/>
        <v>5914.2444986842602</v>
      </c>
      <c r="J129" s="369"/>
      <c r="K129" s="828">
        <f t="shared" si="39"/>
        <v>416476</v>
      </c>
      <c r="L129" s="785">
        <v>49</v>
      </c>
      <c r="M129" s="785">
        <f t="shared" si="50"/>
        <v>8499.5102040816328</v>
      </c>
      <c r="N129" s="685">
        <v>10698</v>
      </c>
      <c r="O129" s="685"/>
      <c r="P129" s="40" t="s">
        <v>627</v>
      </c>
      <c r="Q129" s="802">
        <v>40723</v>
      </c>
      <c r="R129" s="801"/>
      <c r="S129" s="310">
        <f>L129/2</f>
        <v>24.5</v>
      </c>
      <c r="T129" s="834">
        <v>14280</v>
      </c>
      <c r="U129" s="8">
        <f t="shared" si="51"/>
        <v>349860</v>
      </c>
      <c r="V129" s="460"/>
      <c r="W129" s="802"/>
      <c r="X129" s="832"/>
      <c r="Y129" s="832"/>
      <c r="Z129" s="8">
        <f t="shared" si="52"/>
        <v>0</v>
      </c>
    </row>
    <row r="130" spans="1:26">
      <c r="A130" s="784">
        <f t="shared" si="49"/>
        <v>113</v>
      </c>
      <c r="B130" s="302" t="s">
        <v>781</v>
      </c>
      <c r="C130" s="864">
        <f t="shared" si="38"/>
        <v>9184</v>
      </c>
      <c r="D130" s="785">
        <f t="shared" si="56"/>
        <v>953.05289653331295</v>
      </c>
      <c r="E130" s="785">
        <f t="shared" si="56"/>
        <v>237.59582014415926</v>
      </c>
      <c r="F130" s="785">
        <f t="shared" si="56"/>
        <v>1102.9327638152627</v>
      </c>
      <c r="G130" s="785">
        <f t="shared" si="56"/>
        <v>126.84031882841997</v>
      </c>
      <c r="H130" s="785">
        <f t="shared" si="56"/>
        <v>57.206056214484576</v>
      </c>
      <c r="I130" s="785">
        <f t="shared" si="56"/>
        <v>241.39773464017389</v>
      </c>
      <c r="J130" s="369"/>
      <c r="K130" s="828">
        <f t="shared" si="39"/>
        <v>11903</v>
      </c>
      <c r="L130" s="785">
        <v>2</v>
      </c>
      <c r="M130" s="785">
        <f t="shared" si="50"/>
        <v>5951.5</v>
      </c>
      <c r="N130" s="685">
        <v>7435</v>
      </c>
      <c r="O130" s="685"/>
      <c r="P130" s="189" t="s">
        <v>501</v>
      </c>
      <c r="Q130" s="802">
        <v>40723</v>
      </c>
      <c r="R130" s="801"/>
      <c r="S130" s="310">
        <f>L130</f>
        <v>2</v>
      </c>
      <c r="T130" s="834">
        <v>4592</v>
      </c>
      <c r="U130" s="8">
        <f t="shared" si="51"/>
        <v>9184</v>
      </c>
      <c r="V130" s="460"/>
      <c r="W130" s="802"/>
      <c r="X130" s="832"/>
      <c r="Y130" s="832"/>
      <c r="Z130" s="8">
        <f t="shared" si="52"/>
        <v>0</v>
      </c>
    </row>
    <row r="131" spans="1:26">
      <c r="A131" s="784">
        <f t="shared" si="49"/>
        <v>114</v>
      </c>
      <c r="B131" s="302" t="s">
        <v>952</v>
      </c>
      <c r="C131" s="864">
        <f t="shared" si="38"/>
        <v>16462</v>
      </c>
      <c r="D131" s="785">
        <f t="shared" si="56"/>
        <v>953.05289653331295</v>
      </c>
      <c r="E131" s="785">
        <f t="shared" si="56"/>
        <v>237.59582014415926</v>
      </c>
      <c r="F131" s="785">
        <f t="shared" si="56"/>
        <v>1102.9327638152627</v>
      </c>
      <c r="G131" s="785">
        <f t="shared" si="56"/>
        <v>126.84031882841997</v>
      </c>
      <c r="H131" s="785">
        <f t="shared" si="56"/>
        <v>57.206056214484576</v>
      </c>
      <c r="I131" s="785">
        <f t="shared" si="56"/>
        <v>241.39773464017389</v>
      </c>
      <c r="J131" s="369"/>
      <c r="K131" s="828">
        <f t="shared" si="39"/>
        <v>19181</v>
      </c>
      <c r="L131" s="785">
        <v>2</v>
      </c>
      <c r="M131" s="785">
        <f t="shared" si="50"/>
        <v>9590.5</v>
      </c>
      <c r="N131" s="685">
        <v>10116</v>
      </c>
      <c r="O131" s="685"/>
      <c r="P131" s="189" t="s">
        <v>519</v>
      </c>
      <c r="Q131" s="802">
        <v>40723</v>
      </c>
      <c r="R131" s="801"/>
      <c r="S131" s="310">
        <f>L131/2</f>
        <v>1</v>
      </c>
      <c r="T131" s="834">
        <v>16462</v>
      </c>
      <c r="U131" s="8">
        <f t="shared" si="51"/>
        <v>16462</v>
      </c>
      <c r="V131" s="460"/>
      <c r="W131" s="802"/>
      <c r="X131" s="832"/>
      <c r="Y131" s="832"/>
      <c r="Z131" s="8">
        <f t="shared" si="52"/>
        <v>0</v>
      </c>
    </row>
    <row r="132" spans="1:26">
      <c r="A132" s="784">
        <f t="shared" si="49"/>
        <v>115</v>
      </c>
      <c r="B132" s="302" t="s">
        <v>950</v>
      </c>
      <c r="C132" s="864">
        <f t="shared" si="38"/>
        <v>30620</v>
      </c>
      <c r="D132" s="785">
        <f t="shared" si="56"/>
        <v>2382.6322413332823</v>
      </c>
      <c r="E132" s="785">
        <f t="shared" si="56"/>
        <v>593.9895503603982</v>
      </c>
      <c r="F132" s="785">
        <f t="shared" si="56"/>
        <v>2757.3319095381567</v>
      </c>
      <c r="G132" s="785">
        <f t="shared" si="56"/>
        <v>317.1007970710499</v>
      </c>
      <c r="H132" s="785">
        <f t="shared" si="56"/>
        <v>143.01514053621145</v>
      </c>
      <c r="I132" s="785">
        <f t="shared" si="56"/>
        <v>603.49433660043474</v>
      </c>
      <c r="J132" s="369"/>
      <c r="K132" s="828">
        <f t="shared" si="39"/>
        <v>37418</v>
      </c>
      <c r="L132" s="785">
        <v>5</v>
      </c>
      <c r="M132" s="785">
        <f t="shared" si="50"/>
        <v>7483.6</v>
      </c>
      <c r="N132" s="685">
        <v>9692</v>
      </c>
      <c r="O132" s="685"/>
      <c r="P132" s="189" t="s">
        <v>408</v>
      </c>
      <c r="Q132" s="802">
        <v>40723</v>
      </c>
      <c r="R132" s="801"/>
      <c r="S132" s="310">
        <f>L132</f>
        <v>5</v>
      </c>
      <c r="T132" s="834">
        <v>6124</v>
      </c>
      <c r="U132" s="8">
        <f t="shared" si="51"/>
        <v>30620</v>
      </c>
      <c r="V132" s="460"/>
      <c r="W132" s="802"/>
      <c r="X132" s="832"/>
      <c r="Y132" s="832"/>
      <c r="Z132" s="8">
        <f t="shared" si="52"/>
        <v>0</v>
      </c>
    </row>
    <row r="133" spans="1:26">
      <c r="A133" s="784">
        <f t="shared" si="49"/>
        <v>116</v>
      </c>
      <c r="B133" s="302" t="s">
        <v>778</v>
      </c>
      <c r="C133" s="864">
        <f t="shared" si="38"/>
        <v>8231</v>
      </c>
      <c r="D133" s="785">
        <f t="shared" si="56"/>
        <v>476.52644826665647</v>
      </c>
      <c r="E133" s="785">
        <f t="shared" si="56"/>
        <v>118.79791007207963</v>
      </c>
      <c r="F133" s="785">
        <f t="shared" si="56"/>
        <v>551.46638190763133</v>
      </c>
      <c r="G133" s="785">
        <f t="shared" si="56"/>
        <v>63.420159414209984</v>
      </c>
      <c r="H133" s="785">
        <f t="shared" si="56"/>
        <v>28.603028107242288</v>
      </c>
      <c r="I133" s="785">
        <f t="shared" si="56"/>
        <v>120.69886732008695</v>
      </c>
      <c r="J133" s="369"/>
      <c r="K133" s="828">
        <f t="shared" si="39"/>
        <v>9591</v>
      </c>
      <c r="L133" s="785">
        <v>1</v>
      </c>
      <c r="M133" s="785">
        <f t="shared" si="50"/>
        <v>9591</v>
      </c>
      <c r="N133" s="685">
        <v>12286</v>
      </c>
      <c r="O133" s="685"/>
      <c r="P133" s="189" t="s">
        <v>519</v>
      </c>
      <c r="Q133" s="802">
        <v>40723</v>
      </c>
      <c r="R133" s="801"/>
      <c r="S133" s="310">
        <f>L133/2</f>
        <v>0.5</v>
      </c>
      <c r="T133" s="834">
        <v>16462</v>
      </c>
      <c r="U133" s="8">
        <f t="shared" si="51"/>
        <v>8231</v>
      </c>
      <c r="V133" s="460"/>
      <c r="W133" s="802"/>
      <c r="X133" s="832"/>
      <c r="Y133" s="832"/>
      <c r="Z133" s="8">
        <f t="shared" si="52"/>
        <v>0</v>
      </c>
    </row>
    <row r="134" spans="1:26">
      <c r="A134" s="784">
        <f t="shared" si="49"/>
        <v>117</v>
      </c>
      <c r="B134" s="302" t="s">
        <v>780</v>
      </c>
      <c r="C134" s="864">
        <f t="shared" si="38"/>
        <v>4449</v>
      </c>
      <c r="D134" s="785">
        <f t="shared" si="56"/>
        <v>476.52644826665647</v>
      </c>
      <c r="E134" s="785">
        <f t="shared" si="56"/>
        <v>118.79791007207963</v>
      </c>
      <c r="F134" s="785">
        <f t="shared" si="56"/>
        <v>551.46638190763133</v>
      </c>
      <c r="G134" s="785">
        <f t="shared" si="56"/>
        <v>63.420159414209984</v>
      </c>
      <c r="H134" s="785">
        <f t="shared" si="56"/>
        <v>28.603028107242288</v>
      </c>
      <c r="I134" s="785">
        <f t="shared" si="56"/>
        <v>120.69886732008695</v>
      </c>
      <c r="J134" s="369"/>
      <c r="K134" s="828">
        <f t="shared" si="39"/>
        <v>5809</v>
      </c>
      <c r="L134" s="785">
        <v>1</v>
      </c>
      <c r="M134" s="785">
        <f t="shared" si="50"/>
        <v>5809</v>
      </c>
      <c r="N134" s="685">
        <v>5285</v>
      </c>
      <c r="O134" s="685"/>
      <c r="P134" s="189" t="s">
        <v>410</v>
      </c>
      <c r="Q134" s="802">
        <v>40723</v>
      </c>
      <c r="R134" s="801"/>
      <c r="S134" s="310">
        <f>L134</f>
        <v>1</v>
      </c>
      <c r="T134" s="263">
        <v>4449</v>
      </c>
      <c r="U134" s="8">
        <f t="shared" si="51"/>
        <v>4449</v>
      </c>
      <c r="V134" s="460"/>
      <c r="W134" s="802"/>
      <c r="X134" s="832"/>
      <c r="Y134" s="832"/>
      <c r="Z134" s="8">
        <f t="shared" si="52"/>
        <v>0</v>
      </c>
    </row>
    <row r="135" spans="1:26">
      <c r="A135" s="784">
        <f t="shared" si="49"/>
        <v>118</v>
      </c>
      <c r="B135" s="302" t="s">
        <v>776</v>
      </c>
      <c r="C135" s="864">
        <f t="shared" si="38"/>
        <v>42237</v>
      </c>
      <c r="D135" s="785">
        <f t="shared" si="56"/>
        <v>1429.5793447999695</v>
      </c>
      <c r="E135" s="785">
        <f t="shared" si="56"/>
        <v>356.39373021623891</v>
      </c>
      <c r="F135" s="785">
        <f t="shared" si="56"/>
        <v>1654.399145722894</v>
      </c>
      <c r="G135" s="785">
        <f t="shared" si="56"/>
        <v>190.26047824262994</v>
      </c>
      <c r="H135" s="785">
        <f t="shared" si="56"/>
        <v>85.809084321726857</v>
      </c>
      <c r="I135" s="785">
        <f t="shared" si="56"/>
        <v>362.09660196026084</v>
      </c>
      <c r="J135" s="369"/>
      <c r="K135" s="828">
        <f t="shared" si="39"/>
        <v>46316</v>
      </c>
      <c r="L135" s="785">
        <v>3</v>
      </c>
      <c r="M135" s="785">
        <f t="shared" si="50"/>
        <v>15438.666666666666</v>
      </c>
      <c r="N135" s="685">
        <v>16841</v>
      </c>
      <c r="O135" s="685"/>
      <c r="P135" s="302" t="s">
        <v>404</v>
      </c>
      <c r="Q135" s="802">
        <v>40723</v>
      </c>
      <c r="R135" s="801"/>
      <c r="S135" s="310">
        <f>L135</f>
        <v>3</v>
      </c>
      <c r="T135" s="834">
        <v>14079</v>
      </c>
      <c r="U135" s="8">
        <f t="shared" si="51"/>
        <v>42237</v>
      </c>
      <c r="V135" s="460"/>
      <c r="W135" s="802"/>
      <c r="X135" s="832"/>
      <c r="Y135" s="832"/>
      <c r="Z135" s="8">
        <f t="shared" si="52"/>
        <v>0</v>
      </c>
    </row>
    <row r="136" spans="1:26">
      <c r="A136" s="784">
        <f t="shared" si="49"/>
        <v>119</v>
      </c>
      <c r="B136" s="302" t="s">
        <v>770</v>
      </c>
      <c r="C136" s="864">
        <f t="shared" si="38"/>
        <v>16462</v>
      </c>
      <c r="D136" s="785">
        <f t="shared" si="56"/>
        <v>953.05289653331295</v>
      </c>
      <c r="E136" s="785">
        <f t="shared" si="56"/>
        <v>237.59582014415926</v>
      </c>
      <c r="F136" s="785">
        <f t="shared" si="56"/>
        <v>1102.9327638152627</v>
      </c>
      <c r="G136" s="785">
        <f t="shared" si="56"/>
        <v>126.84031882841997</v>
      </c>
      <c r="H136" s="785">
        <f t="shared" si="56"/>
        <v>57.206056214484576</v>
      </c>
      <c r="I136" s="785">
        <f t="shared" si="56"/>
        <v>241.39773464017389</v>
      </c>
      <c r="J136" s="369"/>
      <c r="K136" s="828">
        <f t="shared" si="39"/>
        <v>19181</v>
      </c>
      <c r="L136" s="785">
        <v>2</v>
      </c>
      <c r="M136" s="785">
        <f t="shared" si="50"/>
        <v>9590.5</v>
      </c>
      <c r="N136" s="685">
        <v>11428</v>
      </c>
      <c r="O136" s="685"/>
      <c r="P136" s="189" t="s">
        <v>519</v>
      </c>
      <c r="Q136" s="802">
        <v>40723</v>
      </c>
      <c r="R136" s="801"/>
      <c r="S136" s="310">
        <f>L136/2</f>
        <v>1</v>
      </c>
      <c r="T136" s="834">
        <v>16462</v>
      </c>
      <c r="U136" s="8">
        <f t="shared" si="51"/>
        <v>16462</v>
      </c>
      <c r="V136" s="460"/>
      <c r="W136" s="802"/>
      <c r="X136" s="832"/>
      <c r="Y136" s="832"/>
      <c r="Z136" s="8">
        <f t="shared" si="52"/>
        <v>0</v>
      </c>
    </row>
    <row r="137" spans="1:26">
      <c r="A137" s="784">
        <f t="shared" si="49"/>
        <v>120</v>
      </c>
      <c r="B137" s="302" t="s">
        <v>946</v>
      </c>
      <c r="C137" s="864">
        <f t="shared" si="38"/>
        <v>48208</v>
      </c>
      <c r="D137" s="785">
        <f t="shared" si="56"/>
        <v>3812.2115861332518</v>
      </c>
      <c r="E137" s="785">
        <f t="shared" si="56"/>
        <v>950.38328057663705</v>
      </c>
      <c r="F137" s="785">
        <f t="shared" si="56"/>
        <v>4411.7310552610506</v>
      </c>
      <c r="G137" s="785">
        <f t="shared" si="56"/>
        <v>507.36127531367987</v>
      </c>
      <c r="H137" s="785">
        <f t="shared" si="56"/>
        <v>228.8242248579383</v>
      </c>
      <c r="I137" s="785">
        <f t="shared" si="56"/>
        <v>965.59093856069558</v>
      </c>
      <c r="J137" s="369"/>
      <c r="K137" s="828">
        <f t="shared" si="39"/>
        <v>59084</v>
      </c>
      <c r="L137" s="785">
        <v>8</v>
      </c>
      <c r="M137" s="785">
        <f t="shared" si="50"/>
        <v>7385.5</v>
      </c>
      <c r="N137" s="685">
        <v>8549</v>
      </c>
      <c r="O137" s="685"/>
      <c r="P137" s="302" t="s">
        <v>502</v>
      </c>
      <c r="Q137" s="802">
        <v>40723</v>
      </c>
      <c r="R137" s="801"/>
      <c r="S137" s="310">
        <f>L137</f>
        <v>8</v>
      </c>
      <c r="T137" s="834">
        <v>6026</v>
      </c>
      <c r="U137" s="8">
        <f t="shared" si="51"/>
        <v>48208</v>
      </c>
      <c r="V137" s="460"/>
      <c r="W137" s="802"/>
      <c r="X137" s="832"/>
      <c r="Y137" s="832"/>
      <c r="Z137" s="8">
        <f t="shared" si="52"/>
        <v>0</v>
      </c>
    </row>
    <row r="138" spans="1:26">
      <c r="A138" s="784">
        <f t="shared" si="49"/>
        <v>121</v>
      </c>
      <c r="B138" s="302" t="s">
        <v>768</v>
      </c>
      <c r="C138" s="864">
        <f t="shared" si="38"/>
        <v>6124</v>
      </c>
      <c r="D138" s="785">
        <f t="shared" ref="D138:I147" si="57">IF($L$182&lt;&gt;0,D$182/$L$182*$L138,0)</f>
        <v>476.52644826665647</v>
      </c>
      <c r="E138" s="785">
        <f t="shared" si="57"/>
        <v>118.79791007207963</v>
      </c>
      <c r="F138" s="785">
        <f t="shared" si="57"/>
        <v>551.46638190763133</v>
      </c>
      <c r="G138" s="785">
        <f t="shared" si="57"/>
        <v>63.420159414209984</v>
      </c>
      <c r="H138" s="785">
        <f t="shared" si="57"/>
        <v>28.603028107242288</v>
      </c>
      <c r="I138" s="785">
        <f t="shared" si="57"/>
        <v>120.69886732008695</v>
      </c>
      <c r="J138" s="369"/>
      <c r="K138" s="828">
        <f t="shared" si="39"/>
        <v>7484</v>
      </c>
      <c r="L138" s="785">
        <v>1</v>
      </c>
      <c r="M138" s="785">
        <f t="shared" si="50"/>
        <v>7484</v>
      </c>
      <c r="N138" s="685">
        <v>9357</v>
      </c>
      <c r="O138" s="685"/>
      <c r="P138" s="189" t="s">
        <v>408</v>
      </c>
      <c r="Q138" s="802">
        <v>40723</v>
      </c>
      <c r="R138" s="801"/>
      <c r="S138" s="310">
        <f>L138</f>
        <v>1</v>
      </c>
      <c r="T138" s="834">
        <v>6124</v>
      </c>
      <c r="U138" s="8">
        <f t="shared" si="51"/>
        <v>6124</v>
      </c>
      <c r="V138" s="460"/>
      <c r="W138" s="802"/>
      <c r="X138" s="832"/>
      <c r="Y138" s="832"/>
      <c r="Z138" s="8">
        <f t="shared" si="52"/>
        <v>0</v>
      </c>
    </row>
    <row r="139" spans="1:26">
      <c r="A139" s="784">
        <f t="shared" si="49"/>
        <v>122</v>
      </c>
      <c r="B139" s="302" t="s">
        <v>771</v>
      </c>
      <c r="C139" s="864">
        <f t="shared" si="38"/>
        <v>8231</v>
      </c>
      <c r="D139" s="785">
        <f t="shared" si="57"/>
        <v>476.52644826665647</v>
      </c>
      <c r="E139" s="785">
        <f t="shared" si="57"/>
        <v>118.79791007207963</v>
      </c>
      <c r="F139" s="785">
        <f t="shared" si="57"/>
        <v>551.46638190763133</v>
      </c>
      <c r="G139" s="785">
        <f t="shared" si="57"/>
        <v>63.420159414209984</v>
      </c>
      <c r="H139" s="785">
        <f t="shared" si="57"/>
        <v>28.603028107242288</v>
      </c>
      <c r="I139" s="785">
        <f t="shared" si="57"/>
        <v>120.69886732008695</v>
      </c>
      <c r="J139" s="369"/>
      <c r="K139" s="828">
        <f t="shared" si="39"/>
        <v>9591</v>
      </c>
      <c r="L139" s="785">
        <v>1</v>
      </c>
      <c r="M139" s="785">
        <f t="shared" si="50"/>
        <v>9591</v>
      </c>
      <c r="N139" s="685">
        <v>10343</v>
      </c>
      <c r="O139" s="685"/>
      <c r="P139" s="189" t="s">
        <v>519</v>
      </c>
      <c r="Q139" s="802">
        <v>40723</v>
      </c>
      <c r="R139" s="801"/>
      <c r="S139" s="310">
        <f>L139/2</f>
        <v>0.5</v>
      </c>
      <c r="T139" s="834">
        <v>16462</v>
      </c>
      <c r="U139" s="8">
        <f t="shared" si="51"/>
        <v>8231</v>
      </c>
      <c r="V139" s="460"/>
      <c r="W139" s="802"/>
      <c r="X139" s="832"/>
      <c r="Y139" s="832"/>
      <c r="Z139" s="8">
        <f t="shared" si="52"/>
        <v>0</v>
      </c>
    </row>
    <row r="140" spans="1:26">
      <c r="A140" s="784">
        <f t="shared" si="49"/>
        <v>123</v>
      </c>
      <c r="B140" s="302" t="s">
        <v>772</v>
      </c>
      <c r="C140" s="864">
        <f t="shared" si="38"/>
        <v>36780</v>
      </c>
      <c r="D140" s="785">
        <f t="shared" si="57"/>
        <v>1906.1057930666259</v>
      </c>
      <c r="E140" s="785">
        <f t="shared" si="57"/>
        <v>475.19164028831852</v>
      </c>
      <c r="F140" s="785">
        <f t="shared" si="57"/>
        <v>2205.8655276305253</v>
      </c>
      <c r="G140" s="785">
        <f t="shared" si="57"/>
        <v>253.68063765683993</v>
      </c>
      <c r="H140" s="785">
        <f t="shared" si="57"/>
        <v>114.41211242896915</v>
      </c>
      <c r="I140" s="785">
        <f t="shared" si="57"/>
        <v>482.79546928034779</v>
      </c>
      <c r="J140" s="369"/>
      <c r="K140" s="828">
        <f t="shared" si="39"/>
        <v>42218</v>
      </c>
      <c r="L140" s="785">
        <v>4</v>
      </c>
      <c r="M140" s="785">
        <f t="shared" si="50"/>
        <v>10554.5</v>
      </c>
      <c r="N140" s="685">
        <v>12670</v>
      </c>
      <c r="O140" s="685"/>
      <c r="P140" s="189" t="s">
        <v>585</v>
      </c>
      <c r="Q140" s="802">
        <v>40723</v>
      </c>
      <c r="R140" s="801"/>
      <c r="S140" s="310">
        <f>L140/2</f>
        <v>2</v>
      </c>
      <c r="T140" s="834">
        <v>18390</v>
      </c>
      <c r="U140" s="8">
        <f t="shared" si="51"/>
        <v>36780</v>
      </c>
      <c r="V140" s="460"/>
      <c r="W140" s="802"/>
      <c r="X140" s="832"/>
      <c r="Y140" s="832"/>
      <c r="Z140" s="8">
        <f t="shared" si="52"/>
        <v>0</v>
      </c>
    </row>
    <row r="141" spans="1:26">
      <c r="A141" s="784">
        <f t="shared" si="49"/>
        <v>124</v>
      </c>
      <c r="B141" s="302" t="s">
        <v>777</v>
      </c>
      <c r="C141" s="864">
        <f t="shared" si="38"/>
        <v>8231</v>
      </c>
      <c r="D141" s="785">
        <f t="shared" si="57"/>
        <v>476.52644826665647</v>
      </c>
      <c r="E141" s="785">
        <f t="shared" si="57"/>
        <v>118.79791007207963</v>
      </c>
      <c r="F141" s="785">
        <f t="shared" si="57"/>
        <v>551.46638190763133</v>
      </c>
      <c r="G141" s="785">
        <f t="shared" si="57"/>
        <v>63.420159414209984</v>
      </c>
      <c r="H141" s="785">
        <f t="shared" si="57"/>
        <v>28.603028107242288</v>
      </c>
      <c r="I141" s="785">
        <f t="shared" si="57"/>
        <v>120.69886732008695</v>
      </c>
      <c r="J141" s="369"/>
      <c r="K141" s="828">
        <f t="shared" si="39"/>
        <v>9591</v>
      </c>
      <c r="L141" s="785">
        <v>1</v>
      </c>
      <c r="M141" s="785">
        <f t="shared" si="50"/>
        <v>9591</v>
      </c>
      <c r="N141" s="685">
        <v>12305</v>
      </c>
      <c r="O141" s="685"/>
      <c r="P141" s="189" t="s">
        <v>519</v>
      </c>
      <c r="Q141" s="802">
        <v>40723</v>
      </c>
      <c r="R141" s="801"/>
      <c r="S141" s="310">
        <f>L141/2</f>
        <v>0.5</v>
      </c>
      <c r="T141" s="834">
        <v>16462</v>
      </c>
      <c r="U141" s="8">
        <f t="shared" si="51"/>
        <v>8231</v>
      </c>
      <c r="V141" s="460"/>
      <c r="W141" s="802"/>
      <c r="X141" s="832"/>
      <c r="Y141" s="832"/>
      <c r="Z141" s="8">
        <f t="shared" si="52"/>
        <v>0</v>
      </c>
    </row>
    <row r="142" spans="1:26">
      <c r="A142" s="784">
        <f t="shared" si="49"/>
        <v>125</v>
      </c>
      <c r="B142" s="302" t="s">
        <v>954</v>
      </c>
      <c r="C142" s="864">
        <f t="shared" si="38"/>
        <v>8898</v>
      </c>
      <c r="D142" s="785">
        <f t="shared" si="57"/>
        <v>953.05289653331295</v>
      </c>
      <c r="E142" s="785">
        <f t="shared" si="57"/>
        <v>237.59582014415926</v>
      </c>
      <c r="F142" s="785">
        <f t="shared" si="57"/>
        <v>1102.9327638152627</v>
      </c>
      <c r="G142" s="785">
        <f t="shared" si="57"/>
        <v>126.84031882841997</v>
      </c>
      <c r="H142" s="785">
        <f t="shared" si="57"/>
        <v>57.206056214484576</v>
      </c>
      <c r="I142" s="785">
        <f t="shared" si="57"/>
        <v>241.39773464017389</v>
      </c>
      <c r="J142" s="369"/>
      <c r="K142" s="828">
        <f t="shared" si="39"/>
        <v>11617</v>
      </c>
      <c r="L142" s="785">
        <v>2</v>
      </c>
      <c r="M142" s="785">
        <f t="shared" si="50"/>
        <v>5808.5</v>
      </c>
      <c r="N142" s="685">
        <v>6113</v>
      </c>
      <c r="O142" s="685"/>
      <c r="P142" s="189" t="s">
        <v>410</v>
      </c>
      <c r="Q142" s="802">
        <v>40723</v>
      </c>
      <c r="R142" s="801"/>
      <c r="S142" s="310">
        <f>L142</f>
        <v>2</v>
      </c>
      <c r="T142" s="263">
        <v>4449</v>
      </c>
      <c r="U142" s="8">
        <f t="shared" si="51"/>
        <v>8898</v>
      </c>
      <c r="V142" s="460"/>
      <c r="W142" s="802"/>
      <c r="X142" s="832"/>
      <c r="Y142" s="832"/>
      <c r="Z142" s="8">
        <f t="shared" si="52"/>
        <v>0</v>
      </c>
    </row>
    <row r="143" spans="1:26">
      <c r="A143" s="784">
        <f t="shared" si="49"/>
        <v>126</v>
      </c>
      <c r="B143" s="302" t="s">
        <v>955</v>
      </c>
      <c r="C143" s="864">
        <f t="shared" si="38"/>
        <v>18390</v>
      </c>
      <c r="D143" s="785">
        <f t="shared" si="57"/>
        <v>953.05289653331295</v>
      </c>
      <c r="E143" s="785">
        <f t="shared" si="57"/>
        <v>237.59582014415926</v>
      </c>
      <c r="F143" s="785">
        <f t="shared" si="57"/>
        <v>1102.9327638152627</v>
      </c>
      <c r="G143" s="785">
        <f t="shared" si="57"/>
        <v>126.84031882841997</v>
      </c>
      <c r="H143" s="785">
        <f t="shared" si="57"/>
        <v>57.206056214484576</v>
      </c>
      <c r="I143" s="785">
        <f t="shared" si="57"/>
        <v>241.39773464017389</v>
      </c>
      <c r="J143" s="369"/>
      <c r="K143" s="828">
        <f t="shared" si="39"/>
        <v>21109</v>
      </c>
      <c r="L143" s="785">
        <v>2</v>
      </c>
      <c r="M143" s="785">
        <f t="shared" si="50"/>
        <v>10554.5</v>
      </c>
      <c r="N143" s="685">
        <v>12824</v>
      </c>
      <c r="O143" s="685"/>
      <c r="P143" s="189" t="s">
        <v>585</v>
      </c>
      <c r="Q143" s="802">
        <v>40723</v>
      </c>
      <c r="R143" s="801"/>
      <c r="S143" s="310">
        <f>L143/2</f>
        <v>1</v>
      </c>
      <c r="T143" s="834">
        <v>18390</v>
      </c>
      <c r="U143" s="8">
        <f t="shared" si="51"/>
        <v>18390</v>
      </c>
      <c r="V143" s="460"/>
      <c r="W143" s="802"/>
      <c r="X143" s="832"/>
      <c r="Y143" s="832"/>
      <c r="Z143" s="8">
        <f t="shared" si="52"/>
        <v>0</v>
      </c>
    </row>
    <row r="144" spans="1:26">
      <c r="A144" s="784">
        <f t="shared" si="49"/>
        <v>127</v>
      </c>
      <c r="B144" s="302" t="s">
        <v>767</v>
      </c>
      <c r="C144" s="864">
        <f t="shared" si="38"/>
        <v>444092.5</v>
      </c>
      <c r="D144" s="785">
        <f t="shared" si="57"/>
        <v>17631.478585866291</v>
      </c>
      <c r="E144" s="785">
        <f t="shared" si="57"/>
        <v>4395.5226726669462</v>
      </c>
      <c r="F144" s="785">
        <f t="shared" si="57"/>
        <v>20404.256130582358</v>
      </c>
      <c r="G144" s="785">
        <f t="shared" si="57"/>
        <v>2346.5458983257695</v>
      </c>
      <c r="H144" s="785">
        <f t="shared" si="57"/>
        <v>1058.3120399679647</v>
      </c>
      <c r="I144" s="785">
        <f t="shared" si="57"/>
        <v>4465.8580908432168</v>
      </c>
      <c r="J144" s="369"/>
      <c r="K144" s="828">
        <f t="shared" si="39"/>
        <v>494394</v>
      </c>
      <c r="L144" s="785">
        <v>37</v>
      </c>
      <c r="M144" s="785">
        <f t="shared" si="50"/>
        <v>13362</v>
      </c>
      <c r="N144" s="685">
        <v>14591</v>
      </c>
      <c r="O144" s="685"/>
      <c r="P144" s="40" t="s">
        <v>580</v>
      </c>
      <c r="Q144" s="802">
        <v>40723</v>
      </c>
      <c r="R144" s="801"/>
      <c r="S144" s="310">
        <f>L144/2</f>
        <v>18.5</v>
      </c>
      <c r="T144" s="834">
        <v>24005</v>
      </c>
      <c r="U144" s="8">
        <f t="shared" si="51"/>
        <v>444092.5</v>
      </c>
      <c r="V144" s="460"/>
      <c r="W144" s="802"/>
      <c r="X144" s="832"/>
      <c r="Y144" s="832"/>
      <c r="Z144" s="8">
        <f t="shared" si="52"/>
        <v>0</v>
      </c>
    </row>
    <row r="145" spans="1:26">
      <c r="A145" s="839">
        <f t="shared" si="49"/>
        <v>128</v>
      </c>
      <c r="B145" s="303" t="s">
        <v>956</v>
      </c>
      <c r="C145" s="864">
        <f t="shared" si="38"/>
        <v>7177495</v>
      </c>
      <c r="D145" s="549">
        <f t="shared" si="57"/>
        <v>427444.22409519088</v>
      </c>
      <c r="E145" s="549">
        <f t="shared" si="57"/>
        <v>106561.72533465544</v>
      </c>
      <c r="F145" s="549">
        <f t="shared" si="57"/>
        <v>494665.34457114531</v>
      </c>
      <c r="G145" s="549">
        <f t="shared" si="57"/>
        <v>56887.882994546359</v>
      </c>
      <c r="H145" s="549">
        <f t="shared" si="57"/>
        <v>25656.916212196331</v>
      </c>
      <c r="I145" s="549">
        <f t="shared" si="57"/>
        <v>108266.88398611799</v>
      </c>
      <c r="J145" s="549"/>
      <c r="K145" s="828">
        <f t="shared" si="39"/>
        <v>8396978</v>
      </c>
      <c r="L145" s="549">
        <v>897</v>
      </c>
      <c r="M145" s="549">
        <f t="shared" si="50"/>
        <v>9361.1794871794864</v>
      </c>
      <c r="N145" s="685">
        <v>11877</v>
      </c>
      <c r="O145" s="685"/>
      <c r="P145" s="40" t="s">
        <v>580</v>
      </c>
      <c r="Q145" s="802">
        <v>40723</v>
      </c>
      <c r="R145" s="801"/>
      <c r="S145" s="310">
        <f>L145/3</f>
        <v>299</v>
      </c>
      <c r="T145" s="834">
        <v>24005</v>
      </c>
      <c r="U145" s="8">
        <f t="shared" si="51"/>
        <v>7177495</v>
      </c>
      <c r="V145" s="460"/>
      <c r="W145" s="802"/>
      <c r="X145" s="832"/>
      <c r="Y145" s="832"/>
      <c r="Z145" s="8">
        <f t="shared" si="52"/>
        <v>0</v>
      </c>
    </row>
    <row r="146" spans="1:26">
      <c r="A146" s="784">
        <f>IF(B146&lt;&gt;"",A145+1,"")</f>
        <v>129</v>
      </c>
      <c r="B146" s="302" t="s">
        <v>953</v>
      </c>
      <c r="C146" s="864">
        <f t="shared" si="38"/>
        <v>1067760</v>
      </c>
      <c r="D146" s="785">
        <f t="shared" si="57"/>
        <v>436974.753060524</v>
      </c>
      <c r="E146" s="785">
        <f t="shared" si="57"/>
        <v>108937.68353609701</v>
      </c>
      <c r="F146" s="785">
        <f t="shared" si="57"/>
        <v>505694.67220929795</v>
      </c>
      <c r="G146" s="785">
        <f t="shared" si="57"/>
        <v>58156.286182830554</v>
      </c>
      <c r="H146" s="785">
        <f t="shared" si="57"/>
        <v>26228.976774341179</v>
      </c>
      <c r="I146" s="785">
        <f t="shared" si="57"/>
        <v>110680.86133251974</v>
      </c>
      <c r="J146" s="369"/>
      <c r="K146" s="828">
        <f t="shared" si="39"/>
        <v>2314433</v>
      </c>
      <c r="L146" s="785">
        <v>917</v>
      </c>
      <c r="M146" s="785">
        <f t="shared" si="50"/>
        <v>2523.9182115594331</v>
      </c>
      <c r="N146" s="685">
        <v>2866</v>
      </c>
      <c r="O146" s="685"/>
      <c r="P146" s="189" t="s">
        <v>410</v>
      </c>
      <c r="Q146" s="802">
        <v>40723</v>
      </c>
      <c r="R146" s="801"/>
      <c r="S146" s="310">
        <v>240</v>
      </c>
      <c r="T146" s="263">
        <v>4449</v>
      </c>
      <c r="U146" s="8">
        <f t="shared" si="51"/>
        <v>1067760</v>
      </c>
      <c r="V146" s="460"/>
      <c r="W146" s="802"/>
      <c r="X146" s="832"/>
      <c r="Y146" s="832"/>
      <c r="Z146" s="8">
        <f t="shared" si="52"/>
        <v>0</v>
      </c>
    </row>
    <row r="147" spans="1:26">
      <c r="A147" s="784">
        <f t="shared" si="49"/>
        <v>130</v>
      </c>
      <c r="B147" s="302" t="s">
        <v>957</v>
      </c>
      <c r="C147" s="864">
        <f t="shared" ref="C147:C171" si="58">U147</f>
        <v>1018394</v>
      </c>
      <c r="D147" s="785">
        <f t="shared" si="57"/>
        <v>80532.969757064944</v>
      </c>
      <c r="E147" s="785">
        <f t="shared" si="57"/>
        <v>20076.846802181459</v>
      </c>
      <c r="F147" s="785">
        <f t="shared" si="57"/>
        <v>93197.818542389694</v>
      </c>
      <c r="G147" s="785">
        <f t="shared" si="57"/>
        <v>10718.006941001488</v>
      </c>
      <c r="H147" s="785">
        <f t="shared" si="57"/>
        <v>4833.9117501239471</v>
      </c>
      <c r="I147" s="785">
        <f t="shared" si="57"/>
        <v>20398.108577094696</v>
      </c>
      <c r="J147" s="369"/>
      <c r="K147" s="828">
        <f t="shared" ref="K147:K180" si="59">ROUND(SUM(C147:I147),0)</f>
        <v>1248152</v>
      </c>
      <c r="L147" s="785">
        <v>169</v>
      </c>
      <c r="M147" s="785">
        <f t="shared" si="50"/>
        <v>7385.5147928994083</v>
      </c>
      <c r="N147" s="685">
        <v>8678</v>
      </c>
      <c r="O147" s="685"/>
      <c r="P147" s="302" t="s">
        <v>502</v>
      </c>
      <c r="Q147" s="802">
        <v>40723</v>
      </c>
      <c r="R147" s="801"/>
      <c r="S147" s="310">
        <f>L147</f>
        <v>169</v>
      </c>
      <c r="T147" s="834">
        <v>6026</v>
      </c>
      <c r="U147" s="8">
        <f t="shared" si="51"/>
        <v>1018394</v>
      </c>
      <c r="V147" s="460"/>
      <c r="W147" s="802"/>
      <c r="X147" s="832"/>
      <c r="Y147" s="832"/>
      <c r="Z147" s="8">
        <f t="shared" si="52"/>
        <v>0</v>
      </c>
    </row>
    <row r="148" spans="1:26">
      <c r="A148" s="784">
        <f t="shared" ref="A148:A180" si="60">IF(B148&lt;&gt;"",A147+1,"")</f>
        <v>131</v>
      </c>
      <c r="B148" s="302" t="s">
        <v>953</v>
      </c>
      <c r="C148" s="864">
        <f t="shared" si="58"/>
        <v>189082.5</v>
      </c>
      <c r="D148" s="785">
        <f t="shared" ref="D148:I157" si="61">IF($L$182&lt;&gt;0,D$182/$L$182*$L148,0)</f>
        <v>81009.496205331598</v>
      </c>
      <c r="E148" s="785">
        <f t="shared" si="61"/>
        <v>20195.644712253536</v>
      </c>
      <c r="F148" s="785">
        <f t="shared" si="61"/>
        <v>93749.284924297332</v>
      </c>
      <c r="G148" s="785">
        <f t="shared" si="61"/>
        <v>10781.427100415698</v>
      </c>
      <c r="H148" s="785">
        <f t="shared" si="61"/>
        <v>4862.5147782311888</v>
      </c>
      <c r="I148" s="785">
        <f t="shared" si="61"/>
        <v>20518.807444414782</v>
      </c>
      <c r="J148" s="369"/>
      <c r="K148" s="828">
        <f t="shared" si="59"/>
        <v>420200</v>
      </c>
      <c r="L148" s="785">
        <v>170</v>
      </c>
      <c r="M148" s="785">
        <f t="shared" si="50"/>
        <v>2471.7647058823532</v>
      </c>
      <c r="N148" s="685">
        <v>2457</v>
      </c>
      <c r="O148" s="685"/>
      <c r="P148" s="189" t="s">
        <v>410</v>
      </c>
      <c r="Q148" s="802">
        <v>40723</v>
      </c>
      <c r="R148" s="801"/>
      <c r="S148" s="310">
        <f>L148/4</f>
        <v>42.5</v>
      </c>
      <c r="T148" s="263">
        <v>4449</v>
      </c>
      <c r="U148" s="8">
        <f t="shared" si="51"/>
        <v>189082.5</v>
      </c>
      <c r="V148" s="460"/>
      <c r="W148" s="802"/>
      <c r="X148" s="832"/>
      <c r="Y148" s="832"/>
      <c r="Z148" s="8">
        <f t="shared" si="52"/>
        <v>0</v>
      </c>
    </row>
    <row r="149" spans="1:26" ht="13.5" customHeight="1">
      <c r="A149" s="839">
        <f t="shared" si="60"/>
        <v>132</v>
      </c>
      <c r="B149" s="303" t="s">
        <v>765</v>
      </c>
      <c r="C149" s="864">
        <f t="shared" si="58"/>
        <v>7702734</v>
      </c>
      <c r="D149" s="549">
        <f t="shared" si="61"/>
        <v>210624.69013386217</v>
      </c>
      <c r="E149" s="549">
        <f t="shared" si="61"/>
        <v>52508.6762518592</v>
      </c>
      <c r="F149" s="549">
        <f t="shared" si="61"/>
        <v>243748.14080317304</v>
      </c>
      <c r="G149" s="549">
        <f t="shared" si="61"/>
        <v>28031.710461080813</v>
      </c>
      <c r="H149" s="549">
        <f t="shared" si="61"/>
        <v>12642.538423401091</v>
      </c>
      <c r="I149" s="549">
        <f t="shared" si="61"/>
        <v>53348.899355478432</v>
      </c>
      <c r="J149" s="549"/>
      <c r="K149" s="828">
        <f t="shared" si="59"/>
        <v>8303639</v>
      </c>
      <c r="L149" s="549">
        <v>442</v>
      </c>
      <c r="M149" s="549">
        <f t="shared" si="50"/>
        <v>18786.513574660632</v>
      </c>
      <c r="N149" s="685">
        <v>19814</v>
      </c>
      <c r="O149" s="685"/>
      <c r="P149" s="189" t="s">
        <v>513</v>
      </c>
      <c r="Q149" s="802">
        <v>40723</v>
      </c>
      <c r="R149" s="801"/>
      <c r="S149" s="310">
        <v>442</v>
      </c>
      <c r="T149" s="834">
        <v>17427</v>
      </c>
      <c r="U149" s="8">
        <f t="shared" si="51"/>
        <v>7702734</v>
      </c>
      <c r="V149" s="460"/>
      <c r="W149" s="802"/>
      <c r="X149" s="832"/>
      <c r="Y149" s="832"/>
      <c r="Z149" s="8">
        <f t="shared" si="52"/>
        <v>0</v>
      </c>
    </row>
    <row r="150" spans="1:26">
      <c r="A150" s="784">
        <f>IF(B150&lt;&gt;"",A149+1,"")</f>
        <v>133</v>
      </c>
      <c r="B150" s="302" t="s">
        <v>958</v>
      </c>
      <c r="C150" s="864">
        <f t="shared" si="58"/>
        <v>564480</v>
      </c>
      <c r="D150" s="785">
        <f t="shared" si="61"/>
        <v>17154.952137599634</v>
      </c>
      <c r="E150" s="785">
        <f t="shared" si="61"/>
        <v>4276.7247625948667</v>
      </c>
      <c r="F150" s="785">
        <f t="shared" si="61"/>
        <v>19852.789748674728</v>
      </c>
      <c r="G150" s="785">
        <f t="shared" si="61"/>
        <v>2283.1257389115594</v>
      </c>
      <c r="H150" s="785">
        <f t="shared" si="61"/>
        <v>1029.7090118607223</v>
      </c>
      <c r="I150" s="785">
        <f t="shared" si="61"/>
        <v>4345.1592235231301</v>
      </c>
      <c r="J150" s="369"/>
      <c r="K150" s="828">
        <f t="shared" si="59"/>
        <v>613422</v>
      </c>
      <c r="L150" s="785">
        <v>36</v>
      </c>
      <c r="M150" s="785">
        <f t="shared" si="50"/>
        <v>17039.5</v>
      </c>
      <c r="N150" s="685">
        <v>18185</v>
      </c>
      <c r="O150" s="685"/>
      <c r="P150" s="189" t="s">
        <v>637</v>
      </c>
      <c r="Q150" s="802">
        <v>40723</v>
      </c>
      <c r="R150" s="801"/>
      <c r="S150" s="310">
        <v>18</v>
      </c>
      <c r="T150" s="834">
        <v>31360</v>
      </c>
      <c r="U150" s="8">
        <f t="shared" si="51"/>
        <v>564480</v>
      </c>
      <c r="V150" s="460"/>
      <c r="W150" s="802"/>
      <c r="X150" s="832"/>
      <c r="Y150" s="832"/>
      <c r="Z150" s="8">
        <f t="shared" si="52"/>
        <v>0</v>
      </c>
    </row>
    <row r="151" spans="1:26">
      <c r="A151" s="784">
        <f t="shared" si="60"/>
        <v>134</v>
      </c>
      <c r="B151" s="302" t="s">
        <v>953</v>
      </c>
      <c r="C151" s="864">
        <f t="shared" si="58"/>
        <v>100102.5</v>
      </c>
      <c r="D151" s="785">
        <f t="shared" si="61"/>
        <v>42887.380343999081</v>
      </c>
      <c r="E151" s="785">
        <f t="shared" si="61"/>
        <v>10691.811906487166</v>
      </c>
      <c r="F151" s="785">
        <f t="shared" si="61"/>
        <v>49631.974371686818</v>
      </c>
      <c r="G151" s="785">
        <f t="shared" si="61"/>
        <v>5707.8143472788988</v>
      </c>
      <c r="H151" s="785">
        <f t="shared" si="61"/>
        <v>2574.2725296518061</v>
      </c>
      <c r="I151" s="785">
        <f t="shared" si="61"/>
        <v>10862.898058807825</v>
      </c>
      <c r="J151" s="369"/>
      <c r="K151" s="828">
        <f t="shared" si="59"/>
        <v>222459</v>
      </c>
      <c r="L151" s="785">
        <v>90</v>
      </c>
      <c r="M151" s="785">
        <f t="shared" si="50"/>
        <v>2471.7666666666669</v>
      </c>
      <c r="N151" s="685">
        <v>2734</v>
      </c>
      <c r="O151" s="685"/>
      <c r="P151" s="189" t="s">
        <v>410</v>
      </c>
      <c r="Q151" s="802">
        <v>40723</v>
      </c>
      <c r="R151" s="801"/>
      <c r="S151" s="310">
        <f t="shared" ref="S151:S152" si="62">L151/4</f>
        <v>22.5</v>
      </c>
      <c r="T151" s="263">
        <v>4449</v>
      </c>
      <c r="U151" s="8">
        <f t="shared" si="51"/>
        <v>100102.5</v>
      </c>
      <c r="V151" s="460"/>
      <c r="W151" s="802"/>
      <c r="X151" s="832"/>
      <c r="Y151" s="832"/>
      <c r="Z151" s="8">
        <f t="shared" si="52"/>
        <v>0</v>
      </c>
    </row>
    <row r="152" spans="1:26">
      <c r="A152" s="784">
        <f t="shared" si="60"/>
        <v>135</v>
      </c>
      <c r="B152" s="302" t="s">
        <v>953</v>
      </c>
      <c r="C152" s="864">
        <f t="shared" si="58"/>
        <v>182409</v>
      </c>
      <c r="D152" s="785">
        <f t="shared" si="61"/>
        <v>78150.337515731662</v>
      </c>
      <c r="E152" s="785">
        <f t="shared" si="61"/>
        <v>19482.85725182106</v>
      </c>
      <c r="F152" s="785">
        <f t="shared" si="61"/>
        <v>90440.486632851535</v>
      </c>
      <c r="G152" s="785">
        <f t="shared" si="61"/>
        <v>10400.906143930437</v>
      </c>
      <c r="H152" s="785">
        <f t="shared" si="61"/>
        <v>4690.8966095877349</v>
      </c>
      <c r="I152" s="785">
        <f t="shared" si="61"/>
        <v>19794.614240494258</v>
      </c>
      <c r="J152" s="369"/>
      <c r="K152" s="828">
        <f t="shared" si="59"/>
        <v>405369</v>
      </c>
      <c r="L152" s="785">
        <v>164</v>
      </c>
      <c r="M152" s="785">
        <f t="shared" si="50"/>
        <v>2471.7621951219512</v>
      </c>
      <c r="N152" s="685">
        <v>3065</v>
      </c>
      <c r="O152" s="685"/>
      <c r="P152" s="189" t="s">
        <v>410</v>
      </c>
      <c r="Q152" s="802">
        <v>40723</v>
      </c>
      <c r="R152" s="801"/>
      <c r="S152" s="310">
        <f t="shared" si="62"/>
        <v>41</v>
      </c>
      <c r="T152" s="263">
        <v>4449</v>
      </c>
      <c r="U152" s="8">
        <f t="shared" si="51"/>
        <v>182409</v>
      </c>
      <c r="V152" s="460"/>
      <c r="W152" s="802"/>
      <c r="X152" s="832"/>
      <c r="Y152" s="832"/>
      <c r="Z152" s="8">
        <f t="shared" si="52"/>
        <v>0</v>
      </c>
    </row>
    <row r="153" spans="1:26">
      <c r="A153" s="839">
        <f t="shared" si="60"/>
        <v>136</v>
      </c>
      <c r="B153" s="303" t="s">
        <v>766</v>
      </c>
      <c r="C153" s="864">
        <f t="shared" si="58"/>
        <v>10916625</v>
      </c>
      <c r="D153" s="549">
        <f t="shared" si="61"/>
        <v>304500.4004423935</v>
      </c>
      <c r="E153" s="549">
        <f t="shared" si="61"/>
        <v>75911.864536058885</v>
      </c>
      <c r="F153" s="549">
        <f t="shared" si="61"/>
        <v>352387.01803897641</v>
      </c>
      <c r="G153" s="549">
        <f t="shared" si="61"/>
        <v>40525.48186568018</v>
      </c>
      <c r="H153" s="549">
        <f t="shared" si="61"/>
        <v>18277.334960527824</v>
      </c>
      <c r="I153" s="549">
        <f t="shared" si="61"/>
        <v>77126.576217535563</v>
      </c>
      <c r="J153" s="549"/>
      <c r="K153" s="828">
        <f t="shared" si="59"/>
        <v>11785354</v>
      </c>
      <c r="L153" s="549">
        <v>639</v>
      </c>
      <c r="M153" s="549">
        <f t="shared" si="50"/>
        <v>18443.433489827858</v>
      </c>
      <c r="N153" s="685">
        <v>19248</v>
      </c>
      <c r="O153" s="685"/>
      <c r="P153" s="189" t="s">
        <v>512</v>
      </c>
      <c r="Q153" s="802">
        <v>40723</v>
      </c>
      <c r="R153" s="801"/>
      <c r="S153" s="310">
        <v>645</v>
      </c>
      <c r="T153" s="834">
        <v>16925</v>
      </c>
      <c r="U153" s="8">
        <f t="shared" si="51"/>
        <v>10916625</v>
      </c>
      <c r="V153" s="460"/>
      <c r="W153" s="802"/>
      <c r="X153" s="832"/>
      <c r="Y153" s="832"/>
      <c r="Z153" s="8">
        <f t="shared" si="52"/>
        <v>0</v>
      </c>
    </row>
    <row r="154" spans="1:26">
      <c r="A154" s="784">
        <f>IF(B154&lt;&gt;"",A153+1,"")</f>
        <v>137</v>
      </c>
      <c r="B154" s="302" t="s">
        <v>953</v>
      </c>
      <c r="C154" s="864">
        <f t="shared" si="58"/>
        <v>934290</v>
      </c>
      <c r="D154" s="785">
        <f t="shared" si="61"/>
        <v>100070.55413599785</v>
      </c>
      <c r="E154" s="785">
        <f t="shared" si="61"/>
        <v>24947.561115136723</v>
      </c>
      <c r="F154" s="785">
        <f t="shared" si="61"/>
        <v>115807.94020060258</v>
      </c>
      <c r="G154" s="785">
        <f t="shared" si="61"/>
        <v>13318.233476984096</v>
      </c>
      <c r="H154" s="785">
        <f t="shared" si="61"/>
        <v>6006.6359025208803</v>
      </c>
      <c r="I154" s="785">
        <f t="shared" si="61"/>
        <v>25346.762137218258</v>
      </c>
      <c r="J154" s="369"/>
      <c r="K154" s="828">
        <f t="shared" si="59"/>
        <v>1219788</v>
      </c>
      <c r="L154" s="785">
        <v>210</v>
      </c>
      <c r="M154" s="785">
        <f t="shared" si="50"/>
        <v>5808.5142857142855</v>
      </c>
      <c r="N154" s="685">
        <v>6577</v>
      </c>
      <c r="O154" s="685"/>
      <c r="P154" s="189" t="s">
        <v>410</v>
      </c>
      <c r="Q154" s="802">
        <v>40723</v>
      </c>
      <c r="R154" s="801"/>
      <c r="S154" s="310">
        <f>L154</f>
        <v>210</v>
      </c>
      <c r="T154" s="263">
        <v>4449</v>
      </c>
      <c r="U154" s="8">
        <f t="shared" si="51"/>
        <v>934290</v>
      </c>
      <c r="V154" s="460"/>
      <c r="W154" s="802"/>
      <c r="X154" s="832"/>
      <c r="Y154" s="832"/>
      <c r="Z154" s="8">
        <f t="shared" si="52"/>
        <v>0</v>
      </c>
    </row>
    <row r="155" spans="1:26">
      <c r="A155" s="784">
        <f t="shared" si="60"/>
        <v>138</v>
      </c>
      <c r="B155" s="302" t="s">
        <v>953</v>
      </c>
      <c r="C155" s="864">
        <f t="shared" si="58"/>
        <v>938739</v>
      </c>
      <c r="D155" s="785">
        <f t="shared" si="61"/>
        <v>201094.16116852904</v>
      </c>
      <c r="E155" s="785">
        <f t="shared" si="61"/>
        <v>50132.718050417607</v>
      </c>
      <c r="F155" s="785">
        <f t="shared" si="61"/>
        <v>232718.81316502043</v>
      </c>
      <c r="G155" s="785">
        <f t="shared" si="61"/>
        <v>26763.307272796614</v>
      </c>
      <c r="H155" s="785">
        <f t="shared" si="61"/>
        <v>12070.477861256246</v>
      </c>
      <c r="I155" s="785">
        <f t="shared" si="61"/>
        <v>50934.92200907669</v>
      </c>
      <c r="J155" s="369"/>
      <c r="K155" s="828">
        <f t="shared" si="59"/>
        <v>1512453</v>
      </c>
      <c r="L155" s="785">
        <v>422</v>
      </c>
      <c r="M155" s="785">
        <f t="shared" si="50"/>
        <v>3584.0118483412321</v>
      </c>
      <c r="N155" s="685">
        <v>4705</v>
      </c>
      <c r="O155" s="685"/>
      <c r="P155" s="189" t="s">
        <v>410</v>
      </c>
      <c r="Q155" s="802">
        <v>40723</v>
      </c>
      <c r="R155" s="801"/>
      <c r="S155" s="310">
        <f>L155/2</f>
        <v>211</v>
      </c>
      <c r="T155" s="263">
        <v>4449</v>
      </c>
      <c r="U155" s="8">
        <f t="shared" si="51"/>
        <v>938739</v>
      </c>
      <c r="V155" s="460"/>
      <c r="W155" s="802"/>
      <c r="X155" s="832"/>
      <c r="Y155" s="832"/>
      <c r="Z155" s="8">
        <f t="shared" si="52"/>
        <v>0</v>
      </c>
    </row>
    <row r="156" spans="1:26">
      <c r="A156" s="784">
        <f t="shared" si="60"/>
        <v>139</v>
      </c>
      <c r="B156" s="302" t="s">
        <v>764</v>
      </c>
      <c r="C156" s="864">
        <f t="shared" si="58"/>
        <v>3348660</v>
      </c>
      <c r="D156" s="785">
        <f t="shared" si="61"/>
        <v>99594.027687731199</v>
      </c>
      <c r="E156" s="785">
        <f t="shared" si="61"/>
        <v>24828.763205064643</v>
      </c>
      <c r="F156" s="785">
        <f t="shared" si="61"/>
        <v>115256.47381869495</v>
      </c>
      <c r="G156" s="785">
        <f t="shared" si="61"/>
        <v>13254.813317569886</v>
      </c>
      <c r="H156" s="785">
        <f t="shared" si="61"/>
        <v>5978.0328744136386</v>
      </c>
      <c r="I156" s="785">
        <f t="shared" si="61"/>
        <v>25226.063269898172</v>
      </c>
      <c r="J156" s="369"/>
      <c r="K156" s="828">
        <f t="shared" si="59"/>
        <v>3632798</v>
      </c>
      <c r="L156" s="785">
        <v>209</v>
      </c>
      <c r="M156" s="785">
        <f t="shared" si="50"/>
        <v>17381.808612440193</v>
      </c>
      <c r="N156" s="685">
        <v>17330</v>
      </c>
      <c r="O156" s="685"/>
      <c r="P156" s="40" t="s">
        <v>619</v>
      </c>
      <c r="Q156" s="802">
        <v>40723</v>
      </c>
      <c r="R156" s="801"/>
      <c r="S156" s="310">
        <v>210</v>
      </c>
      <c r="T156" s="834">
        <v>15946</v>
      </c>
      <c r="U156" s="8">
        <f t="shared" si="51"/>
        <v>3348660</v>
      </c>
      <c r="V156" s="460"/>
      <c r="W156" s="802"/>
      <c r="X156" s="832"/>
      <c r="Y156" s="832"/>
      <c r="Z156" s="8">
        <f t="shared" si="52"/>
        <v>0</v>
      </c>
    </row>
    <row r="157" spans="1:26">
      <c r="A157" s="784">
        <f t="shared" si="60"/>
        <v>140</v>
      </c>
      <c r="B157" s="302" t="s">
        <v>959</v>
      </c>
      <c r="C157" s="864">
        <f t="shared" si="58"/>
        <v>892976</v>
      </c>
      <c r="D157" s="785">
        <f t="shared" si="61"/>
        <v>26208.954654666108</v>
      </c>
      <c r="E157" s="785">
        <f t="shared" si="61"/>
        <v>6533.8850539643799</v>
      </c>
      <c r="F157" s="785">
        <f t="shared" si="61"/>
        <v>30330.651004919724</v>
      </c>
      <c r="G157" s="785">
        <f t="shared" si="61"/>
        <v>3488.108767781549</v>
      </c>
      <c r="H157" s="785">
        <f t="shared" si="61"/>
        <v>1573.1665458983259</v>
      </c>
      <c r="I157" s="785">
        <f t="shared" si="61"/>
        <v>6638.4377026047823</v>
      </c>
      <c r="J157" s="369"/>
      <c r="K157" s="828">
        <f t="shared" si="59"/>
        <v>967749</v>
      </c>
      <c r="L157" s="785">
        <v>55</v>
      </c>
      <c r="M157" s="785">
        <f t="shared" si="50"/>
        <v>17595.436363636363</v>
      </c>
      <c r="N157" s="685">
        <v>17203</v>
      </c>
      <c r="O157" s="685"/>
      <c r="P157" s="40" t="s">
        <v>619</v>
      </c>
      <c r="Q157" s="802">
        <v>40723</v>
      </c>
      <c r="R157" s="801"/>
      <c r="S157" s="310">
        <v>56</v>
      </c>
      <c r="T157" s="834">
        <v>15946</v>
      </c>
      <c r="U157" s="8">
        <f t="shared" si="51"/>
        <v>892976</v>
      </c>
      <c r="V157" s="460"/>
      <c r="W157" s="802"/>
      <c r="X157" s="832"/>
      <c r="Y157" s="832"/>
      <c r="Z157" s="8">
        <f t="shared" si="52"/>
        <v>0</v>
      </c>
    </row>
    <row r="158" spans="1:26">
      <c r="A158" s="784">
        <f t="shared" si="60"/>
        <v>141</v>
      </c>
      <c r="B158" s="302" t="s">
        <v>960</v>
      </c>
      <c r="C158" s="864">
        <f t="shared" si="58"/>
        <v>480100</v>
      </c>
      <c r="D158" s="785">
        <f t="shared" ref="D158:I167" si="63">IF($L$182&lt;&gt;0,D$182/$L$182*$L158,0)</f>
        <v>19061.057930666258</v>
      </c>
      <c r="E158" s="785">
        <f t="shared" si="63"/>
        <v>4751.9164028831856</v>
      </c>
      <c r="F158" s="785">
        <f t="shared" si="63"/>
        <v>22058.655276305253</v>
      </c>
      <c r="G158" s="785">
        <f t="shared" si="63"/>
        <v>2536.8063765683992</v>
      </c>
      <c r="H158" s="785">
        <f t="shared" si="63"/>
        <v>1144.1211242896916</v>
      </c>
      <c r="I158" s="785">
        <f t="shared" si="63"/>
        <v>4827.9546928034779</v>
      </c>
      <c r="J158" s="369"/>
      <c r="K158" s="828">
        <f t="shared" si="59"/>
        <v>534481</v>
      </c>
      <c r="L158" s="785">
        <v>40</v>
      </c>
      <c r="M158" s="785">
        <f t="shared" si="50"/>
        <v>13362.025</v>
      </c>
      <c r="N158" s="685">
        <v>14435</v>
      </c>
      <c r="O158" s="685"/>
      <c r="P158" s="40" t="s">
        <v>580</v>
      </c>
      <c r="Q158" s="802">
        <v>40723</v>
      </c>
      <c r="R158" s="801"/>
      <c r="S158" s="310">
        <f>L158/2</f>
        <v>20</v>
      </c>
      <c r="T158" s="834">
        <v>24005</v>
      </c>
      <c r="U158" s="8">
        <f t="shared" si="51"/>
        <v>480100</v>
      </c>
      <c r="V158" s="460"/>
      <c r="W158" s="802"/>
      <c r="X158" s="832"/>
      <c r="Y158" s="832"/>
      <c r="Z158" s="8">
        <f t="shared" si="52"/>
        <v>0</v>
      </c>
    </row>
    <row r="159" spans="1:26">
      <c r="A159" s="784">
        <f>IF(B159&lt;&gt;"",A158+1,"")</f>
        <v>142</v>
      </c>
      <c r="B159" s="302" t="s">
        <v>928</v>
      </c>
      <c r="C159" s="864">
        <f t="shared" si="58"/>
        <v>14414</v>
      </c>
      <c r="D159" s="785">
        <f t="shared" si="63"/>
        <v>953.05289653331295</v>
      </c>
      <c r="E159" s="785">
        <f t="shared" si="63"/>
        <v>237.59582014415926</v>
      </c>
      <c r="F159" s="785">
        <f t="shared" si="63"/>
        <v>1102.9327638152627</v>
      </c>
      <c r="G159" s="785">
        <f t="shared" si="63"/>
        <v>126.84031882841997</v>
      </c>
      <c r="H159" s="785">
        <f t="shared" si="63"/>
        <v>57.206056214484576</v>
      </c>
      <c r="I159" s="785">
        <f t="shared" si="63"/>
        <v>241.39773464017389</v>
      </c>
      <c r="J159" s="369"/>
      <c r="K159" s="828">
        <f t="shared" si="59"/>
        <v>17133</v>
      </c>
      <c r="L159" s="785">
        <v>2</v>
      </c>
      <c r="M159" s="785">
        <f t="shared" si="50"/>
        <v>8566.5</v>
      </c>
      <c r="N159" s="685">
        <v>10434</v>
      </c>
      <c r="O159" s="685"/>
      <c r="P159" s="189" t="s">
        <v>658</v>
      </c>
      <c r="Q159" s="802">
        <v>40723</v>
      </c>
      <c r="R159" s="801"/>
      <c r="S159" s="310">
        <f>L159</f>
        <v>2</v>
      </c>
      <c r="T159" s="834">
        <v>7207</v>
      </c>
      <c r="U159" s="8">
        <f t="shared" si="51"/>
        <v>14414</v>
      </c>
      <c r="V159" s="460"/>
      <c r="W159" s="802"/>
      <c r="X159" s="832"/>
      <c r="Y159" s="832"/>
      <c r="Z159" s="8">
        <f t="shared" si="52"/>
        <v>0</v>
      </c>
    </row>
    <row r="160" spans="1:26">
      <c r="A160" s="784">
        <f t="shared" si="60"/>
        <v>143</v>
      </c>
      <c r="B160" s="302" t="s">
        <v>961</v>
      </c>
      <c r="C160" s="864">
        <f t="shared" si="58"/>
        <v>4511010</v>
      </c>
      <c r="D160" s="785">
        <f t="shared" si="63"/>
        <v>98640.974791197892</v>
      </c>
      <c r="E160" s="785">
        <f t="shared" si="63"/>
        <v>24591.167384920485</v>
      </c>
      <c r="F160" s="785">
        <f t="shared" si="63"/>
        <v>114153.54105487968</v>
      </c>
      <c r="G160" s="785">
        <f t="shared" si="63"/>
        <v>13127.972998741467</v>
      </c>
      <c r="H160" s="785">
        <f t="shared" si="63"/>
        <v>5920.8268181991534</v>
      </c>
      <c r="I160" s="785">
        <f t="shared" si="63"/>
        <v>24984.665535257998</v>
      </c>
      <c r="J160" s="369"/>
      <c r="K160" s="828">
        <f t="shared" si="59"/>
        <v>4792429</v>
      </c>
      <c r="L160" s="785">
        <v>207</v>
      </c>
      <c r="M160" s="785">
        <f t="shared" si="50"/>
        <v>23151.830917874395</v>
      </c>
      <c r="N160" s="685">
        <v>24601</v>
      </c>
      <c r="O160" s="685"/>
      <c r="P160" s="189" t="s">
        <v>600</v>
      </c>
      <c r="Q160" s="802">
        <v>40723</v>
      </c>
      <c r="R160" s="801"/>
      <c r="S160" s="310">
        <v>210</v>
      </c>
      <c r="T160" s="834">
        <v>21481</v>
      </c>
      <c r="U160" s="8">
        <f t="shared" si="51"/>
        <v>4511010</v>
      </c>
      <c r="V160" s="460"/>
      <c r="W160" s="802"/>
      <c r="X160" s="832"/>
      <c r="Y160" s="832"/>
      <c r="Z160" s="8">
        <f t="shared" si="52"/>
        <v>0</v>
      </c>
    </row>
    <row r="161" spans="1:26">
      <c r="A161" s="784">
        <f t="shared" si="60"/>
        <v>144</v>
      </c>
      <c r="B161" s="302" t="s">
        <v>953</v>
      </c>
      <c r="C161" s="864">
        <f t="shared" si="58"/>
        <v>1875780</v>
      </c>
      <c r="D161" s="785">
        <f t="shared" si="63"/>
        <v>96734.868998131264</v>
      </c>
      <c r="E161" s="785">
        <f t="shared" si="63"/>
        <v>24115.975744632164</v>
      </c>
      <c r="F161" s="785">
        <f t="shared" si="63"/>
        <v>111947.67552724916</v>
      </c>
      <c r="G161" s="785">
        <f t="shared" si="63"/>
        <v>12874.292361084626</v>
      </c>
      <c r="H161" s="785">
        <f t="shared" si="63"/>
        <v>5806.4147057701848</v>
      </c>
      <c r="I161" s="785">
        <f t="shared" si="63"/>
        <v>24501.870065977651</v>
      </c>
      <c r="J161" s="369"/>
      <c r="K161" s="828">
        <f t="shared" si="59"/>
        <v>2151761</v>
      </c>
      <c r="L161" s="785">
        <v>203</v>
      </c>
      <c r="M161" s="785">
        <f t="shared" si="50"/>
        <v>10599.807881773399</v>
      </c>
      <c r="N161" s="685">
        <v>12255</v>
      </c>
      <c r="O161" s="685"/>
      <c r="P161" s="189" t="s">
        <v>585</v>
      </c>
      <c r="Q161" s="802">
        <v>40723</v>
      </c>
      <c r="R161" s="801"/>
      <c r="S161" s="310">
        <v>102</v>
      </c>
      <c r="T161" s="834">
        <v>18390</v>
      </c>
      <c r="U161" s="8">
        <f t="shared" si="51"/>
        <v>1875780</v>
      </c>
      <c r="V161" s="460"/>
      <c r="W161" s="802"/>
      <c r="X161" s="832"/>
      <c r="Y161" s="832"/>
      <c r="Z161" s="8">
        <f t="shared" si="52"/>
        <v>0</v>
      </c>
    </row>
    <row r="162" spans="1:26">
      <c r="A162" s="784">
        <f t="shared" si="60"/>
        <v>145</v>
      </c>
      <c r="B162" s="302" t="s">
        <v>962</v>
      </c>
      <c r="C162" s="864">
        <f t="shared" si="58"/>
        <v>156843</v>
      </c>
      <c r="D162" s="785">
        <f t="shared" si="63"/>
        <v>4288.7380343999084</v>
      </c>
      <c r="E162" s="785">
        <f t="shared" si="63"/>
        <v>1069.1811906487167</v>
      </c>
      <c r="F162" s="785">
        <f t="shared" si="63"/>
        <v>4963.197437168682</v>
      </c>
      <c r="G162" s="785">
        <f t="shared" si="63"/>
        <v>570.78143472788986</v>
      </c>
      <c r="H162" s="785">
        <f t="shared" si="63"/>
        <v>257.42725296518057</v>
      </c>
      <c r="I162" s="785">
        <f t="shared" si="63"/>
        <v>1086.2898058807825</v>
      </c>
      <c r="J162" s="369"/>
      <c r="K162" s="828">
        <f t="shared" si="59"/>
        <v>169079</v>
      </c>
      <c r="L162" s="785">
        <v>9</v>
      </c>
      <c r="M162" s="785">
        <f t="shared" si="50"/>
        <v>18786.555555555555</v>
      </c>
      <c r="N162" s="685">
        <v>19640</v>
      </c>
      <c r="O162" s="685"/>
      <c r="P162" s="189" t="s">
        <v>513</v>
      </c>
      <c r="Q162" s="802">
        <v>40723</v>
      </c>
      <c r="R162" s="801"/>
      <c r="S162" s="310">
        <v>9</v>
      </c>
      <c r="T162" s="834">
        <v>17427</v>
      </c>
      <c r="U162" s="8">
        <f t="shared" si="51"/>
        <v>156843</v>
      </c>
      <c r="V162" s="460"/>
      <c r="W162" s="802"/>
      <c r="X162" s="832"/>
      <c r="Y162" s="832"/>
      <c r="Z162" s="8">
        <f t="shared" si="52"/>
        <v>0</v>
      </c>
    </row>
    <row r="163" spans="1:26">
      <c r="A163" s="784">
        <f t="shared" si="60"/>
        <v>146</v>
      </c>
      <c r="B163" s="302" t="s">
        <v>775</v>
      </c>
      <c r="C163" s="864">
        <f t="shared" si="58"/>
        <v>14079</v>
      </c>
      <c r="D163" s="785">
        <f t="shared" si="63"/>
        <v>476.52644826665647</v>
      </c>
      <c r="E163" s="785">
        <f t="shared" si="63"/>
        <v>118.79791007207963</v>
      </c>
      <c r="F163" s="785">
        <f t="shared" si="63"/>
        <v>551.46638190763133</v>
      </c>
      <c r="G163" s="785">
        <f t="shared" si="63"/>
        <v>63.420159414209984</v>
      </c>
      <c r="H163" s="785">
        <f t="shared" si="63"/>
        <v>28.603028107242288</v>
      </c>
      <c r="I163" s="785">
        <f t="shared" si="63"/>
        <v>120.69886732008695</v>
      </c>
      <c r="J163" s="369"/>
      <c r="K163" s="828">
        <f t="shared" si="59"/>
        <v>15439</v>
      </c>
      <c r="L163" s="785">
        <v>1</v>
      </c>
      <c r="M163" s="785">
        <f t="shared" si="50"/>
        <v>15439</v>
      </c>
      <c r="N163" s="685">
        <v>16417</v>
      </c>
      <c r="O163" s="685"/>
      <c r="P163" s="302" t="s">
        <v>404</v>
      </c>
      <c r="Q163" s="802">
        <v>40723</v>
      </c>
      <c r="R163" s="801"/>
      <c r="S163" s="310">
        <f>L163</f>
        <v>1</v>
      </c>
      <c r="T163" s="834">
        <v>14079</v>
      </c>
      <c r="U163" s="8">
        <f t="shared" si="51"/>
        <v>14079</v>
      </c>
      <c r="V163" s="460"/>
      <c r="W163" s="802"/>
      <c r="X163" s="832"/>
      <c r="Y163" s="832"/>
      <c r="Z163" s="8">
        <f t="shared" si="52"/>
        <v>0</v>
      </c>
    </row>
    <row r="164" spans="1:26">
      <c r="A164" s="784">
        <f t="shared" si="60"/>
        <v>147</v>
      </c>
      <c r="B164" s="302" t="s">
        <v>963</v>
      </c>
      <c r="C164" s="864">
        <f t="shared" si="58"/>
        <v>53349</v>
      </c>
      <c r="D164" s="785">
        <f t="shared" si="63"/>
        <v>1429.5793447999695</v>
      </c>
      <c r="E164" s="785">
        <f t="shared" si="63"/>
        <v>356.39373021623891</v>
      </c>
      <c r="F164" s="785">
        <f t="shared" si="63"/>
        <v>1654.399145722894</v>
      </c>
      <c r="G164" s="785">
        <f t="shared" si="63"/>
        <v>190.26047824262994</v>
      </c>
      <c r="H164" s="785">
        <f t="shared" si="63"/>
        <v>85.809084321726857</v>
      </c>
      <c r="I164" s="785">
        <f t="shared" si="63"/>
        <v>362.09660196026084</v>
      </c>
      <c r="J164" s="369"/>
      <c r="K164" s="828">
        <f t="shared" si="59"/>
        <v>57428</v>
      </c>
      <c r="L164" s="785">
        <v>3</v>
      </c>
      <c r="M164" s="785">
        <f t="shared" si="50"/>
        <v>19142.666666666668</v>
      </c>
      <c r="N164" s="685">
        <v>20389</v>
      </c>
      <c r="O164" s="685"/>
      <c r="P164" s="189" t="s">
        <v>606</v>
      </c>
      <c r="Q164" s="802">
        <v>40723</v>
      </c>
      <c r="R164" s="801"/>
      <c r="S164" s="310">
        <v>1.5</v>
      </c>
      <c r="T164" s="834">
        <v>35566</v>
      </c>
      <c r="U164" s="8">
        <f t="shared" si="51"/>
        <v>53349</v>
      </c>
      <c r="V164" s="460"/>
      <c r="W164" s="802"/>
      <c r="X164" s="832"/>
      <c r="Y164" s="832"/>
      <c r="Z164" s="8">
        <f t="shared" si="52"/>
        <v>0</v>
      </c>
    </row>
    <row r="165" spans="1:26">
      <c r="A165" s="784">
        <f t="shared" si="60"/>
        <v>148</v>
      </c>
      <c r="B165" s="302" t="s">
        <v>774</v>
      </c>
      <c r="C165" s="864">
        <f t="shared" si="58"/>
        <v>132027.5</v>
      </c>
      <c r="D165" s="785">
        <f t="shared" si="63"/>
        <v>5241.7909309332208</v>
      </c>
      <c r="E165" s="785">
        <f t="shared" si="63"/>
        <v>1306.7770107928759</v>
      </c>
      <c r="F165" s="785">
        <f t="shared" si="63"/>
        <v>6066.1302009839446</v>
      </c>
      <c r="G165" s="785">
        <f t="shared" si="63"/>
        <v>697.62175355630984</v>
      </c>
      <c r="H165" s="785">
        <f t="shared" si="63"/>
        <v>314.63330917966516</v>
      </c>
      <c r="I165" s="785">
        <f t="shared" si="63"/>
        <v>1327.6875405209564</v>
      </c>
      <c r="J165" s="369"/>
      <c r="K165" s="828">
        <f t="shared" si="59"/>
        <v>146982</v>
      </c>
      <c r="L165" s="785">
        <v>11</v>
      </c>
      <c r="M165" s="785">
        <f t="shared" si="50"/>
        <v>13362</v>
      </c>
      <c r="N165" s="685">
        <v>14129</v>
      </c>
      <c r="O165" s="685"/>
      <c r="P165" s="40" t="s">
        <v>580</v>
      </c>
      <c r="Q165" s="802">
        <v>40723</v>
      </c>
      <c r="R165" s="801"/>
      <c r="S165" s="310">
        <f>L165/2</f>
        <v>5.5</v>
      </c>
      <c r="T165" s="834">
        <v>24005</v>
      </c>
      <c r="U165" s="8">
        <f t="shared" si="51"/>
        <v>132027.5</v>
      </c>
      <c r="V165" s="460"/>
      <c r="W165" s="802"/>
      <c r="X165" s="832"/>
      <c r="Y165" s="832"/>
      <c r="Z165" s="8">
        <f t="shared" si="52"/>
        <v>0</v>
      </c>
    </row>
    <row r="166" spans="1:26">
      <c r="A166" s="784">
        <f t="shared" si="60"/>
        <v>149</v>
      </c>
      <c r="B166" s="302" t="s">
        <v>927</v>
      </c>
      <c r="C166" s="864">
        <f t="shared" si="58"/>
        <v>187382</v>
      </c>
      <c r="D166" s="785">
        <f t="shared" si="63"/>
        <v>12389.687654933068</v>
      </c>
      <c r="E166" s="785">
        <f t="shared" si="63"/>
        <v>3088.7456618740703</v>
      </c>
      <c r="F166" s="785">
        <f t="shared" si="63"/>
        <v>14338.125929598415</v>
      </c>
      <c r="G166" s="785">
        <f t="shared" si="63"/>
        <v>1648.9241447694596</v>
      </c>
      <c r="H166" s="785">
        <f t="shared" si="63"/>
        <v>743.6787307882995</v>
      </c>
      <c r="I166" s="785">
        <f t="shared" si="63"/>
        <v>3138.1705503222606</v>
      </c>
      <c r="J166" s="369"/>
      <c r="K166" s="828">
        <f t="shared" si="59"/>
        <v>222729</v>
      </c>
      <c r="L166" s="785">
        <v>26</v>
      </c>
      <c r="M166" s="785">
        <f t="shared" si="50"/>
        <v>8566.5</v>
      </c>
      <c r="N166" s="685">
        <v>10433</v>
      </c>
      <c r="O166" s="685"/>
      <c r="P166" s="189" t="s">
        <v>658</v>
      </c>
      <c r="Q166" s="802">
        <v>40723</v>
      </c>
      <c r="R166" s="801"/>
      <c r="S166" s="310">
        <f>L166</f>
        <v>26</v>
      </c>
      <c r="T166" s="834">
        <v>7207</v>
      </c>
      <c r="U166" s="8">
        <f t="shared" si="51"/>
        <v>187382</v>
      </c>
      <c r="V166" s="460"/>
      <c r="W166" s="802"/>
      <c r="X166" s="832"/>
      <c r="Y166" s="832"/>
      <c r="Z166" s="8">
        <f t="shared" si="52"/>
        <v>0</v>
      </c>
    </row>
    <row r="167" spans="1:26">
      <c r="A167" s="784">
        <f t="shared" si="60"/>
        <v>150</v>
      </c>
      <c r="B167" s="302" t="s">
        <v>964</v>
      </c>
      <c r="C167" s="864">
        <f t="shared" si="58"/>
        <v>333200</v>
      </c>
      <c r="D167" s="785">
        <f t="shared" si="63"/>
        <v>9530.5289653331292</v>
      </c>
      <c r="E167" s="785">
        <f t="shared" si="63"/>
        <v>2375.9582014415928</v>
      </c>
      <c r="F167" s="785">
        <f t="shared" si="63"/>
        <v>11029.327638152627</v>
      </c>
      <c r="G167" s="785">
        <f t="shared" si="63"/>
        <v>1268.4031882841996</v>
      </c>
      <c r="H167" s="785">
        <f t="shared" si="63"/>
        <v>572.06056214484579</v>
      </c>
      <c r="I167" s="785">
        <f t="shared" si="63"/>
        <v>2413.9773464017389</v>
      </c>
      <c r="J167" s="369"/>
      <c r="K167" s="828">
        <f t="shared" si="59"/>
        <v>360390</v>
      </c>
      <c r="L167" s="785">
        <v>20</v>
      </c>
      <c r="M167" s="785">
        <f t="shared" si="50"/>
        <v>18019.5</v>
      </c>
      <c r="N167" s="685">
        <v>19208</v>
      </c>
      <c r="O167" s="685"/>
      <c r="P167" s="40" t="s">
        <v>618</v>
      </c>
      <c r="Q167" s="802">
        <v>40723</v>
      </c>
      <c r="R167" s="801"/>
      <c r="S167" s="310">
        <v>20</v>
      </c>
      <c r="T167" s="834">
        <v>16660</v>
      </c>
      <c r="U167" s="8">
        <f t="shared" si="51"/>
        <v>333200</v>
      </c>
      <c r="V167" s="460"/>
      <c r="W167" s="802"/>
      <c r="X167" s="832"/>
      <c r="Y167" s="832"/>
      <c r="Z167" s="8">
        <f t="shared" si="52"/>
        <v>0</v>
      </c>
    </row>
    <row r="168" spans="1:26">
      <c r="A168" s="784">
        <f t="shared" si="60"/>
        <v>151</v>
      </c>
      <c r="B168" s="302" t="s">
        <v>965</v>
      </c>
      <c r="C168" s="864">
        <f t="shared" si="58"/>
        <v>1129632</v>
      </c>
      <c r="D168" s="785">
        <f t="shared" ref="D168:I180" si="64">IF($L$182&lt;&gt;0,D$182/$L$182*$L168,0)</f>
        <v>29068.113344266047</v>
      </c>
      <c r="E168" s="785">
        <f t="shared" si="64"/>
        <v>7246.6725143968579</v>
      </c>
      <c r="F168" s="785">
        <f t="shared" si="64"/>
        <v>33639.449296365514</v>
      </c>
      <c r="G168" s="785">
        <f t="shared" si="64"/>
        <v>3868.6297242668088</v>
      </c>
      <c r="H168" s="785">
        <f t="shared" si="64"/>
        <v>1744.7847145417795</v>
      </c>
      <c r="I168" s="785">
        <f t="shared" si="64"/>
        <v>7362.6309065253035</v>
      </c>
      <c r="J168" s="369"/>
      <c r="K168" s="828">
        <f t="shared" si="59"/>
        <v>1212562</v>
      </c>
      <c r="L168" s="785">
        <v>61</v>
      </c>
      <c r="M168" s="785">
        <f t="shared" ref="M168:M180" si="65">IF(L168&lt;&gt;"",K168/L168,"")</f>
        <v>19878.065573770491</v>
      </c>
      <c r="N168" s="685">
        <v>21962</v>
      </c>
      <c r="O168" s="685"/>
      <c r="P168" s="40" t="s">
        <v>614</v>
      </c>
      <c r="Q168" s="802">
        <v>40723</v>
      </c>
      <c r="R168" s="801"/>
      <c r="S168" s="310">
        <v>32</v>
      </c>
      <c r="T168" s="834">
        <v>35301</v>
      </c>
      <c r="U168" s="8">
        <f t="shared" ref="U168:U180" si="66">S168*T168</f>
        <v>1129632</v>
      </c>
      <c r="V168" s="460"/>
      <c r="W168" s="802"/>
      <c r="X168" s="832"/>
      <c r="Y168" s="832"/>
      <c r="Z168" s="8">
        <f t="shared" ref="Z168:Z180" si="67">X168*Y168</f>
        <v>0</v>
      </c>
    </row>
    <row r="169" spans="1:26">
      <c r="A169" s="784">
        <f t="shared" si="60"/>
        <v>152</v>
      </c>
      <c r="B169" s="302" t="s">
        <v>779</v>
      </c>
      <c r="C169" s="864">
        <f t="shared" si="58"/>
        <v>155715</v>
      </c>
      <c r="D169" s="785">
        <f t="shared" si="64"/>
        <v>66713.702757331906</v>
      </c>
      <c r="E169" s="785">
        <f t="shared" si="64"/>
        <v>16631.707410091149</v>
      </c>
      <c r="F169" s="785">
        <f t="shared" si="64"/>
        <v>77205.29346706839</v>
      </c>
      <c r="G169" s="785">
        <f t="shared" si="64"/>
        <v>8878.8223179893976</v>
      </c>
      <c r="H169" s="785">
        <f t="shared" si="64"/>
        <v>4004.4239350139205</v>
      </c>
      <c r="I169" s="785">
        <f t="shared" si="64"/>
        <v>16897.841424812173</v>
      </c>
      <c r="J169" s="369"/>
      <c r="K169" s="828">
        <f t="shared" si="59"/>
        <v>346047</v>
      </c>
      <c r="L169" s="785">
        <v>140</v>
      </c>
      <c r="M169" s="785">
        <f t="shared" si="65"/>
        <v>2471.7642857142855</v>
      </c>
      <c r="N169" s="685">
        <v>3065</v>
      </c>
      <c r="O169" s="685"/>
      <c r="P169" s="189" t="s">
        <v>410</v>
      </c>
      <c r="Q169" s="802">
        <v>40723</v>
      </c>
      <c r="R169" s="801"/>
      <c r="S169" s="310">
        <f>L169/4</f>
        <v>35</v>
      </c>
      <c r="T169" s="263">
        <v>4449</v>
      </c>
      <c r="U169" s="8">
        <f t="shared" si="66"/>
        <v>155715</v>
      </c>
      <c r="V169" s="460"/>
      <c r="W169" s="802"/>
      <c r="X169" s="832"/>
      <c r="Y169" s="832"/>
      <c r="Z169" s="8">
        <f t="shared" si="67"/>
        <v>0</v>
      </c>
    </row>
    <row r="170" spans="1:26">
      <c r="A170" s="784">
        <f t="shared" si="60"/>
        <v>153</v>
      </c>
      <c r="B170" s="302" t="s">
        <v>958</v>
      </c>
      <c r="C170" s="864">
        <f t="shared" si="58"/>
        <v>632800</v>
      </c>
      <c r="D170" s="785">
        <f t="shared" si="64"/>
        <v>19061.057930666258</v>
      </c>
      <c r="E170" s="785">
        <f t="shared" si="64"/>
        <v>4751.9164028831856</v>
      </c>
      <c r="F170" s="785">
        <f t="shared" si="64"/>
        <v>22058.655276305253</v>
      </c>
      <c r="G170" s="785">
        <f t="shared" si="64"/>
        <v>2536.8063765683992</v>
      </c>
      <c r="H170" s="785">
        <f t="shared" si="64"/>
        <v>1144.1211242896916</v>
      </c>
      <c r="I170" s="785">
        <f t="shared" si="64"/>
        <v>4827.9546928034779</v>
      </c>
      <c r="J170" s="369"/>
      <c r="K170" s="828">
        <f t="shared" si="59"/>
        <v>687181</v>
      </c>
      <c r="L170" s="785">
        <v>40</v>
      </c>
      <c r="M170" s="785">
        <f t="shared" si="65"/>
        <v>17179.525000000001</v>
      </c>
      <c r="N170" s="685">
        <v>18185</v>
      </c>
      <c r="O170" s="685"/>
      <c r="P170" s="189" t="s">
        <v>644</v>
      </c>
      <c r="Q170" s="802">
        <v>40723</v>
      </c>
      <c r="R170" s="801"/>
      <c r="S170" s="310">
        <v>20</v>
      </c>
      <c r="T170" s="834">
        <v>31640</v>
      </c>
      <c r="U170" s="8">
        <f t="shared" si="66"/>
        <v>632800</v>
      </c>
      <c r="V170" s="460"/>
      <c r="W170" s="802"/>
      <c r="X170" s="832"/>
      <c r="Y170" s="832"/>
      <c r="Z170" s="8">
        <f t="shared" si="67"/>
        <v>0</v>
      </c>
    </row>
    <row r="171" spans="1:26">
      <c r="A171" s="839">
        <f t="shared" si="60"/>
        <v>154</v>
      </c>
      <c r="B171" s="303" t="s">
        <v>767</v>
      </c>
      <c r="C171" s="864">
        <f t="shared" si="58"/>
        <v>1152240</v>
      </c>
      <c r="D171" s="549">
        <f t="shared" si="64"/>
        <v>45270.012585332363</v>
      </c>
      <c r="E171" s="549">
        <f t="shared" si="64"/>
        <v>11285.801456847565</v>
      </c>
      <c r="F171" s="549">
        <f t="shared" si="64"/>
        <v>52389.306281224977</v>
      </c>
      <c r="G171" s="549">
        <f t="shared" si="64"/>
        <v>6024.9151443499486</v>
      </c>
      <c r="H171" s="549">
        <f t="shared" si="64"/>
        <v>2717.2876701880173</v>
      </c>
      <c r="I171" s="549">
        <f t="shared" si="64"/>
        <v>11466.39239540826</v>
      </c>
      <c r="J171" s="549"/>
      <c r="K171" s="828">
        <f t="shared" si="59"/>
        <v>1281394</v>
      </c>
      <c r="L171" s="549">
        <v>95</v>
      </c>
      <c r="M171" s="549">
        <f t="shared" si="65"/>
        <v>13488.357894736842</v>
      </c>
      <c r="N171" s="685">
        <v>14591</v>
      </c>
      <c r="O171" s="685"/>
      <c r="P171" s="40" t="s">
        <v>580</v>
      </c>
      <c r="Q171" s="802">
        <v>40723</v>
      </c>
      <c r="R171" s="801"/>
      <c r="S171" s="310">
        <v>48</v>
      </c>
      <c r="T171" s="834">
        <v>24005</v>
      </c>
      <c r="U171" s="8">
        <f t="shared" si="66"/>
        <v>1152240</v>
      </c>
      <c r="V171" s="460"/>
      <c r="W171" s="802"/>
      <c r="X171" s="832"/>
      <c r="Y171" s="832"/>
      <c r="Z171" s="8">
        <f t="shared" si="67"/>
        <v>0</v>
      </c>
    </row>
    <row r="172" spans="1:26">
      <c r="A172" s="784">
        <f>IF(B172&lt;&gt;"",A171+1,"")</f>
        <v>155</v>
      </c>
      <c r="B172" s="302" t="s">
        <v>931</v>
      </c>
      <c r="C172" s="25">
        <f t="shared" ref="C172:C176" si="68">U172</f>
        <v>9184000</v>
      </c>
      <c r="D172" s="785">
        <f t="shared" si="64"/>
        <v>953052.89653331297</v>
      </c>
      <c r="E172" s="785">
        <f t="shared" si="64"/>
        <v>237595.82014415925</v>
      </c>
      <c r="F172" s="785">
        <f t="shared" si="64"/>
        <v>1102932.7638152626</v>
      </c>
      <c r="G172" s="785">
        <f t="shared" si="64"/>
        <v>126840.31882841997</v>
      </c>
      <c r="H172" s="785">
        <f t="shared" si="64"/>
        <v>57206.056214484575</v>
      </c>
      <c r="I172" s="785">
        <f t="shared" si="64"/>
        <v>241397.73464017391</v>
      </c>
      <c r="J172" s="369"/>
      <c r="K172" s="828">
        <f t="shared" si="59"/>
        <v>11903026</v>
      </c>
      <c r="L172" s="785">
        <v>2000</v>
      </c>
      <c r="M172" s="785">
        <f t="shared" si="65"/>
        <v>5951.5129999999999</v>
      </c>
      <c r="N172" s="685">
        <v>7229</v>
      </c>
      <c r="O172" s="685"/>
      <c r="P172" s="189" t="s">
        <v>501</v>
      </c>
      <c r="Q172" s="802">
        <v>40723</v>
      </c>
      <c r="R172" s="801"/>
      <c r="S172" s="310">
        <f>L172</f>
        <v>2000</v>
      </c>
      <c r="T172" s="834">
        <v>4592</v>
      </c>
      <c r="U172" s="8">
        <f t="shared" si="66"/>
        <v>9184000</v>
      </c>
      <c r="V172" s="460"/>
      <c r="W172" s="802"/>
      <c r="X172" s="832"/>
      <c r="Y172" s="832"/>
      <c r="Z172" s="8">
        <f t="shared" si="67"/>
        <v>0</v>
      </c>
    </row>
    <row r="173" spans="1:26">
      <c r="A173" s="839">
        <f t="shared" si="60"/>
        <v>156</v>
      </c>
      <c r="B173" s="303" t="s">
        <v>966</v>
      </c>
      <c r="C173" s="25">
        <f t="shared" si="68"/>
        <v>3672765</v>
      </c>
      <c r="D173" s="549">
        <f t="shared" si="64"/>
        <v>145817.09316959689</v>
      </c>
      <c r="E173" s="549">
        <f t="shared" si="64"/>
        <v>36352.160482056366</v>
      </c>
      <c r="F173" s="549">
        <f t="shared" si="64"/>
        <v>168748.71286373519</v>
      </c>
      <c r="G173" s="549">
        <f t="shared" si="64"/>
        <v>19406.568780748254</v>
      </c>
      <c r="H173" s="549">
        <f t="shared" si="64"/>
        <v>8752.5266008161398</v>
      </c>
      <c r="I173" s="549">
        <f t="shared" si="64"/>
        <v>36933.853399946609</v>
      </c>
      <c r="J173" s="549"/>
      <c r="K173" s="828">
        <f t="shared" si="59"/>
        <v>4088776</v>
      </c>
      <c r="L173" s="549">
        <v>306</v>
      </c>
      <c r="M173" s="549">
        <f t="shared" si="65"/>
        <v>13362.013071895424</v>
      </c>
      <c r="N173" s="685">
        <v>14330</v>
      </c>
      <c r="O173" s="685"/>
      <c r="P173" s="40" t="s">
        <v>580</v>
      </c>
      <c r="Q173" s="802">
        <v>40723</v>
      </c>
      <c r="R173" s="801"/>
      <c r="S173" s="310">
        <f>L173/2</f>
        <v>153</v>
      </c>
      <c r="T173" s="834">
        <v>24005</v>
      </c>
      <c r="U173" s="8">
        <f t="shared" si="66"/>
        <v>3672765</v>
      </c>
      <c r="V173" s="460"/>
      <c r="W173" s="802"/>
      <c r="X173" s="832"/>
      <c r="Y173" s="832"/>
      <c r="Z173" s="8">
        <f t="shared" si="67"/>
        <v>0</v>
      </c>
    </row>
    <row r="174" spans="1:26">
      <c r="A174" s="784">
        <f>IF(B174&lt;&gt;"",A173+1,"")</f>
        <v>157</v>
      </c>
      <c r="B174" s="302" t="s">
        <v>853</v>
      </c>
      <c r="C174" s="25">
        <f t="shared" si="68"/>
        <v>2394484</v>
      </c>
      <c r="D174" s="785">
        <f t="shared" si="64"/>
        <v>186321.84127226268</v>
      </c>
      <c r="E174" s="785">
        <f t="shared" si="64"/>
        <v>46449.982838183132</v>
      </c>
      <c r="F174" s="785">
        <f t="shared" si="64"/>
        <v>215623.35532588384</v>
      </c>
      <c r="G174" s="785">
        <f t="shared" si="64"/>
        <v>24797.282330956103</v>
      </c>
      <c r="H174" s="785">
        <f t="shared" si="64"/>
        <v>11183.783989931735</v>
      </c>
      <c r="I174" s="785">
        <f t="shared" si="64"/>
        <v>47193.257122153998</v>
      </c>
      <c r="J174" s="369"/>
      <c r="K174" s="828">
        <f t="shared" si="59"/>
        <v>2926054</v>
      </c>
      <c r="L174" s="785">
        <v>391</v>
      </c>
      <c r="M174" s="785">
        <f t="shared" si="65"/>
        <v>7483.5140664961637</v>
      </c>
      <c r="N174" s="685">
        <v>9760</v>
      </c>
      <c r="O174" s="685"/>
      <c r="P174" s="189" t="s">
        <v>408</v>
      </c>
      <c r="Q174" s="802">
        <v>40723</v>
      </c>
      <c r="R174" s="801"/>
      <c r="S174" s="310">
        <f>L174</f>
        <v>391</v>
      </c>
      <c r="T174" s="834">
        <v>6124</v>
      </c>
      <c r="U174" s="8">
        <f t="shared" si="66"/>
        <v>2394484</v>
      </c>
      <c r="V174" s="460"/>
      <c r="W174" s="802"/>
      <c r="X174" s="832"/>
      <c r="Y174" s="832"/>
      <c r="Z174" s="8">
        <f t="shared" si="67"/>
        <v>0</v>
      </c>
    </row>
    <row r="175" spans="1:26">
      <c r="A175" s="784">
        <f t="shared" si="60"/>
        <v>158</v>
      </c>
      <c r="B175" s="302" t="s">
        <v>846</v>
      </c>
      <c r="C175" s="25">
        <f t="shared" si="68"/>
        <v>1789722</v>
      </c>
      <c r="D175" s="785">
        <f t="shared" si="64"/>
        <v>141528.35513519697</v>
      </c>
      <c r="E175" s="785">
        <f t="shared" si="64"/>
        <v>35282.979291407653</v>
      </c>
      <c r="F175" s="785">
        <f t="shared" si="64"/>
        <v>163785.5154265665</v>
      </c>
      <c r="G175" s="785">
        <f t="shared" si="64"/>
        <v>18835.787346020366</v>
      </c>
      <c r="H175" s="785">
        <f t="shared" si="64"/>
        <v>8495.099347850959</v>
      </c>
      <c r="I175" s="785">
        <f t="shared" si="64"/>
        <v>35847.563594065825</v>
      </c>
      <c r="J175" s="369"/>
      <c r="K175" s="828">
        <f t="shared" si="59"/>
        <v>2193497</v>
      </c>
      <c r="L175" s="785">
        <v>297</v>
      </c>
      <c r="M175" s="785">
        <f t="shared" si="65"/>
        <v>7385.5117845117848</v>
      </c>
      <c r="N175" s="685">
        <v>7500</v>
      </c>
      <c r="O175" s="685"/>
      <c r="P175" s="302" t="s">
        <v>502</v>
      </c>
      <c r="Q175" s="802">
        <v>40723</v>
      </c>
      <c r="R175" s="801"/>
      <c r="S175" s="310">
        <f>L175</f>
        <v>297</v>
      </c>
      <c r="T175" s="834">
        <v>6026</v>
      </c>
      <c r="U175" s="8">
        <f t="shared" si="66"/>
        <v>1789722</v>
      </c>
      <c r="V175" s="460"/>
      <c r="W175" s="802"/>
      <c r="X175" s="832"/>
      <c r="Y175" s="832"/>
      <c r="Z175" s="8">
        <f t="shared" si="67"/>
        <v>0</v>
      </c>
    </row>
    <row r="176" spans="1:26">
      <c r="A176" s="784">
        <f t="shared" si="60"/>
        <v>159</v>
      </c>
      <c r="B176" s="302" t="s">
        <v>968</v>
      </c>
      <c r="C176" s="25">
        <f t="shared" si="68"/>
        <v>608626</v>
      </c>
      <c r="D176" s="785">
        <f t="shared" si="64"/>
        <v>48129.171274932305</v>
      </c>
      <c r="E176" s="785">
        <f t="shared" si="64"/>
        <v>11998.588917280043</v>
      </c>
      <c r="F176" s="785">
        <f t="shared" si="64"/>
        <v>55698.104572670767</v>
      </c>
      <c r="G176" s="785">
        <f t="shared" si="64"/>
        <v>6405.436100835208</v>
      </c>
      <c r="H176" s="785">
        <f t="shared" si="64"/>
        <v>2888.9058388314711</v>
      </c>
      <c r="I176" s="785">
        <f t="shared" si="64"/>
        <v>12190.585599328782</v>
      </c>
      <c r="J176" s="369"/>
      <c r="K176" s="828">
        <f t="shared" si="59"/>
        <v>745937</v>
      </c>
      <c r="L176" s="785">
        <v>101</v>
      </c>
      <c r="M176" s="785">
        <f t="shared" si="65"/>
        <v>7385.5148514851489</v>
      </c>
      <c r="N176" s="685">
        <v>8800</v>
      </c>
      <c r="O176" s="685"/>
      <c r="P176" s="302" t="s">
        <v>502</v>
      </c>
      <c r="Q176" s="802">
        <v>40723</v>
      </c>
      <c r="R176" s="801"/>
      <c r="S176" s="310">
        <f>L176</f>
        <v>101</v>
      </c>
      <c r="T176" s="834">
        <v>6026</v>
      </c>
      <c r="U176" s="8">
        <f t="shared" si="66"/>
        <v>608626</v>
      </c>
      <c r="V176" s="460"/>
      <c r="W176" s="802"/>
      <c r="X176" s="832"/>
      <c r="Y176" s="832"/>
      <c r="Z176" s="8">
        <f t="shared" si="67"/>
        <v>0</v>
      </c>
    </row>
    <row r="177" spans="1:26">
      <c r="A177" s="784">
        <f t="shared" si="60"/>
        <v>160</v>
      </c>
      <c r="B177" s="302" t="s">
        <v>967</v>
      </c>
      <c r="C177" s="25">
        <f t="shared" ref="C177:C180" si="69">U177</f>
        <v>620678</v>
      </c>
      <c r="D177" s="785">
        <f t="shared" si="64"/>
        <v>49082.224171465619</v>
      </c>
      <c r="E177" s="785">
        <f t="shared" si="64"/>
        <v>12236.184737424202</v>
      </c>
      <c r="F177" s="785">
        <f t="shared" si="64"/>
        <v>56801.037336486028</v>
      </c>
      <c r="G177" s="785">
        <f t="shared" si="64"/>
        <v>6532.2764196636281</v>
      </c>
      <c r="H177" s="785">
        <f t="shared" si="64"/>
        <v>2946.1118950459559</v>
      </c>
      <c r="I177" s="785">
        <f t="shared" si="64"/>
        <v>12431.983333968956</v>
      </c>
      <c r="J177" s="369"/>
      <c r="K177" s="828">
        <f t="shared" si="59"/>
        <v>760708</v>
      </c>
      <c r="L177" s="785">
        <v>103</v>
      </c>
      <c r="M177" s="785">
        <f t="shared" si="65"/>
        <v>7385.5145631067962</v>
      </c>
      <c r="N177" s="685">
        <v>7630</v>
      </c>
      <c r="O177" s="685"/>
      <c r="P177" s="302" t="s">
        <v>502</v>
      </c>
      <c r="Q177" s="802">
        <v>40723</v>
      </c>
      <c r="R177" s="801"/>
      <c r="S177" s="310">
        <f>L177</f>
        <v>103</v>
      </c>
      <c r="T177" s="834">
        <v>6026</v>
      </c>
      <c r="U177" s="8">
        <f t="shared" si="66"/>
        <v>620678</v>
      </c>
      <c r="V177" s="460"/>
      <c r="W177" s="802"/>
      <c r="X177" s="832"/>
      <c r="Y177" s="832"/>
      <c r="Z177" s="8">
        <f t="shared" si="67"/>
        <v>0</v>
      </c>
    </row>
    <row r="178" spans="1:26">
      <c r="A178" s="784">
        <f t="shared" si="60"/>
        <v>161</v>
      </c>
      <c r="B178" s="302" t="s">
        <v>843</v>
      </c>
      <c r="C178" s="25">
        <f t="shared" si="69"/>
        <v>1653190</v>
      </c>
      <c r="D178" s="785">
        <f t="shared" si="64"/>
        <v>51941.382861065555</v>
      </c>
      <c r="E178" s="785">
        <f t="shared" si="64"/>
        <v>12948.972197856679</v>
      </c>
      <c r="F178" s="785">
        <f t="shared" si="64"/>
        <v>60109.835627931818</v>
      </c>
      <c r="G178" s="785">
        <f t="shared" si="64"/>
        <v>6912.7973761488884</v>
      </c>
      <c r="H178" s="785">
        <f t="shared" si="64"/>
        <v>3117.7300636894092</v>
      </c>
      <c r="I178" s="785">
        <f t="shared" si="64"/>
        <v>13156.176537889478</v>
      </c>
      <c r="J178" s="369"/>
      <c r="K178" s="828">
        <f t="shared" si="59"/>
        <v>1801377</v>
      </c>
      <c r="L178" s="785">
        <v>109</v>
      </c>
      <c r="M178" s="785">
        <f t="shared" si="65"/>
        <v>16526.394495412846</v>
      </c>
      <c r="N178" s="685">
        <v>18940</v>
      </c>
      <c r="O178" s="685"/>
      <c r="P178" s="40" t="s">
        <v>639</v>
      </c>
      <c r="Q178" s="802">
        <v>40723</v>
      </c>
      <c r="R178" s="801"/>
      <c r="S178" s="310">
        <v>55</v>
      </c>
      <c r="T178" s="834">
        <v>30058</v>
      </c>
      <c r="U178" s="8">
        <f t="shared" si="66"/>
        <v>1653190</v>
      </c>
      <c r="V178" s="460"/>
      <c r="W178" s="802"/>
      <c r="X178" s="832"/>
      <c r="Y178" s="832"/>
      <c r="Z178" s="8">
        <f t="shared" si="67"/>
        <v>0</v>
      </c>
    </row>
    <row r="179" spans="1:26">
      <c r="A179" s="784">
        <f t="shared" si="60"/>
        <v>162</v>
      </c>
      <c r="B179" s="302" t="s">
        <v>969</v>
      </c>
      <c r="C179" s="25">
        <f t="shared" si="69"/>
        <v>2104544</v>
      </c>
      <c r="D179" s="785">
        <f t="shared" si="64"/>
        <v>49558.750619732273</v>
      </c>
      <c r="E179" s="785">
        <f t="shared" si="64"/>
        <v>12354.982647496281</v>
      </c>
      <c r="F179" s="785">
        <f t="shared" si="64"/>
        <v>57352.503718393658</v>
      </c>
      <c r="G179" s="785">
        <f t="shared" si="64"/>
        <v>6595.6965790778386</v>
      </c>
      <c r="H179" s="785">
        <f t="shared" si="64"/>
        <v>2974.714923153198</v>
      </c>
      <c r="I179" s="785">
        <f t="shared" si="64"/>
        <v>12552.682201289042</v>
      </c>
      <c r="J179" s="369"/>
      <c r="K179" s="828">
        <f t="shared" si="59"/>
        <v>2245933</v>
      </c>
      <c r="L179" s="785">
        <v>104</v>
      </c>
      <c r="M179" s="785">
        <f t="shared" si="65"/>
        <v>21595.509615384617</v>
      </c>
      <c r="N179" s="685">
        <v>23100</v>
      </c>
      <c r="O179" s="685"/>
      <c r="P179" s="189" t="s">
        <v>595</v>
      </c>
      <c r="Q179" s="802">
        <v>40723</v>
      </c>
      <c r="R179" s="801"/>
      <c r="S179" s="860">
        <v>104</v>
      </c>
      <c r="T179" s="298">
        <v>20236</v>
      </c>
      <c r="U179" s="8">
        <f t="shared" si="66"/>
        <v>2104544</v>
      </c>
      <c r="V179" s="460"/>
      <c r="W179" s="802"/>
      <c r="X179" s="832"/>
      <c r="Y179" s="832"/>
      <c r="Z179" s="8">
        <f t="shared" si="67"/>
        <v>0</v>
      </c>
    </row>
    <row r="180" spans="1:26">
      <c r="A180" s="784">
        <f t="shared" si="60"/>
        <v>163</v>
      </c>
      <c r="B180" s="302" t="s">
        <v>931</v>
      </c>
      <c r="C180" s="25">
        <f t="shared" si="69"/>
        <v>4688228</v>
      </c>
      <c r="D180" s="785">
        <f t="shared" si="64"/>
        <v>370737.57675145875</v>
      </c>
      <c r="E180" s="785">
        <f t="shared" si="64"/>
        <v>92424.774036077957</v>
      </c>
      <c r="F180" s="785">
        <f t="shared" si="64"/>
        <v>429040.84512413718</v>
      </c>
      <c r="G180" s="785">
        <f t="shared" si="64"/>
        <v>49340.884024255371</v>
      </c>
      <c r="H180" s="785">
        <f t="shared" si="64"/>
        <v>22253.1558674345</v>
      </c>
      <c r="I180" s="785">
        <f t="shared" si="64"/>
        <v>93903.71877502765</v>
      </c>
      <c r="J180" s="369"/>
      <c r="K180" s="828">
        <f t="shared" si="59"/>
        <v>5745929</v>
      </c>
      <c r="L180" s="785">
        <v>778</v>
      </c>
      <c r="M180" s="785">
        <f t="shared" si="65"/>
        <v>7385.5128534704372</v>
      </c>
      <c r="N180" s="685">
        <v>7229</v>
      </c>
      <c r="O180" s="685"/>
      <c r="P180" s="302" t="s">
        <v>502</v>
      </c>
      <c r="Q180" s="802">
        <v>40724</v>
      </c>
      <c r="R180" s="801"/>
      <c r="S180" s="310">
        <f>L180</f>
        <v>778</v>
      </c>
      <c r="T180" s="834">
        <v>6026</v>
      </c>
      <c r="U180" s="8">
        <f t="shared" si="66"/>
        <v>4688228</v>
      </c>
      <c r="V180" s="460"/>
      <c r="W180" s="802"/>
      <c r="X180" s="832"/>
      <c r="Y180" s="832"/>
      <c r="Z180" s="8">
        <f t="shared" si="67"/>
        <v>0</v>
      </c>
    </row>
    <row r="181" spans="1:26" s="806" customFormat="1">
      <c r="A181" s="784"/>
      <c r="B181" s="814"/>
      <c r="C181" s="815"/>
      <c r="D181" s="816"/>
      <c r="E181" s="817"/>
      <c r="F181" s="817"/>
      <c r="G181" s="309"/>
      <c r="H181" s="817"/>
      <c r="I181" s="484"/>
      <c r="J181" s="464"/>
      <c r="K181" s="816"/>
      <c r="L181" s="819"/>
      <c r="M181" s="817"/>
      <c r="N181" s="685"/>
      <c r="O181" s="685"/>
      <c r="P181" s="460"/>
      <c r="Q181" s="802"/>
      <c r="R181" s="801"/>
      <c r="S181" s="868"/>
      <c r="T181" s="834"/>
      <c r="U181" s="25"/>
      <c r="V181" s="460"/>
      <c r="W181" s="802"/>
      <c r="X181" s="834"/>
      <c r="Y181" s="834"/>
      <c r="Z181" s="820"/>
    </row>
    <row r="182" spans="1:26" s="781" customFormat="1">
      <c r="A182" s="786"/>
      <c r="B182" s="787" t="s">
        <v>258</v>
      </c>
      <c r="C182" s="550">
        <f>SUM(C18:C181)</f>
        <v>259568928</v>
      </c>
      <c r="D182" s="550">
        <v>12495000</v>
      </c>
      <c r="E182" s="550">
        <f>$Z$182</f>
        <v>3115000</v>
      </c>
      <c r="F182" s="550">
        <v>14460000</v>
      </c>
      <c r="G182" s="550">
        <v>1662940</v>
      </c>
      <c r="H182" s="550">
        <v>750000</v>
      </c>
      <c r="I182" s="550">
        <v>3164845</v>
      </c>
      <c r="J182" s="461">
        <f>ROUND(SUM(J18:J181),0)</f>
        <v>0</v>
      </c>
      <c r="K182" s="550">
        <f>ROUND(SUM(K18:K181),0)</f>
        <v>295216715</v>
      </c>
      <c r="L182" s="550">
        <f>ROUND(SUM(L18:L181),0)</f>
        <v>26221</v>
      </c>
      <c r="M182" s="550"/>
      <c r="N182" s="795"/>
      <c r="O182" s="795"/>
      <c r="P182" s="807"/>
      <c r="Q182" s="808"/>
      <c r="R182" s="809"/>
      <c r="S182" s="861"/>
      <c r="T182" s="27"/>
      <c r="U182" s="47">
        <f>SUM(U18:U181)</f>
        <v>259568928</v>
      </c>
      <c r="V182" s="807"/>
      <c r="W182" s="808"/>
      <c r="X182" s="821"/>
      <c r="Y182" s="27"/>
      <c r="Z182" s="47">
        <f>SUM(Z18:Z181)</f>
        <v>3115000</v>
      </c>
    </row>
    <row r="183" spans="1:26" s="781" customFormat="1">
      <c r="A183" s="788"/>
      <c r="B183" s="789"/>
      <c r="C183" s="782"/>
      <c r="D183" s="782"/>
      <c r="E183" s="782"/>
      <c r="F183" s="782"/>
      <c r="G183" s="782"/>
      <c r="H183" s="782"/>
      <c r="I183" s="782"/>
      <c r="J183" s="462"/>
      <c r="K183" s="782">
        <v>324946305</v>
      </c>
      <c r="L183" s="782"/>
      <c r="M183" s="782"/>
      <c r="N183" s="795"/>
      <c r="O183" s="795"/>
      <c r="P183" s="463"/>
      <c r="Q183" s="810"/>
      <c r="R183" s="811"/>
      <c r="S183" s="858"/>
      <c r="T183" s="798"/>
      <c r="U183" s="812"/>
      <c r="V183" s="463"/>
      <c r="W183" s="810"/>
      <c r="X183" s="798"/>
      <c r="Y183" s="798"/>
      <c r="Z183" s="822"/>
    </row>
    <row r="184" spans="1:26" s="781" customFormat="1">
      <c r="A184" s="788"/>
      <c r="B184" s="789"/>
      <c r="C184" s="782"/>
      <c r="D184" s="782"/>
      <c r="E184" s="782"/>
      <c r="F184" s="782"/>
      <c r="G184" s="782"/>
      <c r="H184" s="782"/>
      <c r="I184" s="782"/>
      <c r="J184" s="462"/>
      <c r="K184" s="782"/>
      <c r="L184" s="782"/>
      <c r="M184" s="782"/>
      <c r="N184" s="795"/>
      <c r="O184" s="795"/>
      <c r="P184" s="463"/>
      <c r="Q184" s="810"/>
      <c r="R184" s="811"/>
      <c r="S184" s="858"/>
      <c r="T184" s="798"/>
      <c r="U184" s="812"/>
      <c r="V184" s="463"/>
      <c r="W184" s="810"/>
      <c r="X184" s="798"/>
      <c r="Y184" s="798"/>
      <c r="Z184" s="822"/>
    </row>
    <row r="185" spans="1:26" s="781" customFormat="1">
      <c r="A185" s="788"/>
      <c r="B185" s="789"/>
      <c r="C185" s="782"/>
      <c r="D185" s="782"/>
      <c r="E185" s="782"/>
      <c r="F185" s="782"/>
      <c r="G185" s="782"/>
      <c r="H185" s="782"/>
      <c r="I185" s="782"/>
      <c r="J185" s="462"/>
      <c r="K185" s="782">
        <f>K183-K182</f>
        <v>29729590</v>
      </c>
      <c r="L185" s="782"/>
      <c r="M185" s="782"/>
      <c r="N185" s="795"/>
      <c r="O185" s="795"/>
      <c r="P185" s="778"/>
      <c r="Q185" s="810"/>
      <c r="R185" s="811"/>
      <c r="S185" s="858"/>
      <c r="T185" s="798"/>
      <c r="U185" s="822"/>
      <c r="V185" s="463"/>
      <c r="W185" s="810"/>
      <c r="X185" s="798"/>
      <c r="Y185" s="798"/>
      <c r="Z185" s="822"/>
    </row>
    <row r="186" spans="1:26" s="781" customFormat="1">
      <c r="A186" s="788"/>
      <c r="B186" s="789"/>
      <c r="C186" s="782"/>
      <c r="D186" s="782"/>
      <c r="E186" s="782"/>
      <c r="F186" s="782"/>
      <c r="G186" s="782"/>
      <c r="H186" s="782"/>
      <c r="I186" s="782"/>
      <c r="J186" s="462"/>
      <c r="K186" s="782"/>
      <c r="L186" s="782"/>
      <c r="M186" s="782"/>
      <c r="N186" s="795"/>
      <c r="O186" s="795"/>
      <c r="P186" s="778"/>
      <c r="Q186" s="810"/>
      <c r="R186" s="811"/>
      <c r="S186" s="858"/>
      <c r="T186" s="798"/>
      <c r="U186" s="822"/>
      <c r="V186" s="463"/>
      <c r="W186" s="810"/>
      <c r="X186" s="798"/>
      <c r="Y186" s="798"/>
      <c r="Z186" s="822"/>
    </row>
    <row r="187" spans="1:26">
      <c r="P187" s="463"/>
      <c r="Q187" s="810"/>
      <c r="R187" s="811"/>
      <c r="S187" s="858"/>
      <c r="T187" s="798"/>
      <c r="U187" s="812"/>
      <c r="V187" s="463"/>
      <c r="W187" s="810"/>
      <c r="X187" s="798"/>
      <c r="Y187" s="798"/>
      <c r="Z187" s="822"/>
    </row>
    <row r="188" spans="1:26">
      <c r="P188" s="463"/>
      <c r="Q188" s="810"/>
      <c r="R188" s="811"/>
      <c r="S188" s="858"/>
      <c r="T188" s="798"/>
      <c r="U188" s="812"/>
      <c r="V188" s="463"/>
      <c r="W188" s="810"/>
      <c r="X188" s="798"/>
      <c r="Y188" s="798"/>
      <c r="Z188" s="822"/>
    </row>
    <row r="189" spans="1:26">
      <c r="P189" s="463"/>
      <c r="Q189" s="810"/>
      <c r="R189" s="811"/>
      <c r="S189" s="858"/>
      <c r="T189" s="798"/>
      <c r="U189" s="812"/>
      <c r="V189" s="463"/>
      <c r="W189" s="810"/>
      <c r="X189" s="798"/>
      <c r="Y189" s="798"/>
      <c r="Z189" s="822"/>
    </row>
    <row r="190" spans="1:26">
      <c r="P190" s="463"/>
      <c r="Q190" s="810"/>
      <c r="R190" s="811"/>
      <c r="S190" s="858"/>
      <c r="T190" s="798"/>
      <c r="U190" s="812"/>
      <c r="V190" s="463"/>
      <c r="W190" s="810"/>
      <c r="X190" s="798"/>
      <c r="Y190" s="798"/>
      <c r="Z190" s="822"/>
    </row>
    <row r="191" spans="1:26">
      <c r="P191" s="463"/>
      <c r="Q191" s="810"/>
      <c r="R191" s="811"/>
      <c r="S191" s="858"/>
      <c r="T191" s="798"/>
      <c r="U191" s="812"/>
      <c r="V191" s="463"/>
      <c r="W191" s="810"/>
      <c r="X191" s="798"/>
      <c r="Y191" s="798"/>
      <c r="Z191" s="822"/>
    </row>
    <row r="192" spans="1:26" ht="18" customHeight="1">
      <c r="A192" s="588" t="str">
        <f>TH!$A$1</f>
        <v>Đơn vị: CÔNG TY TNHH SX TM KIM DUNG PHÁT</v>
      </c>
      <c r="B192" s="781"/>
      <c r="C192" s="298"/>
      <c r="D192" s="298"/>
      <c r="E192" s="298"/>
      <c r="F192" s="298"/>
      <c r="G192" s="298"/>
      <c r="H192" s="298"/>
      <c r="I192" s="298"/>
      <c r="J192" s="448"/>
      <c r="K192" s="298"/>
      <c r="L192" s="616"/>
      <c r="M192" s="298"/>
      <c r="N192" s="795"/>
      <c r="O192" s="795"/>
      <c r="P192" s="463"/>
      <c r="Q192" s="810"/>
      <c r="R192" s="811"/>
      <c r="S192" s="858"/>
      <c r="T192" s="798"/>
      <c r="U192" s="812"/>
      <c r="V192" s="463"/>
      <c r="W192" s="810"/>
      <c r="X192" s="798"/>
      <c r="Y192" s="798"/>
      <c r="Z192" s="822"/>
    </row>
    <row r="193" spans="1:26" ht="18.75" customHeight="1">
      <c r="A193" s="782" t="s">
        <v>797</v>
      </c>
      <c r="B193" s="782"/>
      <c r="C193" s="782"/>
      <c r="D193" s="782"/>
      <c r="E193" s="782"/>
      <c r="F193" s="782"/>
      <c r="G193" s="782"/>
      <c r="H193" s="782"/>
      <c r="I193" s="782"/>
      <c r="J193" s="449"/>
      <c r="K193" s="782"/>
      <c r="L193" s="782"/>
      <c r="M193" s="782"/>
      <c r="N193" s="795"/>
      <c r="O193" s="795"/>
      <c r="P193" s="463"/>
      <c r="Q193" s="810"/>
      <c r="R193" s="811"/>
      <c r="S193" s="858"/>
      <c r="T193" s="798"/>
      <c r="U193" s="812"/>
      <c r="V193" s="463"/>
      <c r="W193" s="810"/>
      <c r="X193" s="798"/>
      <c r="Y193" s="798"/>
      <c r="Z193" s="822"/>
    </row>
    <row r="194" spans="1:26" ht="12.75" hidden="1" customHeight="1">
      <c r="A194" s="838"/>
      <c r="B194" s="830"/>
      <c r="C194" s="830"/>
      <c r="D194" s="830"/>
      <c r="E194" s="830"/>
      <c r="F194" s="830"/>
      <c r="G194" s="830"/>
      <c r="H194" s="830"/>
      <c r="I194" s="830"/>
      <c r="J194" s="451"/>
      <c r="K194" s="830"/>
      <c r="L194" s="797"/>
      <c r="M194" s="830"/>
      <c r="N194" s="795"/>
      <c r="O194" s="795"/>
      <c r="P194" s="463"/>
      <c r="Q194" s="810"/>
      <c r="R194" s="811"/>
      <c r="S194" s="858"/>
      <c r="T194" s="798"/>
      <c r="U194" s="812"/>
      <c r="V194" s="463"/>
      <c r="W194" s="810"/>
      <c r="X194" s="798"/>
      <c r="Y194" s="798"/>
      <c r="Z194" s="790"/>
    </row>
    <row r="195" spans="1:26" s="457" customFormat="1" ht="30.75" customHeight="1">
      <c r="A195" s="866" t="s">
        <v>35</v>
      </c>
      <c r="B195" s="452" t="s">
        <v>246</v>
      </c>
      <c r="C195" s="453" t="s">
        <v>250</v>
      </c>
      <c r="D195" s="453" t="s">
        <v>810</v>
      </c>
      <c r="E195" s="453" t="s">
        <v>251</v>
      </c>
      <c r="F195" s="453" t="s">
        <v>794</v>
      </c>
      <c r="G195" s="453" t="s">
        <v>252</v>
      </c>
      <c r="H195" s="454" t="s">
        <v>253</v>
      </c>
      <c r="I195" s="453" t="s">
        <v>793</v>
      </c>
      <c r="J195" s="454" t="s">
        <v>254</v>
      </c>
      <c r="K195" s="453" t="s">
        <v>255</v>
      </c>
      <c r="L195" s="455" t="s">
        <v>248</v>
      </c>
      <c r="M195" s="453" t="s">
        <v>256</v>
      </c>
      <c r="N195" s="456"/>
      <c r="O195" s="456"/>
      <c r="P195" s="452" t="s">
        <v>246</v>
      </c>
      <c r="Q195" s="453" t="s">
        <v>240</v>
      </c>
      <c r="R195" s="775"/>
      <c r="S195" s="854" t="s">
        <v>205</v>
      </c>
      <c r="T195" s="453" t="s">
        <v>249</v>
      </c>
      <c r="U195" s="453" t="s">
        <v>257</v>
      </c>
      <c r="V195" s="452" t="s">
        <v>246</v>
      </c>
      <c r="W195" s="453" t="s">
        <v>240</v>
      </c>
      <c r="X195" s="453" t="s">
        <v>205</v>
      </c>
      <c r="Y195" s="453" t="s">
        <v>249</v>
      </c>
      <c r="Z195" s="452" t="s">
        <v>257</v>
      </c>
    </row>
    <row r="196" spans="1:26" ht="13.5" customHeight="1">
      <c r="A196" s="784">
        <f>IF(B196&lt;&gt;"",ROW()-(ROW()-1),"")</f>
        <v>1</v>
      </c>
      <c r="B196" s="302" t="s">
        <v>1009</v>
      </c>
      <c r="C196" s="25">
        <f>U196</f>
        <v>747224</v>
      </c>
      <c r="D196" s="785">
        <f t="shared" ref="D196:I205" si="70">IF($L$350&lt;&gt;0,D$350/$L$350*$L196,0)</f>
        <v>89944.470152707087</v>
      </c>
      <c r="E196" s="785">
        <f t="shared" si="70"/>
        <v>23726.834798704305</v>
      </c>
      <c r="F196" s="785">
        <f t="shared" si="70"/>
        <v>50356.035631652012</v>
      </c>
      <c r="G196" s="785">
        <f t="shared" si="70"/>
        <v>9149.9490976399811</v>
      </c>
      <c r="H196" s="785">
        <f t="shared" si="70"/>
        <v>87266.697516581829</v>
      </c>
      <c r="I196" s="785">
        <f t="shared" si="70"/>
        <v>15133.455961746105</v>
      </c>
      <c r="J196" s="369"/>
      <c r="K196" s="25">
        <f>SUM(C196:I196)+1</f>
        <v>1022802.4431590312</v>
      </c>
      <c r="L196" s="785">
        <v>124</v>
      </c>
      <c r="M196" s="785">
        <f>IF(L196&lt;&gt;"",K196/L196,"")</f>
        <v>8248.4067996696067</v>
      </c>
      <c r="N196" s="685">
        <v>10748</v>
      </c>
      <c r="O196" s="685"/>
      <c r="P196" s="302" t="s">
        <v>502</v>
      </c>
      <c r="Q196" s="800">
        <v>40739</v>
      </c>
      <c r="R196" s="801"/>
      <c r="S196" s="310">
        <f>L196</f>
        <v>124</v>
      </c>
      <c r="T196" s="834">
        <v>6026</v>
      </c>
      <c r="U196" s="25">
        <f t="shared" ref="U196:U197" si="71">ROUND(S196*T196,0)</f>
        <v>747224</v>
      </c>
      <c r="V196" s="458" t="s">
        <v>411</v>
      </c>
      <c r="W196" s="802">
        <v>40725</v>
      </c>
      <c r="X196" s="834">
        <v>50</v>
      </c>
      <c r="Y196" s="823">
        <v>23500</v>
      </c>
      <c r="Z196" s="25">
        <f t="shared" ref="Z196:Z349" si="72">ROUND(X196*Y196,0)</f>
        <v>1175000</v>
      </c>
    </row>
    <row r="197" spans="1:26" ht="13.5" customHeight="1">
      <c r="A197" s="784">
        <f>IF(B197&lt;&gt;"",A196+1,"")</f>
        <v>2</v>
      </c>
      <c r="B197" s="302" t="s">
        <v>1010</v>
      </c>
      <c r="C197" s="25">
        <f t="shared" ref="C197:C243" si="73">U197</f>
        <v>10949708</v>
      </c>
      <c r="D197" s="785">
        <f t="shared" si="70"/>
        <v>937163.35030078678</v>
      </c>
      <c r="E197" s="785">
        <f t="shared" si="70"/>
        <v>247218.31096714485</v>
      </c>
      <c r="F197" s="785">
        <f t="shared" si="70"/>
        <v>524677.40351689036</v>
      </c>
      <c r="G197" s="785">
        <f t="shared" si="70"/>
        <v>95336.56640444239</v>
      </c>
      <c r="H197" s="785">
        <f t="shared" si="70"/>
        <v>909262.68702761072</v>
      </c>
      <c r="I197" s="785">
        <f t="shared" si="70"/>
        <v>157680.84760141908</v>
      </c>
      <c r="J197" s="369"/>
      <c r="K197" s="25">
        <f t="shared" ref="K197:K205" si="74">SUM(C197:I197)+1</f>
        <v>13821048.165818296</v>
      </c>
      <c r="L197" s="785">
        <v>1292</v>
      </c>
      <c r="M197" s="785">
        <f t="shared" ref="M197:M200" si="75">IF(L197&lt;&gt;"",K197/L197,"")</f>
        <v>10697.405701097752</v>
      </c>
      <c r="N197" s="685">
        <v>14010</v>
      </c>
      <c r="O197" s="685"/>
      <c r="P197" s="40" t="s">
        <v>633</v>
      </c>
      <c r="Q197" s="802">
        <v>40739</v>
      </c>
      <c r="R197" s="801"/>
      <c r="S197" s="310">
        <v>487</v>
      </c>
      <c r="T197" s="834">
        <v>22484</v>
      </c>
      <c r="U197" s="25">
        <f t="shared" si="71"/>
        <v>10949708</v>
      </c>
      <c r="V197" s="458" t="s">
        <v>411</v>
      </c>
      <c r="W197" s="802">
        <v>40745</v>
      </c>
      <c r="X197" s="834">
        <v>50</v>
      </c>
      <c r="Y197" s="834">
        <v>24000</v>
      </c>
      <c r="Z197" s="25">
        <f t="shared" si="72"/>
        <v>1200000</v>
      </c>
    </row>
    <row r="198" spans="1:26" ht="13.5" customHeight="1">
      <c r="A198" s="784">
        <f t="shared" ref="A198:A261" si="76">IF(B198&lt;&gt;"",A197+1,"")</f>
        <v>3</v>
      </c>
      <c r="B198" s="302" t="s">
        <v>1011</v>
      </c>
      <c r="C198" s="25">
        <f t="shared" si="73"/>
        <v>428805</v>
      </c>
      <c r="D198" s="785">
        <f t="shared" si="70"/>
        <v>19584.683017121704</v>
      </c>
      <c r="E198" s="785">
        <f t="shared" si="70"/>
        <v>5166.3269319759374</v>
      </c>
      <c r="F198" s="785">
        <f t="shared" si="70"/>
        <v>10964.62066173068</v>
      </c>
      <c r="G198" s="785">
        <f t="shared" si="70"/>
        <v>1992.3276260990283</v>
      </c>
      <c r="H198" s="785">
        <f t="shared" si="70"/>
        <v>19001.619620546044</v>
      </c>
      <c r="I198" s="785">
        <f t="shared" si="70"/>
        <v>3295.1879916705229</v>
      </c>
      <c r="J198" s="369"/>
      <c r="K198" s="25">
        <f t="shared" si="74"/>
        <v>488810.76584914397</v>
      </c>
      <c r="L198" s="785">
        <v>27</v>
      </c>
      <c r="M198" s="785">
        <f t="shared" si="75"/>
        <v>18104.102438857182</v>
      </c>
      <c r="N198" s="685">
        <v>18287</v>
      </c>
      <c r="O198" s="685"/>
      <c r="P198" s="40" t="s">
        <v>651</v>
      </c>
      <c r="Q198" s="802">
        <v>40739</v>
      </c>
      <c r="R198" s="801"/>
      <c r="S198" s="310">
        <v>13</v>
      </c>
      <c r="T198" s="834">
        <v>32985</v>
      </c>
      <c r="U198" s="25">
        <f t="shared" ref="U198:U349" si="77">ROUND(S198*T198,0)</f>
        <v>428805</v>
      </c>
      <c r="V198" s="460" t="s">
        <v>363</v>
      </c>
      <c r="W198" s="802">
        <v>40725</v>
      </c>
      <c r="X198" s="834">
        <v>28</v>
      </c>
      <c r="Y198" s="832">
        <v>42000</v>
      </c>
      <c r="Z198" s="25">
        <f t="shared" si="72"/>
        <v>1176000</v>
      </c>
    </row>
    <row r="199" spans="1:26" ht="13.5" customHeight="1">
      <c r="A199" s="784">
        <f t="shared" si="76"/>
        <v>4</v>
      </c>
      <c r="B199" s="302" t="s">
        <v>1012</v>
      </c>
      <c r="C199" s="25">
        <f t="shared" si="73"/>
        <v>266940</v>
      </c>
      <c r="D199" s="785">
        <f t="shared" si="70"/>
        <v>87043.035631652019</v>
      </c>
      <c r="E199" s="785">
        <f t="shared" si="70"/>
        <v>22961.453031004166</v>
      </c>
      <c r="F199" s="785">
        <f t="shared" si="70"/>
        <v>48731.647385469689</v>
      </c>
      <c r="G199" s="785">
        <f t="shared" si="70"/>
        <v>8854.789449329015</v>
      </c>
      <c r="H199" s="785">
        <f t="shared" si="70"/>
        <v>84451.642757982423</v>
      </c>
      <c r="I199" s="785">
        <f t="shared" si="70"/>
        <v>14645.279962980101</v>
      </c>
      <c r="J199" s="369"/>
      <c r="K199" s="25">
        <f t="shared" si="74"/>
        <v>533628.84821841738</v>
      </c>
      <c r="L199" s="785">
        <v>120</v>
      </c>
      <c r="M199" s="785">
        <f t="shared" si="75"/>
        <v>4446.9070684868111</v>
      </c>
      <c r="N199" s="685">
        <v>4504</v>
      </c>
      <c r="O199" s="685"/>
      <c r="P199" s="189" t="s">
        <v>410</v>
      </c>
      <c r="Q199" s="802">
        <v>40739</v>
      </c>
      <c r="R199" s="801"/>
      <c r="S199" s="310">
        <f>L199/2</f>
        <v>60</v>
      </c>
      <c r="T199" s="834">
        <f>4449</f>
        <v>4449</v>
      </c>
      <c r="U199" s="25">
        <f t="shared" si="77"/>
        <v>266940</v>
      </c>
      <c r="V199" s="460" t="s">
        <v>498</v>
      </c>
      <c r="W199" s="802">
        <v>40725</v>
      </c>
      <c r="X199" s="834">
        <v>6413.5</v>
      </c>
      <c r="Y199" s="834">
        <v>220</v>
      </c>
      <c r="Z199" s="25">
        <f t="shared" si="72"/>
        <v>1410970</v>
      </c>
    </row>
    <row r="200" spans="1:26" ht="13.5" customHeight="1">
      <c r="A200" s="784">
        <f>IF(B200&lt;&gt;"",A199+1,"")</f>
        <v>5</v>
      </c>
      <c r="B200" s="302" t="s">
        <v>1013</v>
      </c>
      <c r="C200" s="25">
        <f t="shared" si="73"/>
        <v>266940</v>
      </c>
      <c r="D200" s="785">
        <f t="shared" si="70"/>
        <v>435215.17815826007</v>
      </c>
      <c r="E200" s="785">
        <f t="shared" si="70"/>
        <v>114807.26515502084</v>
      </c>
      <c r="F200" s="785">
        <f t="shared" si="70"/>
        <v>243658.23692734845</v>
      </c>
      <c r="G200" s="785">
        <f t="shared" si="70"/>
        <v>44273.947246645075</v>
      </c>
      <c r="H200" s="785">
        <f t="shared" si="70"/>
        <v>422258.21378991212</v>
      </c>
      <c r="I200" s="785">
        <f t="shared" si="70"/>
        <v>73226.399814900506</v>
      </c>
      <c r="J200" s="369"/>
      <c r="K200" s="25">
        <f t="shared" si="74"/>
        <v>1600380.2410920872</v>
      </c>
      <c r="L200" s="785">
        <v>600</v>
      </c>
      <c r="M200" s="785">
        <f t="shared" si="75"/>
        <v>2667.3004018201455</v>
      </c>
      <c r="N200" s="685">
        <v>2538</v>
      </c>
      <c r="O200" s="685"/>
      <c r="P200" s="189" t="s">
        <v>410</v>
      </c>
      <c r="Q200" s="802">
        <v>40739</v>
      </c>
      <c r="R200" s="801"/>
      <c r="S200" s="310">
        <f>L200/10</f>
        <v>60</v>
      </c>
      <c r="T200" s="834">
        <f>4449</f>
        <v>4449</v>
      </c>
      <c r="U200" s="25">
        <f t="shared" si="77"/>
        <v>266940</v>
      </c>
      <c r="V200" s="460"/>
      <c r="W200" s="802"/>
      <c r="X200" s="834"/>
      <c r="Y200" s="834"/>
      <c r="Z200" s="25">
        <f t="shared" si="72"/>
        <v>0</v>
      </c>
    </row>
    <row r="201" spans="1:26" ht="13.5" customHeight="1">
      <c r="A201" s="784">
        <f t="shared" si="76"/>
        <v>6</v>
      </c>
      <c r="B201" s="302" t="s">
        <v>1014</v>
      </c>
      <c r="C201" s="25">
        <f t="shared" si="73"/>
        <v>78064</v>
      </c>
      <c r="D201" s="785">
        <f t="shared" si="70"/>
        <v>123310.96714484037</v>
      </c>
      <c r="E201" s="785">
        <f t="shared" si="70"/>
        <v>32528.725127255901</v>
      </c>
      <c r="F201" s="785">
        <f t="shared" si="70"/>
        <v>69036.500462748721</v>
      </c>
      <c r="G201" s="785">
        <f t="shared" si="70"/>
        <v>12544.285053216105</v>
      </c>
      <c r="H201" s="785">
        <f t="shared" si="70"/>
        <v>119639.8272404751</v>
      </c>
      <c r="I201" s="785">
        <f t="shared" si="70"/>
        <v>20747.479947555144</v>
      </c>
      <c r="J201" s="369"/>
      <c r="K201" s="25">
        <f t="shared" si="74"/>
        <v>455872.78497609135</v>
      </c>
      <c r="L201" s="785">
        <v>170</v>
      </c>
      <c r="M201" s="785">
        <f t="shared" ref="M201:M227" si="78">IF(L201&lt;&gt;"",K201/L201,"")</f>
        <v>2681.6046175064198</v>
      </c>
      <c r="N201" s="685">
        <v>2333</v>
      </c>
      <c r="O201" s="685"/>
      <c r="P201" s="302" t="s">
        <v>501</v>
      </c>
      <c r="Q201" s="802">
        <v>40739</v>
      </c>
      <c r="R201" s="801"/>
      <c r="S201" s="310">
        <f>L201/10</f>
        <v>17</v>
      </c>
      <c r="T201" s="834">
        <v>4592</v>
      </c>
      <c r="U201" s="25">
        <f t="shared" si="77"/>
        <v>78064</v>
      </c>
      <c r="V201" s="460"/>
      <c r="W201" s="802"/>
      <c r="X201" s="834"/>
      <c r="Y201" s="834"/>
      <c r="Z201" s="25"/>
    </row>
    <row r="202" spans="1:26" ht="13.5" customHeight="1">
      <c r="A202" s="784">
        <f t="shared" si="76"/>
        <v>7</v>
      </c>
      <c r="B202" s="302" t="s">
        <v>1015</v>
      </c>
      <c r="C202" s="25">
        <f t="shared" si="73"/>
        <v>444897</v>
      </c>
      <c r="D202" s="785">
        <f t="shared" si="70"/>
        <v>72535.863026376683</v>
      </c>
      <c r="E202" s="785">
        <f t="shared" si="70"/>
        <v>19134.544192503472</v>
      </c>
      <c r="F202" s="785">
        <f t="shared" si="70"/>
        <v>40609.706154558073</v>
      </c>
      <c r="G202" s="785">
        <f t="shared" si="70"/>
        <v>7378.9912077741792</v>
      </c>
      <c r="H202" s="785">
        <f t="shared" si="70"/>
        <v>70376.368964985348</v>
      </c>
      <c r="I202" s="785">
        <f t="shared" si="70"/>
        <v>12204.399969150085</v>
      </c>
      <c r="J202" s="369"/>
      <c r="K202" s="25">
        <f t="shared" si="74"/>
        <v>667137.87351534783</v>
      </c>
      <c r="L202" s="785">
        <v>100</v>
      </c>
      <c r="M202" s="785">
        <f t="shared" si="78"/>
        <v>6671.3787351534784</v>
      </c>
      <c r="N202" s="685">
        <v>6577</v>
      </c>
      <c r="O202" s="685"/>
      <c r="P202" s="189" t="s">
        <v>410</v>
      </c>
      <c r="Q202" s="802">
        <v>40739</v>
      </c>
      <c r="R202" s="801"/>
      <c r="S202" s="310">
        <f>L202</f>
        <v>100</v>
      </c>
      <c r="T202" s="834">
        <v>4448.97</v>
      </c>
      <c r="U202" s="25">
        <f t="shared" si="77"/>
        <v>444897</v>
      </c>
      <c r="V202" s="460"/>
      <c r="W202" s="802"/>
      <c r="X202" s="834"/>
      <c r="Y202" s="834"/>
      <c r="Z202" s="25"/>
    </row>
    <row r="203" spans="1:26" ht="13.5" customHeight="1">
      <c r="A203" s="784">
        <f t="shared" si="76"/>
        <v>8</v>
      </c>
      <c r="B203" s="302" t="s">
        <v>1015</v>
      </c>
      <c r="C203" s="25">
        <f t="shared" si="73"/>
        <v>26694</v>
      </c>
      <c r="D203" s="785">
        <f t="shared" si="70"/>
        <v>43521.51781582601</v>
      </c>
      <c r="E203" s="785">
        <f t="shared" si="70"/>
        <v>11480.726515502083</v>
      </c>
      <c r="F203" s="785">
        <f t="shared" si="70"/>
        <v>24365.823692734844</v>
      </c>
      <c r="G203" s="785">
        <f t="shared" si="70"/>
        <v>4427.3947246645075</v>
      </c>
      <c r="H203" s="785">
        <f t="shared" si="70"/>
        <v>42225.821378991212</v>
      </c>
      <c r="I203" s="785">
        <f t="shared" si="70"/>
        <v>7322.6399814900506</v>
      </c>
      <c r="J203" s="369"/>
      <c r="K203" s="25">
        <f t="shared" si="74"/>
        <v>160038.92410920869</v>
      </c>
      <c r="L203" s="785">
        <v>60</v>
      </c>
      <c r="M203" s="785">
        <f t="shared" si="78"/>
        <v>2667.3154018201449</v>
      </c>
      <c r="N203" s="685">
        <v>2711</v>
      </c>
      <c r="O203" s="685"/>
      <c r="P203" s="189" t="s">
        <v>410</v>
      </c>
      <c r="Q203" s="802">
        <v>40739</v>
      </c>
      <c r="R203" s="801"/>
      <c r="S203" s="310">
        <f>L203/10</f>
        <v>6</v>
      </c>
      <c r="T203" s="834">
        <f>4449</f>
        <v>4449</v>
      </c>
      <c r="U203" s="25">
        <f t="shared" si="77"/>
        <v>26694</v>
      </c>
      <c r="V203" s="460"/>
      <c r="W203" s="802"/>
      <c r="X203" s="834"/>
      <c r="Y203" s="834"/>
      <c r="Z203" s="25"/>
    </row>
    <row r="204" spans="1:26" ht="13.5" customHeight="1">
      <c r="A204" s="784">
        <f t="shared" si="76"/>
        <v>9</v>
      </c>
      <c r="B204" s="302" t="s">
        <v>764</v>
      </c>
      <c r="C204" s="25">
        <f t="shared" si="73"/>
        <v>71925</v>
      </c>
      <c r="D204" s="785">
        <f t="shared" si="70"/>
        <v>4352.151781582601</v>
      </c>
      <c r="E204" s="785">
        <f t="shared" si="70"/>
        <v>1148.0726515502083</v>
      </c>
      <c r="F204" s="785">
        <f t="shared" si="70"/>
        <v>2436.5823692734843</v>
      </c>
      <c r="G204" s="785">
        <f t="shared" si="70"/>
        <v>442.73947246645071</v>
      </c>
      <c r="H204" s="785">
        <f t="shared" si="70"/>
        <v>4222.5821378991213</v>
      </c>
      <c r="I204" s="785">
        <f t="shared" si="70"/>
        <v>732.26399814900503</v>
      </c>
      <c r="J204" s="369"/>
      <c r="K204" s="25">
        <f t="shared" si="74"/>
        <v>85260.39241092086</v>
      </c>
      <c r="L204" s="785">
        <v>6</v>
      </c>
      <c r="M204" s="785">
        <f t="shared" si="78"/>
        <v>14210.065401820144</v>
      </c>
      <c r="N204" s="685">
        <v>17330</v>
      </c>
      <c r="O204" s="685"/>
      <c r="P204" s="40" t="s">
        <v>649</v>
      </c>
      <c r="Q204" s="802">
        <v>40741</v>
      </c>
      <c r="R204" s="801"/>
      <c r="S204" s="310">
        <f>L204/2</f>
        <v>3</v>
      </c>
      <c r="T204" s="834">
        <v>23975</v>
      </c>
      <c r="U204" s="25">
        <f t="shared" si="77"/>
        <v>71925</v>
      </c>
      <c r="V204" s="460"/>
      <c r="W204" s="802"/>
      <c r="X204" s="834"/>
      <c r="Y204" s="834"/>
      <c r="Z204" s="25"/>
    </row>
    <row r="205" spans="1:26" ht="13.5" customHeight="1">
      <c r="A205" s="784">
        <f t="shared" si="76"/>
        <v>10</v>
      </c>
      <c r="B205" s="302" t="s">
        <v>765</v>
      </c>
      <c r="C205" s="25">
        <f t="shared" si="73"/>
        <v>799900</v>
      </c>
      <c r="D205" s="785">
        <f t="shared" si="70"/>
        <v>36267.931513188341</v>
      </c>
      <c r="E205" s="785">
        <f t="shared" si="70"/>
        <v>9567.272096251736</v>
      </c>
      <c r="F205" s="785">
        <f t="shared" si="70"/>
        <v>20304.853077279036</v>
      </c>
      <c r="G205" s="785">
        <f t="shared" si="70"/>
        <v>3689.4956038870896</v>
      </c>
      <c r="H205" s="785">
        <f t="shared" si="70"/>
        <v>35188.184482492674</v>
      </c>
      <c r="I205" s="785">
        <f t="shared" si="70"/>
        <v>6102.1999845750424</v>
      </c>
      <c r="J205" s="369"/>
      <c r="K205" s="25">
        <f t="shared" si="74"/>
        <v>911020.93675767386</v>
      </c>
      <c r="L205" s="785">
        <v>50</v>
      </c>
      <c r="M205" s="785">
        <f t="shared" si="78"/>
        <v>18220.418735153478</v>
      </c>
      <c r="N205" s="685">
        <v>19814</v>
      </c>
      <c r="O205" s="685"/>
      <c r="P205" s="189" t="s">
        <v>422</v>
      </c>
      <c r="Q205" s="802">
        <v>40741</v>
      </c>
      <c r="R205" s="801"/>
      <c r="S205" s="310">
        <v>50</v>
      </c>
      <c r="T205" s="834">
        <v>15998</v>
      </c>
      <c r="U205" s="25">
        <f t="shared" si="77"/>
        <v>799900</v>
      </c>
      <c r="V205" s="460"/>
      <c r="W205" s="802"/>
      <c r="X205" s="834"/>
      <c r="Y205" s="834"/>
      <c r="Z205" s="25"/>
    </row>
    <row r="206" spans="1:26" ht="13.5" customHeight="1">
      <c r="A206" s="784">
        <f t="shared" si="76"/>
        <v>11</v>
      </c>
      <c r="B206" s="302" t="s">
        <v>1016</v>
      </c>
      <c r="C206" s="25">
        <f t="shared" si="73"/>
        <v>2166626</v>
      </c>
      <c r="D206" s="785">
        <f t="shared" ref="D206:I215" si="79">IF($L$350&lt;&gt;0,D$350/$L$350*$L206,0)</f>
        <v>87768.39426191579</v>
      </c>
      <c r="E206" s="785">
        <f t="shared" si="79"/>
        <v>23152.7984729292</v>
      </c>
      <c r="F206" s="785">
        <f t="shared" si="79"/>
        <v>49137.74444701527</v>
      </c>
      <c r="G206" s="785">
        <f t="shared" si="79"/>
        <v>8928.579361406757</v>
      </c>
      <c r="H206" s="785">
        <f t="shared" si="79"/>
        <v>85155.406447632282</v>
      </c>
      <c r="I206" s="785">
        <f t="shared" si="79"/>
        <v>14767.323962671602</v>
      </c>
      <c r="J206" s="369"/>
      <c r="K206" s="25">
        <f t="shared" ref="K206:K260" si="80">SUM(C206:I206)</f>
        <v>2435536.2469535707</v>
      </c>
      <c r="L206" s="785">
        <v>121</v>
      </c>
      <c r="M206" s="785">
        <f t="shared" si="78"/>
        <v>20128.398735153478</v>
      </c>
      <c r="N206" s="685">
        <v>21646</v>
      </c>
      <c r="O206" s="685"/>
      <c r="P206" s="40" t="s">
        <v>613</v>
      </c>
      <c r="Q206" s="802">
        <v>40741</v>
      </c>
      <c r="R206" s="801"/>
      <c r="S206" s="310">
        <f>L206/2</f>
        <v>60.5</v>
      </c>
      <c r="T206" s="834">
        <v>35812</v>
      </c>
      <c r="U206" s="25">
        <f t="shared" si="77"/>
        <v>2166626</v>
      </c>
      <c r="V206" s="460"/>
      <c r="W206" s="802"/>
      <c r="X206" s="834"/>
      <c r="Y206" s="834"/>
      <c r="Z206" s="25"/>
    </row>
    <row r="207" spans="1:26" ht="13.5" customHeight="1">
      <c r="A207" s="784">
        <f t="shared" si="76"/>
        <v>12</v>
      </c>
      <c r="B207" s="302" t="s">
        <v>766</v>
      </c>
      <c r="C207" s="25">
        <f t="shared" si="73"/>
        <v>1342356</v>
      </c>
      <c r="D207" s="785">
        <f t="shared" si="79"/>
        <v>60204.766311892643</v>
      </c>
      <c r="E207" s="785">
        <f t="shared" si="79"/>
        <v>15881.671679777883</v>
      </c>
      <c r="F207" s="785">
        <f t="shared" si="79"/>
        <v>33706.056108283199</v>
      </c>
      <c r="G207" s="785">
        <f t="shared" si="79"/>
        <v>6124.5627024525684</v>
      </c>
      <c r="H207" s="785">
        <f t="shared" si="79"/>
        <v>58412.386240937842</v>
      </c>
      <c r="I207" s="785">
        <f t="shared" si="79"/>
        <v>10129.65197439457</v>
      </c>
      <c r="J207" s="369"/>
      <c r="K207" s="25">
        <f t="shared" si="80"/>
        <v>1526815.0950177384</v>
      </c>
      <c r="L207" s="785">
        <v>83</v>
      </c>
      <c r="M207" s="785">
        <f t="shared" si="78"/>
        <v>18395.362590575161</v>
      </c>
      <c r="N207" s="685">
        <v>19248</v>
      </c>
      <c r="O207" s="685"/>
      <c r="P207" s="189" t="s">
        <v>511</v>
      </c>
      <c r="Q207" s="802">
        <v>40741</v>
      </c>
      <c r="R207" s="801"/>
      <c r="S207" s="310">
        <v>83</v>
      </c>
      <c r="T207" s="834">
        <v>16172.963855421687</v>
      </c>
      <c r="U207" s="25">
        <f t="shared" si="77"/>
        <v>1342356</v>
      </c>
      <c r="V207" s="460"/>
      <c r="W207" s="802"/>
      <c r="X207" s="834"/>
      <c r="Y207" s="834"/>
      <c r="Z207" s="25"/>
    </row>
    <row r="208" spans="1:26" ht="13.5" customHeight="1">
      <c r="A208" s="784">
        <f t="shared" si="76"/>
        <v>13</v>
      </c>
      <c r="B208" s="302" t="s">
        <v>767</v>
      </c>
      <c r="C208" s="25">
        <f t="shared" si="73"/>
        <v>8087</v>
      </c>
      <c r="D208" s="785">
        <f t="shared" si="79"/>
        <v>725.35863026376683</v>
      </c>
      <c r="E208" s="785">
        <f t="shared" si="79"/>
        <v>191.34544192503472</v>
      </c>
      <c r="F208" s="785">
        <f t="shared" si="79"/>
        <v>406.09706154558074</v>
      </c>
      <c r="G208" s="785">
        <f t="shared" si="79"/>
        <v>73.789912077741789</v>
      </c>
      <c r="H208" s="785">
        <f t="shared" si="79"/>
        <v>703.76368964985352</v>
      </c>
      <c r="I208" s="785">
        <f t="shared" si="79"/>
        <v>122.04399969150084</v>
      </c>
      <c r="J208" s="369"/>
      <c r="K208" s="25">
        <f t="shared" si="80"/>
        <v>10309.398735153478</v>
      </c>
      <c r="L208" s="785">
        <v>1</v>
      </c>
      <c r="M208" s="785">
        <f t="shared" si="78"/>
        <v>10309.398735153478</v>
      </c>
      <c r="N208" s="685">
        <v>14591</v>
      </c>
      <c r="O208" s="685"/>
      <c r="P208" s="189" t="s">
        <v>511</v>
      </c>
      <c r="Q208" s="802">
        <v>40741</v>
      </c>
      <c r="R208" s="801"/>
      <c r="S208" s="310">
        <f t="shared" ref="S208:S214" si="81">L208/2</f>
        <v>0.5</v>
      </c>
      <c r="T208" s="834">
        <v>16173</v>
      </c>
      <c r="U208" s="25">
        <f t="shared" si="77"/>
        <v>8087</v>
      </c>
      <c r="V208" s="460"/>
      <c r="W208" s="802"/>
      <c r="X208" s="834"/>
      <c r="Y208" s="834"/>
      <c r="Z208" s="25"/>
    </row>
    <row r="209" spans="1:26" ht="13.5" customHeight="1">
      <c r="A209" s="784">
        <f t="shared" si="76"/>
        <v>14</v>
      </c>
      <c r="B209" s="302" t="s">
        <v>1017</v>
      </c>
      <c r="C209" s="25">
        <f t="shared" si="73"/>
        <v>1432480</v>
      </c>
      <c r="D209" s="785">
        <f t="shared" si="79"/>
        <v>58028.690421101346</v>
      </c>
      <c r="E209" s="785">
        <f t="shared" si="79"/>
        <v>15307.635354002778</v>
      </c>
      <c r="F209" s="785">
        <f t="shared" si="79"/>
        <v>32487.76492364646</v>
      </c>
      <c r="G209" s="785">
        <f t="shared" si="79"/>
        <v>5903.1929662193434</v>
      </c>
      <c r="H209" s="785">
        <f t="shared" si="79"/>
        <v>56301.09517198828</v>
      </c>
      <c r="I209" s="785">
        <f t="shared" si="79"/>
        <v>9763.5199753200668</v>
      </c>
      <c r="J209" s="369"/>
      <c r="K209" s="25">
        <f t="shared" si="80"/>
        <v>1610271.8988122779</v>
      </c>
      <c r="L209" s="785">
        <v>80</v>
      </c>
      <c r="M209" s="785">
        <f t="shared" si="78"/>
        <v>20128.398735153474</v>
      </c>
      <c r="N209" s="685">
        <v>20979</v>
      </c>
      <c r="O209" s="685"/>
      <c r="P209" s="40" t="s">
        <v>613</v>
      </c>
      <c r="Q209" s="802">
        <v>40741</v>
      </c>
      <c r="R209" s="801"/>
      <c r="S209" s="310">
        <f t="shared" si="81"/>
        <v>40</v>
      </c>
      <c r="T209" s="834">
        <v>35812</v>
      </c>
      <c r="U209" s="25">
        <f t="shared" si="77"/>
        <v>1432480</v>
      </c>
      <c r="V209" s="460"/>
      <c r="W209" s="802"/>
      <c r="X209" s="834"/>
      <c r="Y209" s="834"/>
      <c r="Z209" s="25"/>
    </row>
    <row r="210" spans="1:26" ht="13.5" customHeight="1">
      <c r="A210" s="784">
        <f t="shared" si="76"/>
        <v>15</v>
      </c>
      <c r="B210" s="302" t="s">
        <v>1018</v>
      </c>
      <c r="C210" s="25">
        <f t="shared" si="73"/>
        <v>2307162</v>
      </c>
      <c r="D210" s="785">
        <f t="shared" si="79"/>
        <v>113155.94632114762</v>
      </c>
      <c r="E210" s="785">
        <f t="shared" si="79"/>
        <v>29849.888940305416</v>
      </c>
      <c r="F210" s="785">
        <f t="shared" si="79"/>
        <v>63351.141601110598</v>
      </c>
      <c r="G210" s="785">
        <f t="shared" si="79"/>
        <v>11511.226284127719</v>
      </c>
      <c r="H210" s="785">
        <f t="shared" si="79"/>
        <v>109787.13558537715</v>
      </c>
      <c r="I210" s="785">
        <f t="shared" si="79"/>
        <v>19038.863951874133</v>
      </c>
      <c r="J210" s="369"/>
      <c r="K210" s="25">
        <f t="shared" si="80"/>
        <v>2653856.2026839424</v>
      </c>
      <c r="L210" s="785">
        <v>156</v>
      </c>
      <c r="M210" s="785">
        <f t="shared" si="78"/>
        <v>17011.898735153478</v>
      </c>
      <c r="N210" s="685">
        <v>18287</v>
      </c>
      <c r="O210" s="685"/>
      <c r="P210" s="189" t="s">
        <v>588</v>
      </c>
      <c r="Q210" s="802">
        <v>40741</v>
      </c>
      <c r="R210" s="801"/>
      <c r="S210" s="310">
        <f t="shared" si="81"/>
        <v>78</v>
      </c>
      <c r="T210" s="834">
        <v>29579</v>
      </c>
      <c r="U210" s="25">
        <f t="shared" si="77"/>
        <v>2307162</v>
      </c>
      <c r="V210" s="460"/>
      <c r="W210" s="802"/>
      <c r="X210" s="834"/>
      <c r="Y210" s="834"/>
      <c r="Z210" s="25"/>
    </row>
    <row r="211" spans="1:26" ht="13.5" customHeight="1">
      <c r="A211" s="784">
        <f>IF(B211&lt;&gt;"",A210+1,"")</f>
        <v>16</v>
      </c>
      <c r="B211" s="302" t="s">
        <v>1019</v>
      </c>
      <c r="C211" s="25">
        <f t="shared" si="73"/>
        <v>3233915</v>
      </c>
      <c r="D211" s="785">
        <f t="shared" si="79"/>
        <v>442468.76446089777</v>
      </c>
      <c r="E211" s="785">
        <f t="shared" si="79"/>
        <v>116720.71957427118</v>
      </c>
      <c r="F211" s="785">
        <f t="shared" si="79"/>
        <v>247719.20754280424</v>
      </c>
      <c r="G211" s="785">
        <f t="shared" si="79"/>
        <v>45011.846367422491</v>
      </c>
      <c r="H211" s="785">
        <f t="shared" si="79"/>
        <v>429295.85068641067</v>
      </c>
      <c r="I211" s="785">
        <f t="shared" si="79"/>
        <v>74446.839811815516</v>
      </c>
      <c r="J211" s="369"/>
      <c r="K211" s="25">
        <f t="shared" si="80"/>
        <v>4589578.2284436226</v>
      </c>
      <c r="L211" s="785">
        <v>610</v>
      </c>
      <c r="M211" s="785">
        <f t="shared" si="78"/>
        <v>7523.8987351534797</v>
      </c>
      <c r="N211" s="685">
        <v>9338</v>
      </c>
      <c r="O211" s="685"/>
      <c r="P211" s="189" t="s">
        <v>542</v>
      </c>
      <c r="Q211" s="802">
        <v>40741</v>
      </c>
      <c r="R211" s="801"/>
      <c r="S211" s="310">
        <f t="shared" si="81"/>
        <v>305</v>
      </c>
      <c r="T211" s="298">
        <v>10603</v>
      </c>
      <c r="U211" s="25">
        <f t="shared" si="77"/>
        <v>3233915</v>
      </c>
      <c r="V211" s="460"/>
      <c r="W211" s="802"/>
      <c r="X211" s="834"/>
      <c r="Y211" s="834"/>
      <c r="Z211" s="25"/>
    </row>
    <row r="212" spans="1:26" ht="13.5" customHeight="1">
      <c r="A212" s="784">
        <f t="shared" si="76"/>
        <v>17</v>
      </c>
      <c r="B212" s="302" t="s">
        <v>1020</v>
      </c>
      <c r="C212" s="25">
        <f t="shared" si="73"/>
        <v>848208</v>
      </c>
      <c r="D212" s="785">
        <f t="shared" si="79"/>
        <v>118958.81536325776</v>
      </c>
      <c r="E212" s="785">
        <f t="shared" si="79"/>
        <v>31380.652475705694</v>
      </c>
      <c r="F212" s="785">
        <f t="shared" si="79"/>
        <v>66599.918093475237</v>
      </c>
      <c r="G212" s="785">
        <f t="shared" si="79"/>
        <v>12101.545580749653</v>
      </c>
      <c r="H212" s="785">
        <f t="shared" si="79"/>
        <v>115417.24510257598</v>
      </c>
      <c r="I212" s="785">
        <f t="shared" si="79"/>
        <v>20015.215949406138</v>
      </c>
      <c r="J212" s="369"/>
      <c r="K212" s="25">
        <f t="shared" si="80"/>
        <v>1212681.3925651705</v>
      </c>
      <c r="L212" s="785">
        <v>164</v>
      </c>
      <c r="M212" s="785">
        <f t="shared" si="78"/>
        <v>7394.3987351534788</v>
      </c>
      <c r="N212" s="685">
        <v>7868</v>
      </c>
      <c r="O212" s="685"/>
      <c r="P212" s="189" t="s">
        <v>601</v>
      </c>
      <c r="Q212" s="802">
        <v>40744</v>
      </c>
      <c r="R212" s="801"/>
      <c r="S212" s="310">
        <f t="shared" si="81"/>
        <v>82</v>
      </c>
      <c r="T212" s="834">
        <v>10344</v>
      </c>
      <c r="U212" s="25">
        <f t="shared" si="77"/>
        <v>848208</v>
      </c>
      <c r="V212" s="460"/>
      <c r="W212" s="802"/>
      <c r="X212" s="834"/>
      <c r="Y212" s="834"/>
      <c r="Z212" s="25"/>
    </row>
    <row r="213" spans="1:26" ht="13.5" customHeight="1">
      <c r="A213" s="784">
        <f t="shared" si="76"/>
        <v>18</v>
      </c>
      <c r="B213" s="302" t="s">
        <v>1021</v>
      </c>
      <c r="C213" s="25">
        <f t="shared" si="73"/>
        <v>5172</v>
      </c>
      <c r="D213" s="785">
        <f t="shared" si="79"/>
        <v>725.35863026376683</v>
      </c>
      <c r="E213" s="785">
        <f t="shared" si="79"/>
        <v>191.34544192503472</v>
      </c>
      <c r="F213" s="785">
        <f t="shared" si="79"/>
        <v>406.09706154558074</v>
      </c>
      <c r="G213" s="785">
        <f t="shared" si="79"/>
        <v>73.789912077741789</v>
      </c>
      <c r="H213" s="785">
        <f t="shared" si="79"/>
        <v>703.76368964985352</v>
      </c>
      <c r="I213" s="785">
        <f t="shared" si="79"/>
        <v>122.04399969150084</v>
      </c>
      <c r="J213" s="369"/>
      <c r="K213" s="25">
        <f t="shared" si="80"/>
        <v>7394.3987351534788</v>
      </c>
      <c r="L213" s="785">
        <v>1</v>
      </c>
      <c r="M213" s="785">
        <f t="shared" si="78"/>
        <v>7394.3987351534788</v>
      </c>
      <c r="N213" s="685">
        <v>8450</v>
      </c>
      <c r="O213" s="685"/>
      <c r="P213" s="189" t="s">
        <v>601</v>
      </c>
      <c r="Q213" s="802">
        <v>40744</v>
      </c>
      <c r="R213" s="801"/>
      <c r="S213" s="310">
        <f t="shared" si="81"/>
        <v>0.5</v>
      </c>
      <c r="T213" s="834">
        <v>10344</v>
      </c>
      <c r="U213" s="25">
        <f t="shared" si="77"/>
        <v>5172</v>
      </c>
      <c r="V213" s="460"/>
      <c r="W213" s="802"/>
      <c r="X213" s="834"/>
      <c r="Y213" s="834"/>
      <c r="Z213" s="25"/>
    </row>
    <row r="214" spans="1:26" ht="13.5" customHeight="1">
      <c r="A214" s="784">
        <f t="shared" si="76"/>
        <v>19</v>
      </c>
      <c r="B214" s="302" t="s">
        <v>1022</v>
      </c>
      <c r="C214" s="25">
        <f t="shared" si="73"/>
        <v>2225</v>
      </c>
      <c r="D214" s="785">
        <f t="shared" si="79"/>
        <v>725.35863026376683</v>
      </c>
      <c r="E214" s="785">
        <f t="shared" si="79"/>
        <v>191.34544192503472</v>
      </c>
      <c r="F214" s="785">
        <f t="shared" si="79"/>
        <v>406.09706154558074</v>
      </c>
      <c r="G214" s="785">
        <f t="shared" si="79"/>
        <v>73.789912077741789</v>
      </c>
      <c r="H214" s="785">
        <f t="shared" si="79"/>
        <v>703.76368964985352</v>
      </c>
      <c r="I214" s="785">
        <f t="shared" si="79"/>
        <v>122.04399969150084</v>
      </c>
      <c r="J214" s="369"/>
      <c r="K214" s="25">
        <f t="shared" si="80"/>
        <v>4447.3987351534788</v>
      </c>
      <c r="L214" s="785">
        <v>1</v>
      </c>
      <c r="M214" s="785">
        <f t="shared" si="78"/>
        <v>4447.3987351534788</v>
      </c>
      <c r="N214" s="685">
        <v>4751</v>
      </c>
      <c r="O214" s="685"/>
      <c r="P214" s="189" t="s">
        <v>410</v>
      </c>
      <c r="Q214" s="802">
        <v>40744</v>
      </c>
      <c r="R214" s="801"/>
      <c r="S214" s="310">
        <f t="shared" si="81"/>
        <v>0.5</v>
      </c>
      <c r="T214" s="834">
        <f>4449</f>
        <v>4449</v>
      </c>
      <c r="U214" s="25">
        <f t="shared" si="77"/>
        <v>2225</v>
      </c>
      <c r="V214" s="460"/>
      <c r="W214" s="802"/>
      <c r="X214" s="834"/>
      <c r="Y214" s="834"/>
      <c r="Z214" s="25"/>
    </row>
    <row r="215" spans="1:26" ht="13.5" customHeight="1">
      <c r="A215" s="784">
        <f t="shared" si="76"/>
        <v>20</v>
      </c>
      <c r="B215" s="302" t="s">
        <v>1023</v>
      </c>
      <c r="C215" s="25">
        <f t="shared" si="73"/>
        <v>4449</v>
      </c>
      <c r="D215" s="785">
        <f t="shared" si="79"/>
        <v>725.35863026376683</v>
      </c>
      <c r="E215" s="785">
        <f t="shared" si="79"/>
        <v>191.34544192503472</v>
      </c>
      <c r="F215" s="785">
        <f t="shared" si="79"/>
        <v>406.09706154558074</v>
      </c>
      <c r="G215" s="785">
        <f t="shared" si="79"/>
        <v>73.789912077741789</v>
      </c>
      <c r="H215" s="785">
        <f t="shared" si="79"/>
        <v>703.76368964985352</v>
      </c>
      <c r="I215" s="785">
        <f t="shared" si="79"/>
        <v>122.04399969150084</v>
      </c>
      <c r="J215" s="369"/>
      <c r="K215" s="25">
        <f t="shared" si="80"/>
        <v>6671.3987351534788</v>
      </c>
      <c r="L215" s="785">
        <v>1</v>
      </c>
      <c r="M215" s="785">
        <f t="shared" si="78"/>
        <v>6671.3987351534788</v>
      </c>
      <c r="N215" s="685">
        <v>6560</v>
      </c>
      <c r="O215" s="685"/>
      <c r="P215" s="189" t="s">
        <v>410</v>
      </c>
      <c r="Q215" s="802">
        <v>40744</v>
      </c>
      <c r="R215" s="801"/>
      <c r="S215" s="310">
        <f>L215</f>
        <v>1</v>
      </c>
      <c r="T215" s="834">
        <f>4449</f>
        <v>4449</v>
      </c>
      <c r="U215" s="25">
        <f t="shared" si="77"/>
        <v>4449</v>
      </c>
      <c r="V215" s="460"/>
      <c r="W215" s="802"/>
      <c r="X215" s="834"/>
      <c r="Y215" s="834"/>
      <c r="Z215" s="25"/>
    </row>
    <row r="216" spans="1:26" ht="13.5" customHeight="1">
      <c r="A216" s="784">
        <f t="shared" si="76"/>
        <v>21</v>
      </c>
      <c r="B216" s="302" t="s">
        <v>1024</v>
      </c>
      <c r="C216" s="25">
        <f t="shared" si="73"/>
        <v>33741</v>
      </c>
      <c r="D216" s="785">
        <f t="shared" ref="D216:I225" si="82">IF($L$350&lt;&gt;0,D$350/$L$350*$L216,0)</f>
        <v>4352.151781582601</v>
      </c>
      <c r="E216" s="785">
        <f t="shared" si="82"/>
        <v>1148.0726515502083</v>
      </c>
      <c r="F216" s="785">
        <f t="shared" si="82"/>
        <v>2436.5823692734843</v>
      </c>
      <c r="G216" s="785">
        <f t="shared" si="82"/>
        <v>442.73947246645071</v>
      </c>
      <c r="H216" s="785">
        <f t="shared" si="82"/>
        <v>4222.5821378991213</v>
      </c>
      <c r="I216" s="785">
        <f t="shared" si="82"/>
        <v>732.26399814900503</v>
      </c>
      <c r="J216" s="369"/>
      <c r="K216" s="25">
        <f t="shared" si="80"/>
        <v>47075.392410920875</v>
      </c>
      <c r="L216" s="785">
        <v>6</v>
      </c>
      <c r="M216" s="785">
        <f t="shared" si="78"/>
        <v>7845.8987351534788</v>
      </c>
      <c r="N216" s="685">
        <v>9594</v>
      </c>
      <c r="O216" s="685"/>
      <c r="P216" s="189" t="s">
        <v>575</v>
      </c>
      <c r="Q216" s="802">
        <v>40744</v>
      </c>
      <c r="R216" s="801"/>
      <c r="S216" s="310">
        <v>3</v>
      </c>
      <c r="T216" s="834">
        <v>11247</v>
      </c>
      <c r="U216" s="25">
        <f t="shared" si="77"/>
        <v>33741</v>
      </c>
      <c r="V216" s="460"/>
      <c r="W216" s="802"/>
      <c r="X216" s="834"/>
      <c r="Y216" s="834"/>
      <c r="Z216" s="25"/>
    </row>
    <row r="217" spans="1:26" ht="13.5" customHeight="1">
      <c r="A217" s="784">
        <f t="shared" si="76"/>
        <v>22</v>
      </c>
      <c r="B217" s="302" t="s">
        <v>1025</v>
      </c>
      <c r="C217" s="25">
        <f t="shared" si="73"/>
        <v>4449</v>
      </c>
      <c r="D217" s="785">
        <f t="shared" si="82"/>
        <v>725.35863026376683</v>
      </c>
      <c r="E217" s="785">
        <f t="shared" si="82"/>
        <v>191.34544192503472</v>
      </c>
      <c r="F217" s="785">
        <f t="shared" si="82"/>
        <v>406.09706154558074</v>
      </c>
      <c r="G217" s="785">
        <f t="shared" si="82"/>
        <v>73.789912077741789</v>
      </c>
      <c r="H217" s="785">
        <f t="shared" si="82"/>
        <v>703.76368964985352</v>
      </c>
      <c r="I217" s="785">
        <f t="shared" si="82"/>
        <v>122.04399969150084</v>
      </c>
      <c r="J217" s="369"/>
      <c r="K217" s="25">
        <f t="shared" si="80"/>
        <v>6671.3987351534788</v>
      </c>
      <c r="L217" s="785">
        <v>1</v>
      </c>
      <c r="M217" s="785">
        <f t="shared" si="78"/>
        <v>6671.3987351534788</v>
      </c>
      <c r="N217" s="685">
        <v>7094</v>
      </c>
      <c r="O217" s="685"/>
      <c r="P217" s="189" t="s">
        <v>410</v>
      </c>
      <c r="Q217" s="802">
        <v>40744</v>
      </c>
      <c r="R217" s="801"/>
      <c r="S217" s="310">
        <f>L217</f>
        <v>1</v>
      </c>
      <c r="T217" s="834">
        <f>4449</f>
        <v>4449</v>
      </c>
      <c r="U217" s="25">
        <f t="shared" si="77"/>
        <v>4449</v>
      </c>
      <c r="V217" s="460"/>
      <c r="W217" s="802"/>
      <c r="X217" s="834"/>
      <c r="Y217" s="834"/>
      <c r="Z217" s="25"/>
    </row>
    <row r="218" spans="1:26" ht="13.5" customHeight="1">
      <c r="A218" s="784">
        <f t="shared" si="76"/>
        <v>23</v>
      </c>
      <c r="B218" s="302" t="s">
        <v>768</v>
      </c>
      <c r="C218" s="25">
        <f t="shared" si="73"/>
        <v>18078</v>
      </c>
      <c r="D218" s="785">
        <f t="shared" si="82"/>
        <v>2176.0758907913005</v>
      </c>
      <c r="E218" s="785">
        <f t="shared" si="82"/>
        <v>574.03632577510416</v>
      </c>
      <c r="F218" s="785">
        <f t="shared" si="82"/>
        <v>1218.2911846367422</v>
      </c>
      <c r="G218" s="785">
        <f t="shared" si="82"/>
        <v>221.36973623322535</v>
      </c>
      <c r="H218" s="785">
        <f t="shared" si="82"/>
        <v>2111.2910689495607</v>
      </c>
      <c r="I218" s="785">
        <f t="shared" si="82"/>
        <v>366.13199907450252</v>
      </c>
      <c r="J218" s="369"/>
      <c r="K218" s="25">
        <f t="shared" si="80"/>
        <v>24745.196205460437</v>
      </c>
      <c r="L218" s="785">
        <v>3</v>
      </c>
      <c r="M218" s="785">
        <f t="shared" si="78"/>
        <v>8248.3987351534797</v>
      </c>
      <c r="N218" s="685">
        <v>9263</v>
      </c>
      <c r="O218" s="685"/>
      <c r="P218" s="302" t="s">
        <v>502</v>
      </c>
      <c r="Q218" s="802">
        <v>40744</v>
      </c>
      <c r="R218" s="801"/>
      <c r="S218" s="310">
        <f>L218</f>
        <v>3</v>
      </c>
      <c r="T218" s="834">
        <v>6026</v>
      </c>
      <c r="U218" s="25">
        <f t="shared" si="77"/>
        <v>18078</v>
      </c>
      <c r="V218" s="460"/>
      <c r="W218" s="802"/>
      <c r="X218" s="834"/>
      <c r="Y218" s="834"/>
      <c r="Z218" s="25"/>
    </row>
    <row r="219" spans="1:26" ht="13.5" customHeight="1">
      <c r="A219" s="784">
        <f t="shared" si="76"/>
        <v>24</v>
      </c>
      <c r="B219" s="302" t="s">
        <v>769</v>
      </c>
      <c r="C219" s="25">
        <f t="shared" si="73"/>
        <v>78540</v>
      </c>
      <c r="D219" s="785">
        <f t="shared" si="82"/>
        <v>8704.3035631652019</v>
      </c>
      <c r="E219" s="785">
        <f t="shared" si="82"/>
        <v>2296.1453031004166</v>
      </c>
      <c r="F219" s="785">
        <f t="shared" si="82"/>
        <v>4873.1647385469687</v>
      </c>
      <c r="G219" s="785">
        <f t="shared" si="82"/>
        <v>885.47894493290141</v>
      </c>
      <c r="H219" s="785">
        <f t="shared" si="82"/>
        <v>8445.1642757982427</v>
      </c>
      <c r="I219" s="785">
        <f t="shared" si="82"/>
        <v>1464.5279962980101</v>
      </c>
      <c r="J219" s="369"/>
      <c r="K219" s="25">
        <f t="shared" si="80"/>
        <v>105208.78482184175</v>
      </c>
      <c r="L219" s="785">
        <v>12</v>
      </c>
      <c r="M219" s="785">
        <f t="shared" si="78"/>
        <v>8767.3987351534797</v>
      </c>
      <c r="N219" s="685">
        <v>10595</v>
      </c>
      <c r="O219" s="685"/>
      <c r="P219" s="40" t="s">
        <v>625</v>
      </c>
      <c r="Q219" s="802">
        <v>40744</v>
      </c>
      <c r="R219" s="801"/>
      <c r="S219" s="310">
        <f>L219/2</f>
        <v>6</v>
      </c>
      <c r="T219" s="260">
        <v>13090</v>
      </c>
      <c r="U219" s="25">
        <f t="shared" si="77"/>
        <v>78540</v>
      </c>
      <c r="V219" s="460"/>
      <c r="W219" s="802"/>
      <c r="X219" s="834"/>
      <c r="Y219" s="834"/>
      <c r="Z219" s="25"/>
    </row>
    <row r="220" spans="1:26" ht="13.5" customHeight="1">
      <c r="A220" s="784">
        <f t="shared" si="76"/>
        <v>25</v>
      </c>
      <c r="B220" s="302" t="s">
        <v>770</v>
      </c>
      <c r="C220" s="25">
        <f t="shared" si="73"/>
        <v>40757</v>
      </c>
      <c r="D220" s="785">
        <f t="shared" si="82"/>
        <v>3626.7931513188341</v>
      </c>
      <c r="E220" s="785">
        <f t="shared" si="82"/>
        <v>956.7272096251736</v>
      </c>
      <c r="F220" s="785">
        <f t="shared" si="82"/>
        <v>2030.4853077279038</v>
      </c>
      <c r="G220" s="785">
        <f t="shared" si="82"/>
        <v>368.94956038870896</v>
      </c>
      <c r="H220" s="785">
        <f t="shared" si="82"/>
        <v>3518.8184482492675</v>
      </c>
      <c r="I220" s="785">
        <f t="shared" si="82"/>
        <v>610.21999845750418</v>
      </c>
      <c r="J220" s="369"/>
      <c r="K220" s="25">
        <f t="shared" si="80"/>
        <v>51868.9936757674</v>
      </c>
      <c r="L220" s="785">
        <v>5</v>
      </c>
      <c r="M220" s="785">
        <f t="shared" si="78"/>
        <v>10373.798735153479</v>
      </c>
      <c r="N220" s="685">
        <v>11321</v>
      </c>
      <c r="O220" s="685"/>
      <c r="P220" s="40" t="s">
        <v>624</v>
      </c>
      <c r="Q220" s="802">
        <v>40745</v>
      </c>
      <c r="R220" s="801"/>
      <c r="S220" s="310">
        <f>L220/2</f>
        <v>2.5</v>
      </c>
      <c r="T220" s="834">
        <v>16302.8</v>
      </c>
      <c r="U220" s="25">
        <f t="shared" si="77"/>
        <v>40757</v>
      </c>
      <c r="V220" s="460"/>
      <c r="W220" s="802"/>
      <c r="X220" s="834"/>
      <c r="Y220" s="834"/>
      <c r="Z220" s="25"/>
    </row>
    <row r="221" spans="1:26" ht="13.5" customHeight="1">
      <c r="A221" s="784">
        <f t="shared" si="76"/>
        <v>26</v>
      </c>
      <c r="B221" s="302" t="s">
        <v>771</v>
      </c>
      <c r="C221" s="25">
        <f t="shared" si="73"/>
        <v>8152</v>
      </c>
      <c r="D221" s="785">
        <f t="shared" si="82"/>
        <v>725.35863026376683</v>
      </c>
      <c r="E221" s="785">
        <f t="shared" si="82"/>
        <v>191.34544192503472</v>
      </c>
      <c r="F221" s="785">
        <f t="shared" si="82"/>
        <v>406.09706154558074</v>
      </c>
      <c r="G221" s="785">
        <f t="shared" si="82"/>
        <v>73.789912077741789</v>
      </c>
      <c r="H221" s="785">
        <f t="shared" si="82"/>
        <v>703.76368964985352</v>
      </c>
      <c r="I221" s="785">
        <f t="shared" si="82"/>
        <v>122.04399969150084</v>
      </c>
      <c r="J221" s="369"/>
      <c r="K221" s="25">
        <f t="shared" si="80"/>
        <v>10374.398735153478</v>
      </c>
      <c r="L221" s="785">
        <v>1</v>
      </c>
      <c r="M221" s="785">
        <f t="shared" si="78"/>
        <v>10374.398735153478</v>
      </c>
      <c r="N221" s="685">
        <v>10253</v>
      </c>
      <c r="O221" s="685"/>
      <c r="P221" s="40" t="s">
        <v>624</v>
      </c>
      <c r="Q221" s="802">
        <v>40745</v>
      </c>
      <c r="R221" s="801"/>
      <c r="S221" s="310">
        <f>L221/2</f>
        <v>0.5</v>
      </c>
      <c r="T221" s="834">
        <v>16303</v>
      </c>
      <c r="U221" s="25">
        <f t="shared" si="77"/>
        <v>8152</v>
      </c>
      <c r="V221" s="460"/>
      <c r="W221" s="802"/>
      <c r="X221" s="834"/>
      <c r="Y221" s="834"/>
      <c r="Z221" s="25"/>
    </row>
    <row r="222" spans="1:26" ht="13.5" customHeight="1">
      <c r="A222" s="784">
        <f t="shared" si="76"/>
        <v>27</v>
      </c>
      <c r="B222" s="302" t="s">
        <v>772</v>
      </c>
      <c r="C222" s="25">
        <f t="shared" si="73"/>
        <v>8087</v>
      </c>
      <c r="D222" s="785">
        <f t="shared" si="82"/>
        <v>725.35863026376683</v>
      </c>
      <c r="E222" s="785">
        <f t="shared" si="82"/>
        <v>191.34544192503472</v>
      </c>
      <c r="F222" s="785">
        <f t="shared" si="82"/>
        <v>406.09706154558074</v>
      </c>
      <c r="G222" s="785">
        <f t="shared" si="82"/>
        <v>73.789912077741789</v>
      </c>
      <c r="H222" s="785">
        <f t="shared" si="82"/>
        <v>703.76368964985352</v>
      </c>
      <c r="I222" s="785">
        <f t="shared" si="82"/>
        <v>122.04399969150084</v>
      </c>
      <c r="J222" s="369"/>
      <c r="K222" s="25">
        <f t="shared" si="80"/>
        <v>10309.398735153478</v>
      </c>
      <c r="L222" s="785">
        <v>1</v>
      </c>
      <c r="M222" s="785">
        <f t="shared" si="78"/>
        <v>10309.398735153478</v>
      </c>
      <c r="N222" s="685">
        <v>12564</v>
      </c>
      <c r="O222" s="685"/>
      <c r="P222" s="189" t="s">
        <v>511</v>
      </c>
      <c r="Q222" s="802">
        <v>40745</v>
      </c>
      <c r="R222" s="801"/>
      <c r="S222" s="310">
        <f>L222/2</f>
        <v>0.5</v>
      </c>
      <c r="T222" s="834">
        <v>16173</v>
      </c>
      <c r="U222" s="25">
        <f t="shared" si="77"/>
        <v>8087</v>
      </c>
      <c r="V222" s="460"/>
      <c r="W222" s="802"/>
      <c r="X222" s="834"/>
      <c r="Y222" s="834"/>
      <c r="Z222" s="25"/>
    </row>
    <row r="223" spans="1:26" ht="13.5" customHeight="1">
      <c r="A223" s="784">
        <f t="shared" si="76"/>
        <v>28</v>
      </c>
      <c r="B223" s="302" t="s">
        <v>1026</v>
      </c>
      <c r="C223" s="25">
        <f t="shared" si="73"/>
        <v>215154</v>
      </c>
      <c r="D223" s="785">
        <f t="shared" si="82"/>
        <v>13056.455344747803</v>
      </c>
      <c r="E223" s="785">
        <f t="shared" si="82"/>
        <v>3444.217954650625</v>
      </c>
      <c r="F223" s="785">
        <f t="shared" si="82"/>
        <v>7309.7471078204535</v>
      </c>
      <c r="G223" s="785">
        <f t="shared" si="82"/>
        <v>1328.2184173993521</v>
      </c>
      <c r="H223" s="785">
        <f t="shared" si="82"/>
        <v>12667.746413697363</v>
      </c>
      <c r="I223" s="785">
        <f t="shared" si="82"/>
        <v>2196.791994447015</v>
      </c>
      <c r="J223" s="369"/>
      <c r="K223" s="25">
        <f t="shared" si="80"/>
        <v>255157.17723276262</v>
      </c>
      <c r="L223" s="785">
        <v>18</v>
      </c>
      <c r="M223" s="785">
        <f t="shared" si="78"/>
        <v>14175.39873515348</v>
      </c>
      <c r="N223" s="685">
        <v>14438</v>
      </c>
      <c r="O223" s="685"/>
      <c r="P223" s="40" t="s">
        <v>645</v>
      </c>
      <c r="Q223" s="802">
        <v>40745</v>
      </c>
      <c r="R223" s="801"/>
      <c r="S223" s="310">
        <v>9</v>
      </c>
      <c r="T223" s="834">
        <v>23906</v>
      </c>
      <c r="U223" s="25">
        <f t="shared" si="77"/>
        <v>215154</v>
      </c>
      <c r="V223" s="460"/>
      <c r="W223" s="802"/>
      <c r="X223" s="834"/>
      <c r="Y223" s="834"/>
      <c r="Z223" s="25"/>
    </row>
    <row r="224" spans="1:26" ht="13.5" customHeight="1">
      <c r="A224" s="784">
        <f t="shared" si="76"/>
        <v>29</v>
      </c>
      <c r="B224" s="302" t="s">
        <v>773</v>
      </c>
      <c r="C224" s="25">
        <f t="shared" si="73"/>
        <v>1892898</v>
      </c>
      <c r="D224" s="785">
        <f t="shared" si="82"/>
        <v>120409.53262378529</v>
      </c>
      <c r="E224" s="785">
        <f t="shared" si="82"/>
        <v>31763.343359555765</v>
      </c>
      <c r="F224" s="785">
        <f t="shared" si="82"/>
        <v>67412.112216566398</v>
      </c>
      <c r="G224" s="785">
        <f t="shared" si="82"/>
        <v>12249.125404905137</v>
      </c>
      <c r="H224" s="785">
        <f t="shared" si="82"/>
        <v>116824.77248187568</v>
      </c>
      <c r="I224" s="785">
        <f t="shared" si="82"/>
        <v>20259.30394878914</v>
      </c>
      <c r="J224" s="369"/>
      <c r="K224" s="25">
        <f t="shared" si="80"/>
        <v>2261816.1900354773</v>
      </c>
      <c r="L224" s="785">
        <v>166</v>
      </c>
      <c r="M224" s="785">
        <f t="shared" si="78"/>
        <v>13625.398735153478</v>
      </c>
      <c r="N224" s="685">
        <v>15618</v>
      </c>
      <c r="O224" s="685"/>
      <c r="P224" s="189" t="s">
        <v>516</v>
      </c>
      <c r="Q224" s="802">
        <v>40745</v>
      </c>
      <c r="R224" s="801"/>
      <c r="S224" s="310">
        <f>L224/2</f>
        <v>83</v>
      </c>
      <c r="T224" s="260">
        <v>22806</v>
      </c>
      <c r="U224" s="25">
        <f t="shared" si="77"/>
        <v>1892898</v>
      </c>
      <c r="V224" s="460"/>
      <c r="W224" s="802"/>
      <c r="X224" s="834"/>
      <c r="Y224" s="834"/>
      <c r="Z224" s="25"/>
    </row>
    <row r="225" spans="1:26" ht="13.5" customHeight="1">
      <c r="A225" s="784">
        <f t="shared" si="76"/>
        <v>30</v>
      </c>
      <c r="B225" s="302" t="s">
        <v>1027</v>
      </c>
      <c r="C225" s="25">
        <f t="shared" si="73"/>
        <v>14280</v>
      </c>
      <c r="D225" s="785">
        <f t="shared" si="82"/>
        <v>1450.7172605275337</v>
      </c>
      <c r="E225" s="785">
        <f t="shared" si="82"/>
        <v>382.69088385006944</v>
      </c>
      <c r="F225" s="785">
        <f t="shared" si="82"/>
        <v>812.19412309116149</v>
      </c>
      <c r="G225" s="785">
        <f t="shared" si="82"/>
        <v>147.57982415548358</v>
      </c>
      <c r="H225" s="785">
        <f t="shared" si="82"/>
        <v>1407.527379299707</v>
      </c>
      <c r="I225" s="785">
        <f t="shared" si="82"/>
        <v>244.08799938300169</v>
      </c>
      <c r="J225" s="369"/>
      <c r="K225" s="25">
        <f t="shared" si="80"/>
        <v>18724.797470306956</v>
      </c>
      <c r="L225" s="785">
        <v>2</v>
      </c>
      <c r="M225" s="785">
        <f t="shared" si="78"/>
        <v>9362.3987351534779</v>
      </c>
      <c r="N225" s="685">
        <v>10026</v>
      </c>
      <c r="O225" s="685"/>
      <c r="P225" s="40" t="s">
        <v>627</v>
      </c>
      <c r="Q225" s="802">
        <v>40745</v>
      </c>
      <c r="R225" s="801"/>
      <c r="S225" s="310">
        <f>L225/2</f>
        <v>1</v>
      </c>
      <c r="T225" s="260">
        <v>14280</v>
      </c>
      <c r="U225" s="25">
        <f t="shared" si="77"/>
        <v>14280</v>
      </c>
      <c r="V225" s="460"/>
      <c r="W225" s="802"/>
      <c r="X225" s="834"/>
      <c r="Y225" s="834"/>
      <c r="Z225" s="25"/>
    </row>
    <row r="226" spans="1:26" ht="13.5" customHeight="1">
      <c r="A226" s="784">
        <f t="shared" si="76"/>
        <v>31</v>
      </c>
      <c r="B226" s="302" t="s">
        <v>1028</v>
      </c>
      <c r="C226" s="25">
        <f t="shared" si="73"/>
        <v>8152</v>
      </c>
      <c r="D226" s="785">
        <f t="shared" ref="D226:I235" si="83">IF($L$350&lt;&gt;0,D$350/$L$350*$L226,0)</f>
        <v>725.35863026376683</v>
      </c>
      <c r="E226" s="785">
        <f t="shared" si="83"/>
        <v>191.34544192503472</v>
      </c>
      <c r="F226" s="785">
        <f t="shared" si="83"/>
        <v>406.09706154558074</v>
      </c>
      <c r="G226" s="785">
        <f t="shared" si="83"/>
        <v>73.789912077741789</v>
      </c>
      <c r="H226" s="785">
        <f t="shared" si="83"/>
        <v>703.76368964985352</v>
      </c>
      <c r="I226" s="785">
        <f t="shared" si="83"/>
        <v>122.04399969150084</v>
      </c>
      <c r="J226" s="369"/>
      <c r="K226" s="25">
        <f t="shared" si="80"/>
        <v>10374.398735153478</v>
      </c>
      <c r="L226" s="785">
        <v>1</v>
      </c>
      <c r="M226" s="785">
        <f t="shared" si="78"/>
        <v>10374.398735153478</v>
      </c>
      <c r="N226" s="685">
        <v>10723</v>
      </c>
      <c r="O226" s="685"/>
      <c r="P226" s="40" t="s">
        <v>624</v>
      </c>
      <c r="Q226" s="802">
        <v>40745</v>
      </c>
      <c r="R226" s="801"/>
      <c r="S226" s="310">
        <f t="shared" ref="S226" si="84">L226/2</f>
        <v>0.5</v>
      </c>
      <c r="T226" s="834">
        <v>16303</v>
      </c>
      <c r="U226" s="25">
        <f t="shared" si="77"/>
        <v>8152</v>
      </c>
      <c r="V226" s="460"/>
      <c r="W226" s="802"/>
      <c r="X226" s="834"/>
      <c r="Y226" s="834"/>
      <c r="Z226" s="25"/>
    </row>
    <row r="227" spans="1:26" ht="13.5" customHeight="1">
      <c r="A227" s="784">
        <f t="shared" si="76"/>
        <v>32</v>
      </c>
      <c r="B227" s="302" t="s">
        <v>774</v>
      </c>
      <c r="C227" s="25">
        <f t="shared" si="73"/>
        <v>42412</v>
      </c>
      <c r="D227" s="785">
        <f t="shared" si="83"/>
        <v>2901.4345210550673</v>
      </c>
      <c r="E227" s="785">
        <f t="shared" si="83"/>
        <v>765.38176770013888</v>
      </c>
      <c r="F227" s="785">
        <f t="shared" si="83"/>
        <v>1624.388246182323</v>
      </c>
      <c r="G227" s="785">
        <f t="shared" si="83"/>
        <v>295.15964831096716</v>
      </c>
      <c r="H227" s="785">
        <f t="shared" si="83"/>
        <v>2815.0547585994141</v>
      </c>
      <c r="I227" s="785">
        <f t="shared" si="83"/>
        <v>488.17599876600337</v>
      </c>
      <c r="J227" s="369"/>
      <c r="K227" s="25">
        <f t="shared" si="80"/>
        <v>51301.594940613912</v>
      </c>
      <c r="L227" s="785">
        <v>4</v>
      </c>
      <c r="M227" s="785">
        <f t="shared" si="78"/>
        <v>12825.398735153478</v>
      </c>
      <c r="N227" s="685">
        <v>14010</v>
      </c>
      <c r="O227" s="685"/>
      <c r="P227" s="189" t="s">
        <v>542</v>
      </c>
      <c r="Q227" s="802">
        <v>40745</v>
      </c>
      <c r="R227" s="801"/>
      <c r="S227" s="310">
        <f>L227</f>
        <v>4</v>
      </c>
      <c r="T227" s="834">
        <v>10603</v>
      </c>
      <c r="U227" s="25">
        <f t="shared" si="77"/>
        <v>42412</v>
      </c>
      <c r="V227" s="460"/>
      <c r="W227" s="802"/>
      <c r="X227" s="834"/>
      <c r="Y227" s="834"/>
      <c r="Z227" s="25"/>
    </row>
    <row r="228" spans="1:26" ht="13.5" customHeight="1">
      <c r="A228" s="784">
        <f t="shared" si="76"/>
        <v>33</v>
      </c>
      <c r="B228" s="302" t="s">
        <v>1029</v>
      </c>
      <c r="C228" s="25">
        <f t="shared" si="73"/>
        <v>35574</v>
      </c>
      <c r="D228" s="785">
        <f t="shared" si="83"/>
        <v>2176.0758907913005</v>
      </c>
      <c r="E228" s="785">
        <f t="shared" si="83"/>
        <v>574.03632577510416</v>
      </c>
      <c r="F228" s="785">
        <f t="shared" si="83"/>
        <v>1218.2911846367422</v>
      </c>
      <c r="G228" s="785">
        <f t="shared" si="83"/>
        <v>221.36973623322535</v>
      </c>
      <c r="H228" s="785">
        <f t="shared" si="83"/>
        <v>2111.2910689495607</v>
      </c>
      <c r="I228" s="785">
        <f t="shared" si="83"/>
        <v>366.13199907450252</v>
      </c>
      <c r="J228" s="369"/>
      <c r="K228" s="25">
        <f t="shared" si="80"/>
        <v>42241.19620546043</v>
      </c>
      <c r="L228" s="785">
        <v>3</v>
      </c>
      <c r="M228" s="785">
        <f t="shared" ref="M228:M291" si="85">IF(L228&lt;&gt;"",K228/L228,"")</f>
        <v>14080.398735153476</v>
      </c>
      <c r="N228" s="685">
        <v>15054</v>
      </c>
      <c r="O228" s="685"/>
      <c r="P228" s="189" t="s">
        <v>515</v>
      </c>
      <c r="Q228" s="802">
        <v>40745</v>
      </c>
      <c r="R228" s="801"/>
      <c r="S228" s="310">
        <f>L228/2</f>
        <v>1.5</v>
      </c>
      <c r="T228" s="260">
        <v>23716</v>
      </c>
      <c r="U228" s="25">
        <f t="shared" si="77"/>
        <v>35574</v>
      </c>
      <c r="V228" s="460"/>
      <c r="W228" s="802"/>
      <c r="X228" s="834"/>
      <c r="Y228" s="834"/>
      <c r="Z228" s="25"/>
    </row>
    <row r="229" spans="1:26" ht="13.5" customHeight="1">
      <c r="A229" s="784">
        <f t="shared" si="76"/>
        <v>34</v>
      </c>
      <c r="B229" s="302" t="s">
        <v>775</v>
      </c>
      <c r="C229" s="25">
        <f t="shared" si="73"/>
        <v>35574</v>
      </c>
      <c r="D229" s="785">
        <f t="shared" si="83"/>
        <v>2176.0758907913005</v>
      </c>
      <c r="E229" s="785">
        <f t="shared" si="83"/>
        <v>574.03632577510416</v>
      </c>
      <c r="F229" s="785">
        <f t="shared" si="83"/>
        <v>1218.2911846367422</v>
      </c>
      <c r="G229" s="785">
        <f t="shared" si="83"/>
        <v>221.36973623322535</v>
      </c>
      <c r="H229" s="785">
        <f t="shared" si="83"/>
        <v>2111.2910689495607</v>
      </c>
      <c r="I229" s="785">
        <f t="shared" si="83"/>
        <v>366.13199907450252</v>
      </c>
      <c r="J229" s="369"/>
      <c r="K229" s="25">
        <f t="shared" si="80"/>
        <v>42241.19620546043</v>
      </c>
      <c r="L229" s="785">
        <v>3</v>
      </c>
      <c r="M229" s="785">
        <f t="shared" si="85"/>
        <v>14080.398735153476</v>
      </c>
      <c r="N229" s="685">
        <v>16284</v>
      </c>
      <c r="O229" s="685"/>
      <c r="P229" s="189" t="s">
        <v>515</v>
      </c>
      <c r="Q229" s="802">
        <v>40745</v>
      </c>
      <c r="R229" s="801"/>
      <c r="S229" s="310">
        <f>L229/2</f>
        <v>1.5</v>
      </c>
      <c r="T229" s="260">
        <v>23716</v>
      </c>
      <c r="U229" s="25">
        <f>ROUND(S229*T229,0)</f>
        <v>35574</v>
      </c>
      <c r="V229" s="460"/>
      <c r="W229" s="802"/>
      <c r="X229" s="834"/>
      <c r="Y229" s="834"/>
      <c r="Z229" s="25"/>
    </row>
    <row r="230" spans="1:26" ht="13.5" customHeight="1">
      <c r="A230" s="784">
        <f t="shared" si="76"/>
        <v>35</v>
      </c>
      <c r="B230" s="302" t="s">
        <v>1030</v>
      </c>
      <c r="C230" s="25">
        <f t="shared" si="73"/>
        <v>1231524</v>
      </c>
      <c r="D230" s="785">
        <f t="shared" si="83"/>
        <v>77613.373438223047</v>
      </c>
      <c r="E230" s="785">
        <f t="shared" si="83"/>
        <v>20473.962285978716</v>
      </c>
      <c r="F230" s="785">
        <f t="shared" si="83"/>
        <v>43452.385585377138</v>
      </c>
      <c r="G230" s="785">
        <f t="shared" si="83"/>
        <v>7895.5205923183712</v>
      </c>
      <c r="H230" s="785">
        <f t="shared" si="83"/>
        <v>75302.714792534331</v>
      </c>
      <c r="I230" s="785">
        <f t="shared" si="83"/>
        <v>13058.707966990591</v>
      </c>
      <c r="J230" s="369"/>
      <c r="K230" s="25">
        <f t="shared" si="80"/>
        <v>1469320.6646614221</v>
      </c>
      <c r="L230" s="785">
        <v>107</v>
      </c>
      <c r="M230" s="785">
        <f t="shared" si="85"/>
        <v>13731.968828611421</v>
      </c>
      <c r="N230" s="685">
        <v>16832</v>
      </c>
      <c r="O230" s="685"/>
      <c r="P230" s="189" t="s">
        <v>516</v>
      </c>
      <c r="Q230" s="802">
        <v>40745</v>
      </c>
      <c r="R230" s="801"/>
      <c r="S230" s="310">
        <v>54</v>
      </c>
      <c r="T230" s="260">
        <v>22806</v>
      </c>
      <c r="U230" s="25">
        <f>ROUND(S230*T230,0)</f>
        <v>1231524</v>
      </c>
      <c r="V230" s="460"/>
      <c r="W230" s="802"/>
      <c r="X230" s="834"/>
      <c r="Y230" s="834"/>
      <c r="Z230" s="25"/>
    </row>
    <row r="231" spans="1:26" ht="13.5" customHeight="1">
      <c r="A231" s="784">
        <f>IF(B231&lt;&gt;"",A230+1,"")</f>
        <v>36</v>
      </c>
      <c r="B231" s="302" t="s">
        <v>1031</v>
      </c>
      <c r="C231" s="25">
        <f t="shared" si="73"/>
        <v>695893</v>
      </c>
      <c r="D231" s="785">
        <f t="shared" si="83"/>
        <v>60204.766311892643</v>
      </c>
      <c r="E231" s="785">
        <f t="shared" si="83"/>
        <v>15881.671679777883</v>
      </c>
      <c r="F231" s="785">
        <f t="shared" si="83"/>
        <v>33706.056108283199</v>
      </c>
      <c r="G231" s="785">
        <f t="shared" si="83"/>
        <v>6124.5627024525684</v>
      </c>
      <c r="H231" s="785">
        <f t="shared" si="83"/>
        <v>58412.386240937842</v>
      </c>
      <c r="I231" s="785">
        <f t="shared" si="83"/>
        <v>10129.65197439457</v>
      </c>
      <c r="J231" s="369"/>
      <c r="K231" s="25">
        <f t="shared" si="80"/>
        <v>880352.09501773876</v>
      </c>
      <c r="L231" s="785">
        <v>83</v>
      </c>
      <c r="M231" s="785">
        <f t="shared" si="85"/>
        <v>10606.651747201671</v>
      </c>
      <c r="N231" s="685">
        <v>11079</v>
      </c>
      <c r="O231" s="685"/>
      <c r="P231" s="189" t="s">
        <v>574</v>
      </c>
      <c r="Q231" s="802">
        <v>40745</v>
      </c>
      <c r="R231" s="801"/>
      <c r="S231" s="310">
        <v>41</v>
      </c>
      <c r="T231" s="834">
        <v>16973</v>
      </c>
      <c r="U231" s="25">
        <f>ROUND(S231*T231,0)</f>
        <v>695893</v>
      </c>
      <c r="V231" s="460"/>
      <c r="W231" s="802"/>
      <c r="X231" s="834"/>
      <c r="Y231" s="834"/>
      <c r="Z231" s="25"/>
    </row>
    <row r="232" spans="1:26" ht="13.5" customHeight="1">
      <c r="A232" s="784">
        <f t="shared" si="76"/>
        <v>37</v>
      </c>
      <c r="B232" s="302" t="s">
        <v>1032</v>
      </c>
      <c r="C232" s="25">
        <f t="shared" si="73"/>
        <v>263772</v>
      </c>
      <c r="D232" s="785">
        <f t="shared" si="83"/>
        <v>36993.290143452105</v>
      </c>
      <c r="E232" s="785">
        <f t="shared" si="83"/>
        <v>9758.6175381767716</v>
      </c>
      <c r="F232" s="785">
        <f t="shared" si="83"/>
        <v>20710.950138824617</v>
      </c>
      <c r="G232" s="785">
        <f t="shared" si="83"/>
        <v>3763.2855159648311</v>
      </c>
      <c r="H232" s="785">
        <f t="shared" si="83"/>
        <v>35891.948172142533</v>
      </c>
      <c r="I232" s="785">
        <f t="shared" si="83"/>
        <v>6224.2439842665426</v>
      </c>
      <c r="J232" s="369"/>
      <c r="K232" s="25">
        <f t="shared" si="80"/>
        <v>377114.33549282746</v>
      </c>
      <c r="L232" s="785">
        <v>51</v>
      </c>
      <c r="M232" s="785">
        <f t="shared" si="85"/>
        <v>7394.3987351534797</v>
      </c>
      <c r="N232" s="685">
        <v>8450</v>
      </c>
      <c r="O232" s="685"/>
      <c r="P232" s="189" t="s">
        <v>601</v>
      </c>
      <c r="Q232" s="802">
        <v>40745</v>
      </c>
      <c r="R232" s="801"/>
      <c r="S232" s="310">
        <f>L232/2</f>
        <v>25.5</v>
      </c>
      <c r="T232" s="834">
        <v>10344</v>
      </c>
      <c r="U232" s="25">
        <f t="shared" si="77"/>
        <v>263772</v>
      </c>
      <c r="V232" s="460"/>
      <c r="W232" s="802"/>
      <c r="X232" s="834"/>
      <c r="Y232" s="834"/>
      <c r="Z232" s="25"/>
    </row>
    <row r="233" spans="1:26" ht="13.5" customHeight="1">
      <c r="A233" s="784">
        <f t="shared" si="76"/>
        <v>38</v>
      </c>
      <c r="B233" s="302" t="s">
        <v>1024</v>
      </c>
      <c r="C233" s="25">
        <f t="shared" si="73"/>
        <v>542340</v>
      </c>
      <c r="D233" s="785">
        <f t="shared" si="83"/>
        <v>65282.276723739014</v>
      </c>
      <c r="E233" s="785">
        <f t="shared" si="83"/>
        <v>17221.089773253123</v>
      </c>
      <c r="F233" s="785">
        <f t="shared" si="83"/>
        <v>36548.735539102265</v>
      </c>
      <c r="G233" s="785">
        <f t="shared" si="83"/>
        <v>6641.0920869967613</v>
      </c>
      <c r="H233" s="785">
        <f t="shared" si="83"/>
        <v>63338.732068486817</v>
      </c>
      <c r="I233" s="785">
        <f t="shared" si="83"/>
        <v>10983.959972235076</v>
      </c>
      <c r="J233" s="369"/>
      <c r="K233" s="25">
        <f t="shared" si="80"/>
        <v>742355.88616381295</v>
      </c>
      <c r="L233" s="785">
        <v>90</v>
      </c>
      <c r="M233" s="785">
        <f t="shared" si="85"/>
        <v>8248.3987351534779</v>
      </c>
      <c r="N233" s="685">
        <v>9594</v>
      </c>
      <c r="O233" s="685"/>
      <c r="P233" s="302" t="s">
        <v>502</v>
      </c>
      <c r="Q233" s="802">
        <v>40745</v>
      </c>
      <c r="R233" s="801"/>
      <c r="S233" s="310">
        <f>L233</f>
        <v>90</v>
      </c>
      <c r="T233" s="834">
        <v>6026</v>
      </c>
      <c r="U233" s="25">
        <f t="shared" si="77"/>
        <v>542340</v>
      </c>
      <c r="V233" s="460"/>
      <c r="W233" s="802"/>
      <c r="X233" s="834"/>
      <c r="Y233" s="834"/>
      <c r="Z233" s="25"/>
    </row>
    <row r="234" spans="1:26" ht="13.5" customHeight="1">
      <c r="A234" s="784">
        <f t="shared" si="76"/>
        <v>39</v>
      </c>
      <c r="B234" s="302" t="s">
        <v>1026</v>
      </c>
      <c r="C234" s="25">
        <f t="shared" si="73"/>
        <v>7187425</v>
      </c>
      <c r="D234" s="785">
        <f t="shared" si="83"/>
        <v>485264.92364646</v>
      </c>
      <c r="E234" s="785">
        <f t="shared" si="83"/>
        <v>128010.10064784823</v>
      </c>
      <c r="F234" s="785">
        <f t="shared" si="83"/>
        <v>271678.93417399353</v>
      </c>
      <c r="G234" s="785">
        <f t="shared" si="83"/>
        <v>49365.451180009259</v>
      </c>
      <c r="H234" s="785">
        <f t="shared" si="83"/>
        <v>470817.90837575198</v>
      </c>
      <c r="I234" s="785">
        <f t="shared" si="83"/>
        <v>81647.435793614059</v>
      </c>
      <c r="J234" s="369"/>
      <c r="K234" s="25">
        <f t="shared" si="80"/>
        <v>8674209.7538176775</v>
      </c>
      <c r="L234" s="785">
        <v>669</v>
      </c>
      <c r="M234" s="785">
        <f t="shared" si="85"/>
        <v>12965.933862208785</v>
      </c>
      <c r="N234" s="685">
        <v>14438</v>
      </c>
      <c r="O234" s="685"/>
      <c r="P234" s="189" t="s">
        <v>654</v>
      </c>
      <c r="Q234" s="802">
        <v>40745</v>
      </c>
      <c r="R234" s="801"/>
      <c r="S234" s="310">
        <v>335</v>
      </c>
      <c r="T234" s="862">
        <v>21455</v>
      </c>
      <c r="U234" s="25">
        <f t="shared" si="77"/>
        <v>7187425</v>
      </c>
      <c r="V234" s="460"/>
      <c r="W234" s="802"/>
      <c r="X234" s="834"/>
      <c r="Y234" s="834"/>
      <c r="Z234" s="25"/>
    </row>
    <row r="235" spans="1:26" ht="13.5" customHeight="1">
      <c r="A235" s="784">
        <f>IF(B235&lt;&gt;"",A234+1,"")</f>
        <v>40</v>
      </c>
      <c r="B235" s="302" t="s">
        <v>769</v>
      </c>
      <c r="C235" s="25">
        <f t="shared" si="73"/>
        <v>1060576</v>
      </c>
      <c r="D235" s="785">
        <f t="shared" si="83"/>
        <v>127663.11892642296</v>
      </c>
      <c r="E235" s="785">
        <f t="shared" si="83"/>
        <v>33676.797778806111</v>
      </c>
      <c r="F235" s="785">
        <f t="shared" si="83"/>
        <v>71473.082832022206</v>
      </c>
      <c r="G235" s="785">
        <f t="shared" si="83"/>
        <v>12987.024525682555</v>
      </c>
      <c r="H235" s="785">
        <f t="shared" si="83"/>
        <v>123862.40937837421</v>
      </c>
      <c r="I235" s="785">
        <f t="shared" si="83"/>
        <v>21479.743945704147</v>
      </c>
      <c r="J235" s="369"/>
      <c r="K235" s="25">
        <f t="shared" si="80"/>
        <v>1451718.1773870119</v>
      </c>
      <c r="L235" s="785">
        <v>176</v>
      </c>
      <c r="M235" s="785">
        <f t="shared" si="85"/>
        <v>8248.3987351534761</v>
      </c>
      <c r="N235" s="685">
        <v>10595</v>
      </c>
      <c r="O235" s="685"/>
      <c r="P235" s="302" t="s">
        <v>502</v>
      </c>
      <c r="Q235" s="802">
        <v>40745</v>
      </c>
      <c r="R235" s="801"/>
      <c r="S235" s="310">
        <f>L235</f>
        <v>176</v>
      </c>
      <c r="T235" s="834">
        <v>6026</v>
      </c>
      <c r="U235" s="25">
        <f t="shared" si="77"/>
        <v>1060576</v>
      </c>
      <c r="V235" s="460"/>
      <c r="W235" s="802"/>
      <c r="X235" s="834"/>
      <c r="Y235" s="834"/>
      <c r="Z235" s="25"/>
    </row>
    <row r="236" spans="1:26" ht="13.5" customHeight="1">
      <c r="A236" s="784">
        <f t="shared" si="76"/>
        <v>41</v>
      </c>
      <c r="B236" s="302" t="s">
        <v>1019</v>
      </c>
      <c r="C236" s="25">
        <f t="shared" si="73"/>
        <v>301300</v>
      </c>
      <c r="D236" s="785">
        <f t="shared" ref="D236:I245" si="86">IF($L$350&lt;&gt;0,D$350/$L$350*$L236,0)</f>
        <v>36267.931513188341</v>
      </c>
      <c r="E236" s="785">
        <f t="shared" si="86"/>
        <v>9567.272096251736</v>
      </c>
      <c r="F236" s="785">
        <f t="shared" si="86"/>
        <v>20304.853077279036</v>
      </c>
      <c r="G236" s="785">
        <f t="shared" si="86"/>
        <v>3689.4956038870896</v>
      </c>
      <c r="H236" s="785">
        <f t="shared" si="86"/>
        <v>35188.184482492674</v>
      </c>
      <c r="I236" s="785">
        <f t="shared" si="86"/>
        <v>6102.1999845750424</v>
      </c>
      <c r="J236" s="369"/>
      <c r="K236" s="25">
        <f t="shared" si="80"/>
        <v>412419.93675767392</v>
      </c>
      <c r="L236" s="785">
        <v>50</v>
      </c>
      <c r="M236" s="785">
        <f t="shared" si="85"/>
        <v>8248.3987351534779</v>
      </c>
      <c r="N236" s="685">
        <v>9793</v>
      </c>
      <c r="O236" s="685"/>
      <c r="P236" s="302" t="s">
        <v>502</v>
      </c>
      <c r="Q236" s="802">
        <v>40746</v>
      </c>
      <c r="R236" s="801"/>
      <c r="S236" s="310">
        <f>L236</f>
        <v>50</v>
      </c>
      <c r="T236" s="834">
        <v>6026</v>
      </c>
      <c r="U236" s="25">
        <f t="shared" si="77"/>
        <v>301300</v>
      </c>
      <c r="V236" s="460"/>
      <c r="W236" s="802"/>
      <c r="X236" s="834"/>
      <c r="Y236" s="834"/>
      <c r="Z236" s="25"/>
    </row>
    <row r="237" spans="1:26" ht="13.5" customHeight="1">
      <c r="A237" s="784">
        <f t="shared" si="76"/>
        <v>42</v>
      </c>
      <c r="B237" s="302" t="s">
        <v>774</v>
      </c>
      <c r="C237" s="25">
        <f t="shared" si="73"/>
        <v>544824</v>
      </c>
      <c r="D237" s="785">
        <f t="shared" si="86"/>
        <v>33366.496992133274</v>
      </c>
      <c r="E237" s="785">
        <f t="shared" si="86"/>
        <v>8801.8903285515971</v>
      </c>
      <c r="F237" s="785">
        <f t="shared" si="86"/>
        <v>18680.464831096713</v>
      </c>
      <c r="G237" s="785">
        <f t="shared" si="86"/>
        <v>3394.3359555761222</v>
      </c>
      <c r="H237" s="785">
        <f t="shared" si="86"/>
        <v>32373.12972389326</v>
      </c>
      <c r="I237" s="785">
        <f t="shared" si="86"/>
        <v>5614.023985809039</v>
      </c>
      <c r="J237" s="369"/>
      <c r="K237" s="25">
        <f t="shared" si="80"/>
        <v>647054.34181706014</v>
      </c>
      <c r="L237" s="785">
        <v>46</v>
      </c>
      <c r="M237" s="785">
        <f t="shared" si="85"/>
        <v>14066.398735153482</v>
      </c>
      <c r="N237" s="685">
        <v>14010</v>
      </c>
      <c r="O237" s="685"/>
      <c r="P237" s="40" t="s">
        <v>647</v>
      </c>
      <c r="Q237" s="802">
        <v>40746</v>
      </c>
      <c r="R237" s="801"/>
      <c r="S237" s="310">
        <v>23</v>
      </c>
      <c r="T237" s="862">
        <v>23688</v>
      </c>
      <c r="U237" s="25">
        <f t="shared" si="77"/>
        <v>544824</v>
      </c>
      <c r="V237" s="460"/>
      <c r="W237" s="802"/>
      <c r="X237" s="834"/>
      <c r="Y237" s="834"/>
      <c r="Z237" s="25"/>
    </row>
    <row r="238" spans="1:26" ht="13.5" customHeight="1">
      <c r="A238" s="784">
        <f t="shared" si="76"/>
        <v>43</v>
      </c>
      <c r="B238" s="302" t="s">
        <v>1033</v>
      </c>
      <c r="C238" s="25">
        <f t="shared" si="73"/>
        <v>577082</v>
      </c>
      <c r="D238" s="785">
        <f t="shared" si="86"/>
        <v>49324.386857936144</v>
      </c>
      <c r="E238" s="785">
        <f t="shared" si="86"/>
        <v>13011.490050902361</v>
      </c>
      <c r="F238" s="785">
        <f t="shared" si="86"/>
        <v>27614.600185099491</v>
      </c>
      <c r="G238" s="785">
        <f t="shared" si="86"/>
        <v>5017.7140212864415</v>
      </c>
      <c r="H238" s="785">
        <f t="shared" si="86"/>
        <v>47855.930896190039</v>
      </c>
      <c r="I238" s="785">
        <f t="shared" si="86"/>
        <v>8298.9919790220574</v>
      </c>
      <c r="J238" s="369"/>
      <c r="K238" s="25">
        <f t="shared" si="80"/>
        <v>728205.11399043654</v>
      </c>
      <c r="L238" s="785">
        <v>68</v>
      </c>
      <c r="M238" s="785">
        <f t="shared" si="85"/>
        <v>10708.898735153478</v>
      </c>
      <c r="N238" s="685">
        <v>11067</v>
      </c>
      <c r="O238" s="685"/>
      <c r="P238" s="189" t="s">
        <v>574</v>
      </c>
      <c r="Q238" s="802">
        <v>40746</v>
      </c>
      <c r="R238" s="801"/>
      <c r="S238" s="310">
        <f t="shared" ref="S238" si="87">L238/2</f>
        <v>34</v>
      </c>
      <c r="T238" s="834">
        <v>16973</v>
      </c>
      <c r="U238" s="25">
        <f t="shared" si="77"/>
        <v>577082</v>
      </c>
      <c r="V238" s="460"/>
      <c r="W238" s="802"/>
      <c r="X238" s="834"/>
      <c r="Y238" s="834"/>
      <c r="Z238" s="25"/>
    </row>
    <row r="239" spans="1:26" ht="13.5" customHeight="1">
      <c r="A239" s="784">
        <f t="shared" si="76"/>
        <v>44</v>
      </c>
      <c r="B239" s="302" t="s">
        <v>776</v>
      </c>
      <c r="C239" s="25">
        <f t="shared" si="73"/>
        <v>570150</v>
      </c>
      <c r="D239" s="785">
        <f t="shared" si="86"/>
        <v>36267.931513188341</v>
      </c>
      <c r="E239" s="785">
        <f t="shared" si="86"/>
        <v>9567.272096251736</v>
      </c>
      <c r="F239" s="785">
        <f t="shared" si="86"/>
        <v>20304.853077279036</v>
      </c>
      <c r="G239" s="785">
        <f t="shared" si="86"/>
        <v>3689.4956038870896</v>
      </c>
      <c r="H239" s="785">
        <f t="shared" si="86"/>
        <v>35188.184482492674</v>
      </c>
      <c r="I239" s="785">
        <f t="shared" si="86"/>
        <v>6102.1999845750424</v>
      </c>
      <c r="J239" s="369"/>
      <c r="K239" s="25">
        <f t="shared" si="80"/>
        <v>681269.93675767386</v>
      </c>
      <c r="L239" s="785">
        <v>50</v>
      </c>
      <c r="M239" s="785">
        <f t="shared" si="85"/>
        <v>13625.398735153478</v>
      </c>
      <c r="N239" s="685">
        <v>16713</v>
      </c>
      <c r="O239" s="685"/>
      <c r="P239" s="189" t="s">
        <v>516</v>
      </c>
      <c r="Q239" s="802">
        <v>40746</v>
      </c>
      <c r="R239" s="801"/>
      <c r="S239" s="310">
        <f>L239/2</f>
        <v>25</v>
      </c>
      <c r="T239" s="260">
        <v>22806</v>
      </c>
      <c r="U239" s="25">
        <f t="shared" si="77"/>
        <v>570150</v>
      </c>
      <c r="V239" s="460"/>
      <c r="W239" s="802"/>
      <c r="X239" s="834"/>
      <c r="Y239" s="834"/>
      <c r="Z239" s="25"/>
    </row>
    <row r="240" spans="1:26" ht="13.5" customHeight="1">
      <c r="A240" s="784">
        <f t="shared" si="76"/>
        <v>45</v>
      </c>
      <c r="B240" s="302" t="s">
        <v>777</v>
      </c>
      <c r="C240" s="25">
        <f t="shared" si="73"/>
        <v>16303</v>
      </c>
      <c r="D240" s="785">
        <f t="shared" si="86"/>
        <v>1450.7172605275337</v>
      </c>
      <c r="E240" s="785">
        <f t="shared" si="86"/>
        <v>382.69088385006944</v>
      </c>
      <c r="F240" s="785">
        <f t="shared" si="86"/>
        <v>812.19412309116149</v>
      </c>
      <c r="G240" s="785">
        <f t="shared" si="86"/>
        <v>147.57982415548358</v>
      </c>
      <c r="H240" s="785">
        <f t="shared" si="86"/>
        <v>1407.527379299707</v>
      </c>
      <c r="I240" s="785">
        <f t="shared" si="86"/>
        <v>244.08799938300169</v>
      </c>
      <c r="J240" s="369"/>
      <c r="K240" s="25">
        <f t="shared" si="80"/>
        <v>20747.797470306956</v>
      </c>
      <c r="L240" s="785">
        <v>2</v>
      </c>
      <c r="M240" s="785">
        <f t="shared" si="85"/>
        <v>10373.898735153478</v>
      </c>
      <c r="N240" s="685">
        <v>12207</v>
      </c>
      <c r="O240" s="685"/>
      <c r="P240" s="40" t="s">
        <v>624</v>
      </c>
      <c r="Q240" s="802">
        <v>40746</v>
      </c>
      <c r="R240" s="801"/>
      <c r="S240" s="310">
        <f>L240/2</f>
        <v>1</v>
      </c>
      <c r="T240" s="834">
        <v>16303</v>
      </c>
      <c r="U240" s="25">
        <f t="shared" si="77"/>
        <v>16303</v>
      </c>
      <c r="V240" s="460"/>
      <c r="W240" s="802"/>
      <c r="X240" s="834"/>
      <c r="Y240" s="834"/>
      <c r="Z240" s="25"/>
    </row>
    <row r="241" spans="1:26" ht="13.5" customHeight="1">
      <c r="A241" s="784">
        <f t="shared" si="76"/>
        <v>46</v>
      </c>
      <c r="B241" s="302" t="s">
        <v>1034</v>
      </c>
      <c r="C241" s="25">
        <f t="shared" si="73"/>
        <v>11858</v>
      </c>
      <c r="D241" s="785">
        <f t="shared" si="86"/>
        <v>725.35863026376683</v>
      </c>
      <c r="E241" s="785">
        <f t="shared" si="86"/>
        <v>191.34544192503472</v>
      </c>
      <c r="F241" s="785">
        <f t="shared" si="86"/>
        <v>406.09706154558074</v>
      </c>
      <c r="G241" s="785">
        <f t="shared" si="86"/>
        <v>73.789912077741789</v>
      </c>
      <c r="H241" s="785">
        <f t="shared" si="86"/>
        <v>703.76368964985352</v>
      </c>
      <c r="I241" s="785">
        <f t="shared" si="86"/>
        <v>122.04399969150084</v>
      </c>
      <c r="J241" s="369"/>
      <c r="K241" s="25">
        <f t="shared" si="80"/>
        <v>14080.398735153478</v>
      </c>
      <c r="L241" s="785">
        <v>1</v>
      </c>
      <c r="M241" s="785">
        <f t="shared" si="85"/>
        <v>14080.398735153478</v>
      </c>
      <c r="N241" s="685">
        <v>13099</v>
      </c>
      <c r="O241" s="685"/>
      <c r="P241" s="189" t="s">
        <v>515</v>
      </c>
      <c r="Q241" s="802">
        <v>40746</v>
      </c>
      <c r="R241" s="801"/>
      <c r="S241" s="310">
        <f>L241/2</f>
        <v>0.5</v>
      </c>
      <c r="T241" s="260">
        <v>23716</v>
      </c>
      <c r="U241" s="25">
        <f t="shared" si="77"/>
        <v>11858</v>
      </c>
      <c r="V241" s="460"/>
      <c r="W241" s="802"/>
      <c r="X241" s="834"/>
      <c r="Y241" s="834"/>
      <c r="Z241" s="25"/>
    </row>
    <row r="242" spans="1:26" ht="13.5" customHeight="1">
      <c r="A242" s="784">
        <f t="shared" si="76"/>
        <v>47</v>
      </c>
      <c r="B242" s="302" t="s">
        <v>778</v>
      </c>
      <c r="C242" s="25">
        <f t="shared" si="73"/>
        <v>40757</v>
      </c>
      <c r="D242" s="785">
        <f t="shared" si="86"/>
        <v>3626.7931513188341</v>
      </c>
      <c r="E242" s="785">
        <f t="shared" si="86"/>
        <v>956.7272096251736</v>
      </c>
      <c r="F242" s="785">
        <f t="shared" si="86"/>
        <v>2030.4853077279038</v>
      </c>
      <c r="G242" s="785">
        <f t="shared" si="86"/>
        <v>368.94956038870896</v>
      </c>
      <c r="H242" s="785">
        <f t="shared" si="86"/>
        <v>3518.8184482492675</v>
      </c>
      <c r="I242" s="785">
        <f t="shared" si="86"/>
        <v>610.21999845750418</v>
      </c>
      <c r="J242" s="369"/>
      <c r="K242" s="25">
        <f t="shared" si="80"/>
        <v>51868.9936757674</v>
      </c>
      <c r="L242" s="785">
        <v>5</v>
      </c>
      <c r="M242" s="785">
        <f t="shared" si="85"/>
        <v>10373.798735153479</v>
      </c>
      <c r="N242" s="685">
        <v>12179</v>
      </c>
      <c r="O242" s="685"/>
      <c r="P242" s="40" t="s">
        <v>624</v>
      </c>
      <c r="Q242" s="802">
        <v>40746</v>
      </c>
      <c r="R242" s="801"/>
      <c r="S242" s="310">
        <f>L242/2</f>
        <v>2.5</v>
      </c>
      <c r="T242" s="834">
        <v>16302.8</v>
      </c>
      <c r="U242" s="25">
        <f t="shared" si="77"/>
        <v>40757</v>
      </c>
      <c r="V242" s="460"/>
      <c r="W242" s="802"/>
      <c r="X242" s="834"/>
      <c r="Y242" s="834"/>
      <c r="Z242" s="25"/>
    </row>
    <row r="243" spans="1:26" ht="13.5" customHeight="1">
      <c r="A243" s="784">
        <f t="shared" si="76"/>
        <v>48</v>
      </c>
      <c r="B243" s="302" t="s">
        <v>771</v>
      </c>
      <c r="C243" s="25">
        <f t="shared" si="73"/>
        <v>43608</v>
      </c>
      <c r="D243" s="785">
        <f t="shared" si="86"/>
        <v>4352.151781582601</v>
      </c>
      <c r="E243" s="785">
        <f t="shared" si="86"/>
        <v>1148.0726515502083</v>
      </c>
      <c r="F243" s="785">
        <f t="shared" si="86"/>
        <v>2436.5823692734843</v>
      </c>
      <c r="G243" s="785">
        <f t="shared" si="86"/>
        <v>442.73947246645071</v>
      </c>
      <c r="H243" s="785">
        <f t="shared" si="86"/>
        <v>4222.5821378991213</v>
      </c>
      <c r="I243" s="785">
        <f t="shared" si="86"/>
        <v>732.26399814900503</v>
      </c>
      <c r="J243" s="369"/>
      <c r="K243" s="25">
        <f t="shared" si="80"/>
        <v>56942.392410920875</v>
      </c>
      <c r="L243" s="785">
        <v>6</v>
      </c>
      <c r="M243" s="785">
        <f t="shared" si="85"/>
        <v>9490.3987351534797</v>
      </c>
      <c r="N243" s="685">
        <v>10253</v>
      </c>
      <c r="O243" s="685"/>
      <c r="P243" s="189" t="s">
        <v>546</v>
      </c>
      <c r="Q243" s="802">
        <v>40746</v>
      </c>
      <c r="R243" s="801"/>
      <c r="S243" s="310">
        <f>L243</f>
        <v>6</v>
      </c>
      <c r="T243" s="260">
        <v>7268</v>
      </c>
      <c r="U243" s="25">
        <f t="shared" si="77"/>
        <v>43608</v>
      </c>
      <c r="V243" s="460"/>
      <c r="W243" s="802"/>
      <c r="X243" s="834"/>
      <c r="Y243" s="834"/>
      <c r="Z243" s="25"/>
    </row>
    <row r="244" spans="1:26" ht="13.5" customHeight="1">
      <c r="A244" s="784">
        <f t="shared" si="76"/>
        <v>49</v>
      </c>
      <c r="B244" s="302" t="s">
        <v>1029</v>
      </c>
      <c r="C244" s="25">
        <f t="shared" ref="C244:C291" si="88">U244</f>
        <v>114030</v>
      </c>
      <c r="D244" s="785">
        <f t="shared" si="86"/>
        <v>7253.5863026376683</v>
      </c>
      <c r="E244" s="785">
        <f t="shared" si="86"/>
        <v>1913.4544192503472</v>
      </c>
      <c r="F244" s="785">
        <f t="shared" si="86"/>
        <v>4060.9706154558075</v>
      </c>
      <c r="G244" s="785">
        <f t="shared" si="86"/>
        <v>737.89912077741792</v>
      </c>
      <c r="H244" s="785">
        <f t="shared" si="86"/>
        <v>7037.636896498535</v>
      </c>
      <c r="I244" s="785">
        <f t="shared" si="86"/>
        <v>1220.4399969150084</v>
      </c>
      <c r="J244" s="369"/>
      <c r="K244" s="25">
        <f t="shared" si="80"/>
        <v>136253.9873515348</v>
      </c>
      <c r="L244" s="785">
        <v>10</v>
      </c>
      <c r="M244" s="785">
        <f t="shared" si="85"/>
        <v>13625.39873515348</v>
      </c>
      <c r="N244" s="685">
        <v>15053</v>
      </c>
      <c r="O244" s="685"/>
      <c r="P244" s="189" t="s">
        <v>516</v>
      </c>
      <c r="Q244" s="802">
        <v>40747</v>
      </c>
      <c r="R244" s="801"/>
      <c r="S244" s="310">
        <f>L244/2</f>
        <v>5</v>
      </c>
      <c r="T244" s="260">
        <v>22806</v>
      </c>
      <c r="U244" s="25">
        <f t="shared" si="77"/>
        <v>114030</v>
      </c>
      <c r="V244" s="460"/>
      <c r="W244" s="802"/>
      <c r="X244" s="834"/>
      <c r="Y244" s="834"/>
      <c r="Z244" s="25"/>
    </row>
    <row r="245" spans="1:26" ht="13.5" customHeight="1">
      <c r="A245" s="784">
        <f t="shared" si="76"/>
        <v>50</v>
      </c>
      <c r="B245" s="302" t="s">
        <v>1017</v>
      </c>
      <c r="C245" s="25">
        <f t="shared" si="88"/>
        <v>2672480</v>
      </c>
      <c r="D245" s="785">
        <f t="shared" si="86"/>
        <v>116057.38084220269</v>
      </c>
      <c r="E245" s="785">
        <f t="shared" si="86"/>
        <v>30615.270708005555</v>
      </c>
      <c r="F245" s="785">
        <f t="shared" si="86"/>
        <v>64975.529847292921</v>
      </c>
      <c r="G245" s="785">
        <f t="shared" si="86"/>
        <v>11806.385932438687</v>
      </c>
      <c r="H245" s="785">
        <f t="shared" si="86"/>
        <v>112602.19034397656</v>
      </c>
      <c r="I245" s="785">
        <f t="shared" si="86"/>
        <v>19527.039950640134</v>
      </c>
      <c r="J245" s="369"/>
      <c r="K245" s="25">
        <f t="shared" si="80"/>
        <v>3028063.7976245559</v>
      </c>
      <c r="L245" s="785">
        <v>160</v>
      </c>
      <c r="M245" s="785">
        <f t="shared" si="85"/>
        <v>18925.398735153474</v>
      </c>
      <c r="N245" s="685">
        <v>20976</v>
      </c>
      <c r="O245" s="685"/>
      <c r="P245" s="40" t="s">
        <v>650</v>
      </c>
      <c r="Q245" s="802">
        <v>40747</v>
      </c>
      <c r="R245" s="801"/>
      <c r="S245" s="310">
        <v>160</v>
      </c>
      <c r="T245" s="834">
        <v>16703</v>
      </c>
      <c r="U245" s="25">
        <f t="shared" si="77"/>
        <v>2672480</v>
      </c>
      <c r="V245" s="460"/>
      <c r="W245" s="802"/>
      <c r="X245" s="834"/>
      <c r="Y245" s="834"/>
      <c r="Z245" s="25"/>
    </row>
    <row r="246" spans="1:26" ht="13.5" customHeight="1">
      <c r="A246" s="784">
        <f t="shared" si="76"/>
        <v>51</v>
      </c>
      <c r="B246" s="302" t="s">
        <v>779</v>
      </c>
      <c r="C246" s="25">
        <f t="shared" si="88"/>
        <v>124572</v>
      </c>
      <c r="D246" s="785">
        <f t="shared" ref="D246:I255" si="89">IF($L$350&lt;&gt;0,D$350/$L$350*$L246,0)</f>
        <v>39894.724664507172</v>
      </c>
      <c r="E246" s="785">
        <f t="shared" si="89"/>
        <v>10523.999305876911</v>
      </c>
      <c r="F246" s="785">
        <f t="shared" si="89"/>
        <v>22335.33838500694</v>
      </c>
      <c r="G246" s="785">
        <f t="shared" si="89"/>
        <v>4058.4451642757986</v>
      </c>
      <c r="H246" s="785">
        <f t="shared" si="89"/>
        <v>38707.002930741946</v>
      </c>
      <c r="I246" s="785">
        <f t="shared" si="89"/>
        <v>6712.419983032546</v>
      </c>
      <c r="J246" s="369"/>
      <c r="K246" s="25">
        <f t="shared" si="80"/>
        <v>246803.93043344127</v>
      </c>
      <c r="L246" s="785">
        <v>55</v>
      </c>
      <c r="M246" s="785">
        <f t="shared" si="85"/>
        <v>4487.3441896989325</v>
      </c>
      <c r="N246" s="685">
        <v>4422</v>
      </c>
      <c r="O246" s="685"/>
      <c r="P246" s="189" t="s">
        <v>410</v>
      </c>
      <c r="Q246" s="802">
        <v>40747</v>
      </c>
      <c r="R246" s="801"/>
      <c r="S246" s="310">
        <v>28</v>
      </c>
      <c r="T246" s="834">
        <f>4449</f>
        <v>4449</v>
      </c>
      <c r="U246" s="25">
        <f t="shared" si="77"/>
        <v>124572</v>
      </c>
      <c r="V246" s="460"/>
      <c r="W246" s="802"/>
      <c r="X246" s="834"/>
      <c r="Y246" s="834"/>
      <c r="Z246" s="25"/>
    </row>
    <row r="247" spans="1:26" ht="13.5" customHeight="1">
      <c r="A247" s="784">
        <f t="shared" si="76"/>
        <v>52</v>
      </c>
      <c r="B247" s="302" t="s">
        <v>772</v>
      </c>
      <c r="C247" s="25">
        <f t="shared" si="88"/>
        <v>65210</v>
      </c>
      <c r="D247" s="785">
        <f t="shared" si="89"/>
        <v>5802.8690421101346</v>
      </c>
      <c r="E247" s="785">
        <f t="shared" si="89"/>
        <v>1530.7635354002778</v>
      </c>
      <c r="F247" s="785">
        <f t="shared" si="89"/>
        <v>3248.7764923646459</v>
      </c>
      <c r="G247" s="785">
        <f t="shared" si="89"/>
        <v>590.31929662193431</v>
      </c>
      <c r="H247" s="785">
        <f t="shared" si="89"/>
        <v>5630.1095171988281</v>
      </c>
      <c r="I247" s="785">
        <f t="shared" si="89"/>
        <v>976.35199753200675</v>
      </c>
      <c r="J247" s="369"/>
      <c r="K247" s="25">
        <f t="shared" si="80"/>
        <v>82989.189881227823</v>
      </c>
      <c r="L247" s="785">
        <v>8</v>
      </c>
      <c r="M247" s="785">
        <f t="shared" si="85"/>
        <v>10373.648735153478</v>
      </c>
      <c r="N247" s="685">
        <v>12564</v>
      </c>
      <c r="O247" s="685"/>
      <c r="P247" s="40" t="s">
        <v>624</v>
      </c>
      <c r="Q247" s="802">
        <v>40747</v>
      </c>
      <c r="R247" s="801"/>
      <c r="S247" s="310">
        <f>L247/2</f>
        <v>4</v>
      </c>
      <c r="T247" s="834">
        <v>16302.5</v>
      </c>
      <c r="U247" s="25">
        <f t="shared" si="77"/>
        <v>65210</v>
      </c>
      <c r="V247" s="460"/>
      <c r="W247" s="802"/>
      <c r="X247" s="834"/>
      <c r="Y247" s="834"/>
      <c r="Z247" s="25"/>
    </row>
    <row r="248" spans="1:26" ht="13.5" customHeight="1">
      <c r="A248" s="784">
        <f t="shared" si="76"/>
        <v>53</v>
      </c>
      <c r="B248" s="302" t="s">
        <v>780</v>
      </c>
      <c r="C248" s="25">
        <f t="shared" si="88"/>
        <v>2225</v>
      </c>
      <c r="D248" s="785">
        <f t="shared" si="89"/>
        <v>725.35863026376683</v>
      </c>
      <c r="E248" s="785">
        <f t="shared" si="89"/>
        <v>191.34544192503472</v>
      </c>
      <c r="F248" s="785">
        <f t="shared" si="89"/>
        <v>406.09706154558074</v>
      </c>
      <c r="G248" s="785">
        <f t="shared" si="89"/>
        <v>73.789912077741789</v>
      </c>
      <c r="H248" s="785">
        <f t="shared" si="89"/>
        <v>703.76368964985352</v>
      </c>
      <c r="I248" s="785">
        <f t="shared" si="89"/>
        <v>122.04399969150084</v>
      </c>
      <c r="J248" s="369"/>
      <c r="K248" s="25">
        <f t="shared" si="80"/>
        <v>4447.3987351534788</v>
      </c>
      <c r="L248" s="785">
        <v>1</v>
      </c>
      <c r="M248" s="785">
        <f t="shared" si="85"/>
        <v>4447.3987351534788</v>
      </c>
      <c r="N248" s="685">
        <v>5210</v>
      </c>
      <c r="O248" s="685"/>
      <c r="P248" s="189" t="s">
        <v>410</v>
      </c>
      <c r="Q248" s="802">
        <v>40747</v>
      </c>
      <c r="R248" s="801"/>
      <c r="S248" s="310">
        <f>L248/2</f>
        <v>0.5</v>
      </c>
      <c r="T248" s="834">
        <f>4449</f>
        <v>4449</v>
      </c>
      <c r="U248" s="25">
        <f t="shared" si="77"/>
        <v>2225</v>
      </c>
      <c r="V248" s="460"/>
      <c r="W248" s="802"/>
      <c r="X248" s="834"/>
      <c r="Y248" s="834"/>
      <c r="Z248" s="25"/>
    </row>
    <row r="249" spans="1:26" ht="13.5" customHeight="1">
      <c r="A249" s="784">
        <f t="shared" si="76"/>
        <v>54</v>
      </c>
      <c r="B249" s="302" t="s">
        <v>1025</v>
      </c>
      <c r="C249" s="25">
        <f t="shared" si="88"/>
        <v>4449</v>
      </c>
      <c r="D249" s="785">
        <f t="shared" si="89"/>
        <v>725.35863026376683</v>
      </c>
      <c r="E249" s="785">
        <f t="shared" si="89"/>
        <v>191.34544192503472</v>
      </c>
      <c r="F249" s="785">
        <f t="shared" si="89"/>
        <v>406.09706154558074</v>
      </c>
      <c r="G249" s="785">
        <f t="shared" si="89"/>
        <v>73.789912077741789</v>
      </c>
      <c r="H249" s="785">
        <f t="shared" si="89"/>
        <v>703.76368964985352</v>
      </c>
      <c r="I249" s="785">
        <f t="shared" si="89"/>
        <v>122.04399969150084</v>
      </c>
      <c r="J249" s="369"/>
      <c r="K249" s="25">
        <f t="shared" si="80"/>
        <v>6671.3987351534788</v>
      </c>
      <c r="L249" s="785">
        <v>1</v>
      </c>
      <c r="M249" s="785">
        <f t="shared" si="85"/>
        <v>6671.3987351534788</v>
      </c>
      <c r="N249" s="685">
        <v>7094</v>
      </c>
      <c r="O249" s="685"/>
      <c r="P249" s="189" t="s">
        <v>410</v>
      </c>
      <c r="Q249" s="802">
        <v>40747</v>
      </c>
      <c r="R249" s="801"/>
      <c r="S249" s="310">
        <f>L249</f>
        <v>1</v>
      </c>
      <c r="T249" s="834">
        <f>4449</f>
        <v>4449</v>
      </c>
      <c r="U249" s="25">
        <f t="shared" si="77"/>
        <v>4449</v>
      </c>
      <c r="V249" s="460"/>
      <c r="W249" s="802"/>
      <c r="X249" s="834"/>
      <c r="Y249" s="834"/>
      <c r="Z249" s="25"/>
    </row>
    <row r="250" spans="1:26" ht="13.5" customHeight="1">
      <c r="A250" s="784">
        <f t="shared" si="76"/>
        <v>55</v>
      </c>
      <c r="B250" s="302" t="s">
        <v>768</v>
      </c>
      <c r="C250" s="25">
        <f t="shared" si="88"/>
        <v>12052</v>
      </c>
      <c r="D250" s="785">
        <f t="shared" si="89"/>
        <v>1450.7172605275337</v>
      </c>
      <c r="E250" s="785">
        <f t="shared" si="89"/>
        <v>382.69088385006944</v>
      </c>
      <c r="F250" s="785">
        <f t="shared" si="89"/>
        <v>812.19412309116149</v>
      </c>
      <c r="G250" s="785">
        <f t="shared" si="89"/>
        <v>147.57982415548358</v>
      </c>
      <c r="H250" s="785">
        <f t="shared" si="89"/>
        <v>1407.527379299707</v>
      </c>
      <c r="I250" s="785">
        <f t="shared" si="89"/>
        <v>244.08799938300169</v>
      </c>
      <c r="J250" s="369"/>
      <c r="K250" s="25">
        <f t="shared" si="80"/>
        <v>16496.797470306956</v>
      </c>
      <c r="L250" s="785">
        <v>2</v>
      </c>
      <c r="M250" s="785">
        <f t="shared" si="85"/>
        <v>8248.3987351534779</v>
      </c>
      <c r="N250" s="685">
        <v>9263</v>
      </c>
      <c r="O250" s="685"/>
      <c r="P250" s="302" t="s">
        <v>502</v>
      </c>
      <c r="Q250" s="802">
        <v>40747</v>
      </c>
      <c r="R250" s="801"/>
      <c r="S250" s="310">
        <f>L250</f>
        <v>2</v>
      </c>
      <c r="T250" s="834">
        <v>6026</v>
      </c>
      <c r="U250" s="25">
        <f t="shared" si="77"/>
        <v>12052</v>
      </c>
      <c r="V250" s="460"/>
      <c r="W250" s="802"/>
      <c r="X250" s="834"/>
      <c r="Y250" s="834"/>
      <c r="Z250" s="25"/>
    </row>
    <row r="251" spans="1:26" ht="13.5" customHeight="1">
      <c r="A251" s="784">
        <f t="shared" si="76"/>
        <v>56</v>
      </c>
      <c r="B251" s="302" t="s">
        <v>770</v>
      </c>
      <c r="C251" s="25">
        <f t="shared" si="88"/>
        <v>16303</v>
      </c>
      <c r="D251" s="785">
        <f t="shared" si="89"/>
        <v>1450.7172605275337</v>
      </c>
      <c r="E251" s="785">
        <f t="shared" si="89"/>
        <v>382.69088385006944</v>
      </c>
      <c r="F251" s="785">
        <f t="shared" si="89"/>
        <v>812.19412309116149</v>
      </c>
      <c r="G251" s="785">
        <f t="shared" si="89"/>
        <v>147.57982415548358</v>
      </c>
      <c r="H251" s="785">
        <f t="shared" si="89"/>
        <v>1407.527379299707</v>
      </c>
      <c r="I251" s="785">
        <f t="shared" si="89"/>
        <v>244.08799938300169</v>
      </c>
      <c r="J251" s="369"/>
      <c r="K251" s="25">
        <f t="shared" si="80"/>
        <v>20747.797470306956</v>
      </c>
      <c r="L251" s="785">
        <v>2</v>
      </c>
      <c r="M251" s="785">
        <f t="shared" si="85"/>
        <v>10373.898735153478</v>
      </c>
      <c r="N251" s="685">
        <v>11321</v>
      </c>
      <c r="O251" s="685"/>
      <c r="P251" s="40" t="s">
        <v>624</v>
      </c>
      <c r="Q251" s="802">
        <v>40747</v>
      </c>
      <c r="R251" s="801"/>
      <c r="S251" s="310">
        <f>L251/2</f>
        <v>1</v>
      </c>
      <c r="T251" s="834">
        <v>16303</v>
      </c>
      <c r="U251" s="25">
        <f t="shared" si="77"/>
        <v>16303</v>
      </c>
      <c r="V251" s="460"/>
      <c r="W251" s="802"/>
      <c r="X251" s="834"/>
      <c r="Y251" s="834"/>
      <c r="Z251" s="25"/>
    </row>
    <row r="252" spans="1:26" ht="13.5" customHeight="1">
      <c r="A252" s="784">
        <f t="shared" si="76"/>
        <v>57</v>
      </c>
      <c r="B252" s="302" t="s">
        <v>781</v>
      </c>
      <c r="C252" s="25">
        <f t="shared" si="88"/>
        <v>48939</v>
      </c>
      <c r="D252" s="785">
        <f t="shared" si="89"/>
        <v>7978.9449329014351</v>
      </c>
      <c r="E252" s="785">
        <f t="shared" si="89"/>
        <v>2104.7998611753819</v>
      </c>
      <c r="F252" s="785">
        <f t="shared" si="89"/>
        <v>4467.0676770013879</v>
      </c>
      <c r="G252" s="785">
        <f t="shared" si="89"/>
        <v>811.68903285515967</v>
      </c>
      <c r="H252" s="785">
        <f t="shared" si="89"/>
        <v>7741.4005861483884</v>
      </c>
      <c r="I252" s="785">
        <f t="shared" si="89"/>
        <v>1342.4839966065092</v>
      </c>
      <c r="J252" s="369"/>
      <c r="K252" s="25">
        <f t="shared" si="80"/>
        <v>73385.386086688246</v>
      </c>
      <c r="L252" s="785">
        <v>11</v>
      </c>
      <c r="M252" s="785">
        <f t="shared" si="85"/>
        <v>6671.398735153477</v>
      </c>
      <c r="N252" s="685">
        <v>7348</v>
      </c>
      <c r="O252" s="685"/>
      <c r="P252" s="189" t="s">
        <v>410</v>
      </c>
      <c r="Q252" s="802">
        <v>40748</v>
      </c>
      <c r="R252" s="801"/>
      <c r="S252" s="310">
        <f>L252</f>
        <v>11</v>
      </c>
      <c r="T252" s="834">
        <f>4449</f>
        <v>4449</v>
      </c>
      <c r="U252" s="25">
        <f t="shared" si="77"/>
        <v>48939</v>
      </c>
      <c r="V252" s="460"/>
      <c r="W252" s="802"/>
      <c r="X252" s="834"/>
      <c r="Y252" s="834"/>
      <c r="Z252" s="25"/>
    </row>
    <row r="253" spans="1:26" ht="13.5" customHeight="1">
      <c r="A253" s="784">
        <f t="shared" si="76"/>
        <v>58</v>
      </c>
      <c r="B253" s="302" t="s">
        <v>782</v>
      </c>
      <c r="C253" s="25">
        <f t="shared" si="88"/>
        <v>11858</v>
      </c>
      <c r="D253" s="785">
        <f t="shared" si="89"/>
        <v>725.35863026376683</v>
      </c>
      <c r="E253" s="785">
        <f t="shared" si="89"/>
        <v>191.34544192503472</v>
      </c>
      <c r="F253" s="785">
        <f t="shared" si="89"/>
        <v>406.09706154558074</v>
      </c>
      <c r="G253" s="785">
        <f t="shared" si="89"/>
        <v>73.789912077741789</v>
      </c>
      <c r="H253" s="785">
        <f t="shared" si="89"/>
        <v>703.76368964985352</v>
      </c>
      <c r="I253" s="785">
        <f t="shared" si="89"/>
        <v>122.04399969150084</v>
      </c>
      <c r="J253" s="369"/>
      <c r="K253" s="25">
        <f t="shared" si="80"/>
        <v>14080.398735153478</v>
      </c>
      <c r="L253" s="785">
        <v>1</v>
      </c>
      <c r="M253" s="785">
        <f t="shared" si="85"/>
        <v>14080.398735153478</v>
      </c>
      <c r="N253" s="685">
        <v>15136</v>
      </c>
      <c r="O253" s="685"/>
      <c r="P253" s="189" t="s">
        <v>515</v>
      </c>
      <c r="Q253" s="802">
        <v>40748</v>
      </c>
      <c r="R253" s="801"/>
      <c r="S253" s="310">
        <f>L253/2</f>
        <v>0.5</v>
      </c>
      <c r="T253" s="260">
        <v>23716</v>
      </c>
      <c r="U253" s="25">
        <f t="shared" si="77"/>
        <v>11858</v>
      </c>
      <c r="V253" s="460"/>
      <c r="W253" s="802"/>
      <c r="X253" s="834"/>
      <c r="Y253" s="834"/>
      <c r="Z253" s="25"/>
    </row>
    <row r="254" spans="1:26" ht="13.5" customHeight="1">
      <c r="A254" s="784">
        <f t="shared" si="76"/>
        <v>59</v>
      </c>
      <c r="B254" s="302" t="s">
        <v>1035</v>
      </c>
      <c r="C254" s="25">
        <f t="shared" si="88"/>
        <v>71925</v>
      </c>
      <c r="D254" s="785">
        <f t="shared" si="89"/>
        <v>3626.7931513188341</v>
      </c>
      <c r="E254" s="785">
        <f t="shared" si="89"/>
        <v>956.7272096251736</v>
      </c>
      <c r="F254" s="785">
        <f t="shared" si="89"/>
        <v>2030.4853077279038</v>
      </c>
      <c r="G254" s="785">
        <f t="shared" si="89"/>
        <v>368.94956038870896</v>
      </c>
      <c r="H254" s="785">
        <f t="shared" si="89"/>
        <v>3518.8184482492675</v>
      </c>
      <c r="I254" s="785">
        <f t="shared" si="89"/>
        <v>610.21999845750418</v>
      </c>
      <c r="J254" s="369"/>
      <c r="K254" s="25">
        <f t="shared" si="80"/>
        <v>83036.993675767371</v>
      </c>
      <c r="L254" s="785">
        <v>5</v>
      </c>
      <c r="M254" s="785">
        <f t="shared" si="85"/>
        <v>16607.398735153474</v>
      </c>
      <c r="N254" s="685">
        <v>17837</v>
      </c>
      <c r="O254" s="685"/>
      <c r="P254" s="40" t="s">
        <v>649</v>
      </c>
      <c r="Q254" s="802">
        <v>40748</v>
      </c>
      <c r="R254" s="801"/>
      <c r="S254" s="310">
        <v>3</v>
      </c>
      <c r="T254" s="834">
        <v>23975</v>
      </c>
      <c r="U254" s="25">
        <f t="shared" si="77"/>
        <v>71925</v>
      </c>
      <c r="V254" s="460"/>
      <c r="W254" s="802"/>
      <c r="X254" s="834"/>
      <c r="Y254" s="834"/>
      <c r="Z254" s="25"/>
    </row>
    <row r="255" spans="1:26" ht="13.5" customHeight="1">
      <c r="A255" s="784">
        <f t="shared" si="76"/>
        <v>60</v>
      </c>
      <c r="B255" s="302" t="s">
        <v>1027</v>
      </c>
      <c r="C255" s="25">
        <f t="shared" si="88"/>
        <v>7268</v>
      </c>
      <c r="D255" s="785">
        <f t="shared" si="89"/>
        <v>725.35863026376683</v>
      </c>
      <c r="E255" s="785">
        <f t="shared" si="89"/>
        <v>191.34544192503472</v>
      </c>
      <c r="F255" s="785">
        <f t="shared" si="89"/>
        <v>406.09706154558074</v>
      </c>
      <c r="G255" s="785">
        <f t="shared" si="89"/>
        <v>73.789912077741789</v>
      </c>
      <c r="H255" s="785">
        <f t="shared" si="89"/>
        <v>703.76368964985352</v>
      </c>
      <c r="I255" s="785">
        <f t="shared" si="89"/>
        <v>122.04399969150084</v>
      </c>
      <c r="J255" s="369"/>
      <c r="K255" s="25">
        <f t="shared" si="80"/>
        <v>9490.3987351534779</v>
      </c>
      <c r="L255" s="785">
        <v>1</v>
      </c>
      <c r="M255" s="785">
        <f t="shared" si="85"/>
        <v>9490.3987351534779</v>
      </c>
      <c r="N255" s="685">
        <v>10026</v>
      </c>
      <c r="O255" s="685"/>
      <c r="P255" s="189" t="s">
        <v>546</v>
      </c>
      <c r="Q255" s="802">
        <v>40748</v>
      </c>
      <c r="R255" s="801"/>
      <c r="S255" s="310">
        <f>L255</f>
        <v>1</v>
      </c>
      <c r="T255" s="260">
        <v>7268</v>
      </c>
      <c r="U255" s="25">
        <f t="shared" si="77"/>
        <v>7268</v>
      </c>
      <c r="V255" s="460"/>
      <c r="W255" s="802"/>
      <c r="X255" s="834"/>
      <c r="Y255" s="834"/>
      <c r="Z255" s="25"/>
    </row>
    <row r="256" spans="1:26" ht="13.5" customHeight="1">
      <c r="A256" s="784">
        <f t="shared" si="76"/>
        <v>61</v>
      </c>
      <c r="B256" s="302" t="s">
        <v>1028</v>
      </c>
      <c r="C256" s="25">
        <f t="shared" si="88"/>
        <v>8152</v>
      </c>
      <c r="D256" s="785">
        <f t="shared" ref="D256:I265" si="90">IF($L$350&lt;&gt;0,D$350/$L$350*$L256,0)</f>
        <v>725.35863026376683</v>
      </c>
      <c r="E256" s="785">
        <f t="shared" si="90"/>
        <v>191.34544192503472</v>
      </c>
      <c r="F256" s="785">
        <f t="shared" si="90"/>
        <v>406.09706154558074</v>
      </c>
      <c r="G256" s="785">
        <f t="shared" si="90"/>
        <v>73.789912077741789</v>
      </c>
      <c r="H256" s="785">
        <f t="shared" si="90"/>
        <v>703.76368964985352</v>
      </c>
      <c r="I256" s="785">
        <f t="shared" si="90"/>
        <v>122.04399969150084</v>
      </c>
      <c r="J256" s="369"/>
      <c r="K256" s="25">
        <f t="shared" si="80"/>
        <v>10374.398735153478</v>
      </c>
      <c r="L256" s="785">
        <v>1</v>
      </c>
      <c r="M256" s="785">
        <f t="shared" si="85"/>
        <v>10374.398735153478</v>
      </c>
      <c r="N256" s="685">
        <v>10723</v>
      </c>
      <c r="O256" s="685"/>
      <c r="P256" s="40" t="s">
        <v>624</v>
      </c>
      <c r="Q256" s="802">
        <v>40748</v>
      </c>
      <c r="R256" s="801"/>
      <c r="S256" s="310">
        <f t="shared" ref="S256" si="91">L256/2</f>
        <v>0.5</v>
      </c>
      <c r="T256" s="834">
        <v>16303</v>
      </c>
      <c r="U256" s="25">
        <f t="shared" si="77"/>
        <v>8152</v>
      </c>
      <c r="V256" s="460"/>
      <c r="W256" s="802"/>
      <c r="X256" s="834"/>
      <c r="Y256" s="834"/>
      <c r="Z256" s="25"/>
    </row>
    <row r="257" spans="1:26" ht="13.5" customHeight="1">
      <c r="A257" s="784">
        <f t="shared" si="76"/>
        <v>62</v>
      </c>
      <c r="B257" s="302" t="s">
        <v>1036</v>
      </c>
      <c r="C257" s="25">
        <f t="shared" si="88"/>
        <v>1335180</v>
      </c>
      <c r="D257" s="785">
        <f t="shared" si="90"/>
        <v>78338.732068486817</v>
      </c>
      <c r="E257" s="785">
        <f t="shared" si="90"/>
        <v>20665.30772790375</v>
      </c>
      <c r="F257" s="785">
        <f t="shared" si="90"/>
        <v>43858.482646922719</v>
      </c>
      <c r="G257" s="785">
        <f t="shared" si="90"/>
        <v>7969.3105043961132</v>
      </c>
      <c r="H257" s="785">
        <f t="shared" si="90"/>
        <v>76006.478482184175</v>
      </c>
      <c r="I257" s="785">
        <f t="shared" si="90"/>
        <v>13180.751966682092</v>
      </c>
      <c r="J257" s="369"/>
      <c r="K257" s="25">
        <f t="shared" si="80"/>
        <v>1575199.0633965759</v>
      </c>
      <c r="L257" s="785">
        <v>108</v>
      </c>
      <c r="M257" s="785">
        <f t="shared" si="85"/>
        <v>14585.176512931257</v>
      </c>
      <c r="N257" s="685">
        <v>17100</v>
      </c>
      <c r="O257" s="685"/>
      <c r="P257" s="40" t="s">
        <v>623</v>
      </c>
      <c r="Q257" s="802">
        <v>40749</v>
      </c>
      <c r="R257" s="801"/>
      <c r="S257" s="310">
        <v>55</v>
      </c>
      <c r="T257" s="834">
        <v>24276</v>
      </c>
      <c r="U257" s="25">
        <f t="shared" si="77"/>
        <v>1335180</v>
      </c>
      <c r="V257" s="460"/>
      <c r="W257" s="802"/>
      <c r="X257" s="834"/>
      <c r="Y257" s="834"/>
      <c r="Z257" s="25"/>
    </row>
    <row r="258" spans="1:26" ht="13.5" customHeight="1">
      <c r="A258" s="784">
        <f t="shared" si="76"/>
        <v>63</v>
      </c>
      <c r="B258" s="302" t="s">
        <v>1037</v>
      </c>
      <c r="C258" s="25">
        <f t="shared" si="88"/>
        <v>1599773</v>
      </c>
      <c r="D258" s="785">
        <f t="shared" si="90"/>
        <v>70359.787135585386</v>
      </c>
      <c r="E258" s="785">
        <f t="shared" si="90"/>
        <v>18560.507866728367</v>
      </c>
      <c r="F258" s="785">
        <f t="shared" si="90"/>
        <v>39391.41496992133</v>
      </c>
      <c r="G258" s="785">
        <f t="shared" si="90"/>
        <v>7157.6214715409533</v>
      </c>
      <c r="H258" s="785">
        <f t="shared" si="90"/>
        <v>68265.077896035786</v>
      </c>
      <c r="I258" s="785">
        <f t="shared" si="90"/>
        <v>11838.267970075582</v>
      </c>
      <c r="J258" s="369"/>
      <c r="K258" s="25">
        <f t="shared" si="80"/>
        <v>1815345.6773098875</v>
      </c>
      <c r="L258" s="785">
        <v>97</v>
      </c>
      <c r="M258" s="785">
        <f t="shared" si="85"/>
        <v>18714.903889792655</v>
      </c>
      <c r="N258" s="685">
        <v>19690</v>
      </c>
      <c r="O258" s="685"/>
      <c r="P258" s="40" t="s">
        <v>651</v>
      </c>
      <c r="Q258" s="802">
        <v>40749</v>
      </c>
      <c r="R258" s="801"/>
      <c r="S258" s="310">
        <f>L258/2</f>
        <v>48.5</v>
      </c>
      <c r="T258" s="834">
        <v>32985</v>
      </c>
      <c r="U258" s="25">
        <f t="shared" si="77"/>
        <v>1599773</v>
      </c>
      <c r="V258" s="460"/>
      <c r="W258" s="802"/>
      <c r="X258" s="834"/>
      <c r="Y258" s="834"/>
      <c r="Z258" s="25"/>
    </row>
    <row r="259" spans="1:26" ht="13.5" customHeight="1">
      <c r="A259" s="784">
        <f t="shared" si="76"/>
        <v>64</v>
      </c>
      <c r="B259" s="302" t="s">
        <v>1038</v>
      </c>
      <c r="C259" s="25">
        <f t="shared" si="88"/>
        <v>984830</v>
      </c>
      <c r="D259" s="785">
        <f t="shared" si="90"/>
        <v>39894.724664507172</v>
      </c>
      <c r="E259" s="785">
        <f t="shared" si="90"/>
        <v>10523.999305876911</v>
      </c>
      <c r="F259" s="785">
        <f t="shared" si="90"/>
        <v>22335.33838500694</v>
      </c>
      <c r="G259" s="785">
        <f t="shared" si="90"/>
        <v>4058.4451642757986</v>
      </c>
      <c r="H259" s="785">
        <f t="shared" si="90"/>
        <v>38707.002930741946</v>
      </c>
      <c r="I259" s="785">
        <f t="shared" si="90"/>
        <v>6712.419983032546</v>
      </c>
      <c r="J259" s="369"/>
      <c r="K259" s="25">
        <f t="shared" si="80"/>
        <v>1107061.9304334414</v>
      </c>
      <c r="L259" s="785">
        <v>55</v>
      </c>
      <c r="M259" s="785">
        <f t="shared" si="85"/>
        <v>20128.398735153482</v>
      </c>
      <c r="N259" s="685">
        <v>23100</v>
      </c>
      <c r="O259" s="685"/>
      <c r="P259" s="40" t="s">
        <v>613</v>
      </c>
      <c r="Q259" s="802">
        <v>40749</v>
      </c>
      <c r="R259" s="801"/>
      <c r="S259" s="310">
        <f>L259/2</f>
        <v>27.5</v>
      </c>
      <c r="T259" s="834">
        <v>35812</v>
      </c>
      <c r="U259" s="25">
        <f t="shared" si="77"/>
        <v>984830</v>
      </c>
      <c r="V259" s="460"/>
      <c r="W259" s="802"/>
      <c r="X259" s="834"/>
      <c r="Y259" s="834"/>
      <c r="Z259" s="25"/>
    </row>
    <row r="260" spans="1:26" ht="13.5" customHeight="1">
      <c r="A260" s="784">
        <f t="shared" si="76"/>
        <v>65</v>
      </c>
      <c r="B260" s="302" t="s">
        <v>1039</v>
      </c>
      <c r="C260" s="25">
        <f t="shared" si="88"/>
        <v>2580828</v>
      </c>
      <c r="D260" s="785">
        <f t="shared" si="90"/>
        <v>361953.95650161966</v>
      </c>
      <c r="E260" s="785">
        <f t="shared" si="90"/>
        <v>95481.375520592323</v>
      </c>
      <c r="F260" s="785">
        <f t="shared" si="90"/>
        <v>202642.43371124478</v>
      </c>
      <c r="G260" s="785">
        <f t="shared" si="90"/>
        <v>36821.166126793156</v>
      </c>
      <c r="H260" s="785">
        <f t="shared" si="90"/>
        <v>351178.08113527688</v>
      </c>
      <c r="I260" s="785">
        <f t="shared" si="90"/>
        <v>60899.955846058918</v>
      </c>
      <c r="J260" s="369"/>
      <c r="K260" s="25">
        <f t="shared" si="80"/>
        <v>3689804.9688415863</v>
      </c>
      <c r="L260" s="785">
        <v>499</v>
      </c>
      <c r="M260" s="785">
        <f t="shared" si="85"/>
        <v>7394.3987351534797</v>
      </c>
      <c r="N260" s="685">
        <v>8100</v>
      </c>
      <c r="O260" s="685"/>
      <c r="P260" s="189" t="s">
        <v>601</v>
      </c>
      <c r="Q260" s="802">
        <v>40750</v>
      </c>
      <c r="R260" s="801"/>
      <c r="S260" s="310">
        <f>L260/2</f>
        <v>249.5</v>
      </c>
      <c r="T260" s="834">
        <v>10344</v>
      </c>
      <c r="U260" s="25">
        <f t="shared" si="77"/>
        <v>2580828</v>
      </c>
      <c r="V260" s="460"/>
      <c r="W260" s="802"/>
      <c r="X260" s="834"/>
      <c r="Y260" s="834"/>
      <c r="Z260" s="25"/>
    </row>
    <row r="261" spans="1:26" ht="13.5" customHeight="1">
      <c r="A261" s="784">
        <f t="shared" si="76"/>
        <v>66</v>
      </c>
      <c r="B261" s="302" t="s">
        <v>1040</v>
      </c>
      <c r="C261" s="25">
        <f t="shared" si="88"/>
        <v>7577130</v>
      </c>
      <c r="D261" s="785">
        <f t="shared" si="90"/>
        <v>710851.45765849145</v>
      </c>
      <c r="E261" s="785">
        <f t="shared" si="90"/>
        <v>187518.53308653404</v>
      </c>
      <c r="F261" s="785">
        <f t="shared" si="90"/>
        <v>397975.12031466916</v>
      </c>
      <c r="G261" s="785">
        <f t="shared" si="90"/>
        <v>72314.113836186953</v>
      </c>
      <c r="H261" s="785">
        <f t="shared" si="90"/>
        <v>689688.4158568565</v>
      </c>
      <c r="I261" s="785">
        <f t="shared" si="90"/>
        <v>119603.11969767083</v>
      </c>
      <c r="J261" s="369"/>
      <c r="K261" s="25">
        <f t="shared" ref="K261:K324" si="92">SUM(C261:I261)</f>
        <v>9755080.7604504097</v>
      </c>
      <c r="L261" s="785">
        <v>980</v>
      </c>
      <c r="M261" s="785">
        <f t="shared" si="85"/>
        <v>9954.164041275928</v>
      </c>
      <c r="N261" s="685">
        <v>11000</v>
      </c>
      <c r="O261" s="685"/>
      <c r="P261" s="40" t="s">
        <v>612</v>
      </c>
      <c r="Q261" s="802">
        <v>40764</v>
      </c>
      <c r="R261" s="801"/>
      <c r="S261" s="310">
        <v>330</v>
      </c>
      <c r="T261" s="834">
        <v>22961</v>
      </c>
      <c r="U261" s="25">
        <f t="shared" si="77"/>
        <v>7577130</v>
      </c>
      <c r="V261" s="460"/>
      <c r="W261" s="802"/>
      <c r="X261" s="834"/>
      <c r="Y261" s="834"/>
      <c r="Z261" s="25"/>
    </row>
    <row r="262" spans="1:26" ht="13.5" customHeight="1">
      <c r="A262" s="784">
        <f t="shared" ref="A262:A326" si="93">IF(B262&lt;&gt;"",A261+1,"")</f>
        <v>67</v>
      </c>
      <c r="B262" s="302" t="s">
        <v>1041</v>
      </c>
      <c r="C262" s="25">
        <f t="shared" si="88"/>
        <v>5370800</v>
      </c>
      <c r="D262" s="785">
        <f t="shared" si="90"/>
        <v>725358.63026376686</v>
      </c>
      <c r="E262" s="785">
        <f t="shared" si="90"/>
        <v>191345.44192503471</v>
      </c>
      <c r="F262" s="785">
        <f t="shared" si="90"/>
        <v>406097.06154558074</v>
      </c>
      <c r="G262" s="785">
        <f t="shared" si="90"/>
        <v>73789.912077741785</v>
      </c>
      <c r="H262" s="785">
        <f t="shared" si="90"/>
        <v>703763.68964985351</v>
      </c>
      <c r="I262" s="785">
        <f t="shared" si="90"/>
        <v>122043.99969150084</v>
      </c>
      <c r="J262" s="369"/>
      <c r="K262" s="25">
        <f t="shared" si="92"/>
        <v>7593198.7351534795</v>
      </c>
      <c r="L262" s="785">
        <v>1000</v>
      </c>
      <c r="M262" s="785">
        <f t="shared" si="85"/>
        <v>7593.1987351534799</v>
      </c>
      <c r="N262" s="685">
        <v>11000</v>
      </c>
      <c r="O262" s="685"/>
      <c r="P262" s="189" t="s">
        <v>567</v>
      </c>
      <c r="Q262" s="802">
        <v>40772</v>
      </c>
      <c r="R262" s="801"/>
      <c r="S262" s="310">
        <v>200</v>
      </c>
      <c r="T262" s="834">
        <v>26854</v>
      </c>
      <c r="U262" s="25">
        <f t="shared" si="77"/>
        <v>5370800</v>
      </c>
      <c r="V262" s="460"/>
      <c r="W262" s="802"/>
      <c r="X262" s="834"/>
      <c r="Y262" s="834"/>
      <c r="Z262" s="25"/>
    </row>
    <row r="263" spans="1:26" ht="13.5" customHeight="1">
      <c r="A263" s="784">
        <f t="shared" si="93"/>
        <v>68</v>
      </c>
      <c r="B263" s="302" t="s">
        <v>1064</v>
      </c>
      <c r="C263" s="25">
        <f t="shared" si="88"/>
        <v>62720</v>
      </c>
      <c r="D263" s="785">
        <f t="shared" si="90"/>
        <v>2901.4345210550673</v>
      </c>
      <c r="E263" s="785">
        <f t="shared" si="90"/>
        <v>765.38176770013888</v>
      </c>
      <c r="F263" s="785">
        <f t="shared" si="90"/>
        <v>1624.388246182323</v>
      </c>
      <c r="G263" s="785">
        <f t="shared" si="90"/>
        <v>295.15964831096716</v>
      </c>
      <c r="H263" s="785">
        <f t="shared" si="90"/>
        <v>2815.0547585994141</v>
      </c>
      <c r="I263" s="785">
        <f t="shared" si="90"/>
        <v>488.17599876600337</v>
      </c>
      <c r="J263" s="369"/>
      <c r="K263" s="25">
        <f t="shared" si="92"/>
        <v>71609.594940613912</v>
      </c>
      <c r="L263" s="785">
        <v>4</v>
      </c>
      <c r="M263" s="785">
        <f t="shared" si="85"/>
        <v>17902.398735153478</v>
      </c>
      <c r="N263" s="685">
        <v>17837</v>
      </c>
      <c r="O263" s="685"/>
      <c r="P263" s="40" t="s">
        <v>637</v>
      </c>
      <c r="Q263" s="802">
        <v>40772</v>
      </c>
      <c r="R263" s="801"/>
      <c r="S263" s="310">
        <v>2</v>
      </c>
      <c r="T263" s="834">
        <v>31360</v>
      </c>
      <c r="U263" s="25">
        <f t="shared" si="77"/>
        <v>62720</v>
      </c>
      <c r="V263" s="460"/>
      <c r="W263" s="802"/>
      <c r="X263" s="834"/>
      <c r="Y263" s="834"/>
      <c r="Z263" s="25"/>
    </row>
    <row r="264" spans="1:26" ht="13.5" customHeight="1">
      <c r="A264" s="784">
        <f t="shared" si="93"/>
        <v>69</v>
      </c>
      <c r="B264" s="302" t="s">
        <v>1065</v>
      </c>
      <c r="C264" s="25">
        <f t="shared" si="88"/>
        <v>4449</v>
      </c>
      <c r="D264" s="785">
        <f t="shared" si="90"/>
        <v>725.35863026376683</v>
      </c>
      <c r="E264" s="785">
        <f t="shared" si="90"/>
        <v>191.34544192503472</v>
      </c>
      <c r="F264" s="785">
        <f t="shared" si="90"/>
        <v>406.09706154558074</v>
      </c>
      <c r="G264" s="785">
        <f t="shared" si="90"/>
        <v>73.789912077741789</v>
      </c>
      <c r="H264" s="785">
        <f t="shared" si="90"/>
        <v>703.76368964985352</v>
      </c>
      <c r="I264" s="785">
        <f t="shared" si="90"/>
        <v>122.04399969150084</v>
      </c>
      <c r="J264" s="369"/>
      <c r="K264" s="25">
        <f t="shared" si="92"/>
        <v>6671.3987351534788</v>
      </c>
      <c r="L264" s="785">
        <v>1</v>
      </c>
      <c r="M264" s="785">
        <f t="shared" si="85"/>
        <v>6671.3987351534788</v>
      </c>
      <c r="N264" s="685">
        <v>7093</v>
      </c>
      <c r="O264" s="685"/>
      <c r="P264" s="189" t="s">
        <v>410</v>
      </c>
      <c r="Q264" s="802">
        <v>40772</v>
      </c>
      <c r="R264" s="801"/>
      <c r="S264" s="310">
        <f>L264</f>
        <v>1</v>
      </c>
      <c r="T264" s="834">
        <f>4449</f>
        <v>4449</v>
      </c>
      <c r="U264" s="25">
        <f t="shared" si="77"/>
        <v>4449</v>
      </c>
      <c r="V264" s="460"/>
      <c r="W264" s="802"/>
      <c r="X264" s="834"/>
      <c r="Y264" s="834"/>
      <c r="Z264" s="25"/>
    </row>
    <row r="265" spans="1:26" ht="13.5" customHeight="1">
      <c r="A265" s="784">
        <f t="shared" si="93"/>
        <v>70</v>
      </c>
      <c r="B265" s="302" t="s">
        <v>1066</v>
      </c>
      <c r="C265" s="25">
        <f t="shared" si="88"/>
        <v>26894</v>
      </c>
      <c r="D265" s="785">
        <f t="shared" si="90"/>
        <v>2176.0758907913005</v>
      </c>
      <c r="E265" s="785">
        <f t="shared" si="90"/>
        <v>574.03632577510416</v>
      </c>
      <c r="F265" s="785">
        <f t="shared" si="90"/>
        <v>1218.2911846367422</v>
      </c>
      <c r="G265" s="785">
        <f t="shared" si="90"/>
        <v>221.36973623322535</v>
      </c>
      <c r="H265" s="785">
        <f t="shared" si="90"/>
        <v>2111.2910689495607</v>
      </c>
      <c r="I265" s="785">
        <f t="shared" si="90"/>
        <v>366.13199907450252</v>
      </c>
      <c r="J265" s="369"/>
      <c r="K265" s="25">
        <f t="shared" si="92"/>
        <v>33561.196205460437</v>
      </c>
      <c r="L265" s="785">
        <v>3</v>
      </c>
      <c r="M265" s="785">
        <f t="shared" si="85"/>
        <v>11187.065401820146</v>
      </c>
      <c r="N265" s="685">
        <v>10253</v>
      </c>
      <c r="O265" s="685"/>
      <c r="P265" s="40" t="s">
        <v>622</v>
      </c>
      <c r="Q265" s="802">
        <v>40772</v>
      </c>
      <c r="R265" s="801"/>
      <c r="S265" s="310">
        <v>1</v>
      </c>
      <c r="T265" s="832">
        <v>26894</v>
      </c>
      <c r="U265" s="25">
        <f t="shared" si="77"/>
        <v>26894</v>
      </c>
      <c r="V265" s="460"/>
      <c r="W265" s="802"/>
      <c r="X265" s="834"/>
      <c r="Y265" s="834"/>
      <c r="Z265" s="25"/>
    </row>
    <row r="266" spans="1:26" ht="13.5" customHeight="1">
      <c r="A266" s="784">
        <f t="shared" si="93"/>
        <v>71</v>
      </c>
      <c r="B266" s="302" t="s">
        <v>1067</v>
      </c>
      <c r="C266" s="25">
        <f t="shared" si="88"/>
        <v>16173</v>
      </c>
      <c r="D266" s="785">
        <f t="shared" ref="D266:I275" si="94">IF($L$350&lt;&gt;0,D$350/$L$350*$L266,0)</f>
        <v>1450.7172605275337</v>
      </c>
      <c r="E266" s="785">
        <f t="shared" si="94"/>
        <v>382.69088385006944</v>
      </c>
      <c r="F266" s="785">
        <f t="shared" si="94"/>
        <v>812.19412309116149</v>
      </c>
      <c r="G266" s="785">
        <f t="shared" si="94"/>
        <v>147.57982415548358</v>
      </c>
      <c r="H266" s="785">
        <f t="shared" si="94"/>
        <v>1407.527379299707</v>
      </c>
      <c r="I266" s="785">
        <f t="shared" si="94"/>
        <v>244.08799938300169</v>
      </c>
      <c r="J266" s="369"/>
      <c r="K266" s="25">
        <f t="shared" si="92"/>
        <v>20617.797470306956</v>
      </c>
      <c r="L266" s="785">
        <v>2</v>
      </c>
      <c r="M266" s="785">
        <f t="shared" si="85"/>
        <v>10308.898735153478</v>
      </c>
      <c r="N266" s="685">
        <v>14881</v>
      </c>
      <c r="O266" s="685"/>
      <c r="P266" s="189" t="s">
        <v>511</v>
      </c>
      <c r="Q266" s="802">
        <v>40772</v>
      </c>
      <c r="R266" s="801"/>
      <c r="S266" s="310">
        <f t="shared" ref="S266:S267" si="95">L266/2</f>
        <v>1</v>
      </c>
      <c r="T266" s="834">
        <v>16173</v>
      </c>
      <c r="U266" s="25">
        <f t="shared" si="77"/>
        <v>16173</v>
      </c>
      <c r="V266" s="460"/>
      <c r="W266" s="802"/>
      <c r="X266" s="834"/>
      <c r="Y266" s="834"/>
      <c r="Z266" s="25"/>
    </row>
    <row r="267" spans="1:26" ht="13.5" customHeight="1">
      <c r="A267" s="784">
        <f>IF(B267&lt;&gt;"",A266+1,"")</f>
        <v>72</v>
      </c>
      <c r="B267" s="302" t="s">
        <v>1068</v>
      </c>
      <c r="C267" s="25">
        <f t="shared" si="88"/>
        <v>8087</v>
      </c>
      <c r="D267" s="785">
        <f t="shared" si="94"/>
        <v>725.35863026376683</v>
      </c>
      <c r="E267" s="785">
        <f t="shared" si="94"/>
        <v>191.34544192503472</v>
      </c>
      <c r="F267" s="785">
        <f t="shared" si="94"/>
        <v>406.09706154558074</v>
      </c>
      <c r="G267" s="785">
        <f t="shared" si="94"/>
        <v>73.789912077741789</v>
      </c>
      <c r="H267" s="785">
        <f t="shared" si="94"/>
        <v>703.76368964985352</v>
      </c>
      <c r="I267" s="785">
        <f t="shared" si="94"/>
        <v>122.04399969150084</v>
      </c>
      <c r="J267" s="369"/>
      <c r="K267" s="25">
        <f t="shared" si="92"/>
        <v>10309.398735153478</v>
      </c>
      <c r="L267" s="785">
        <v>1</v>
      </c>
      <c r="M267" s="785">
        <f t="shared" si="85"/>
        <v>10309.398735153478</v>
      </c>
      <c r="N267" s="685">
        <v>12207</v>
      </c>
      <c r="O267" s="685"/>
      <c r="P267" s="189" t="s">
        <v>511</v>
      </c>
      <c r="Q267" s="802">
        <v>40772</v>
      </c>
      <c r="R267" s="801"/>
      <c r="S267" s="310">
        <f t="shared" si="95"/>
        <v>0.5</v>
      </c>
      <c r="T267" s="834">
        <v>16173</v>
      </c>
      <c r="U267" s="25">
        <f t="shared" si="77"/>
        <v>8087</v>
      </c>
      <c r="V267" s="460"/>
      <c r="W267" s="802"/>
      <c r="X267" s="834"/>
      <c r="Y267" s="834"/>
      <c r="Z267" s="25"/>
    </row>
    <row r="268" spans="1:26" ht="13.5" customHeight="1">
      <c r="A268" s="784">
        <f t="shared" si="93"/>
        <v>73</v>
      </c>
      <c r="B268" s="302" t="s">
        <v>1069</v>
      </c>
      <c r="C268" s="25">
        <f t="shared" si="88"/>
        <v>7268</v>
      </c>
      <c r="D268" s="785">
        <f t="shared" si="94"/>
        <v>725.35863026376683</v>
      </c>
      <c r="E268" s="785">
        <f t="shared" si="94"/>
        <v>191.34544192503472</v>
      </c>
      <c r="F268" s="785">
        <f t="shared" si="94"/>
        <v>406.09706154558074</v>
      </c>
      <c r="G268" s="785">
        <f t="shared" si="94"/>
        <v>73.789912077741789</v>
      </c>
      <c r="H268" s="785">
        <f t="shared" si="94"/>
        <v>703.76368964985352</v>
      </c>
      <c r="I268" s="785">
        <f t="shared" si="94"/>
        <v>122.04399969150084</v>
      </c>
      <c r="J268" s="369"/>
      <c r="K268" s="25">
        <f t="shared" si="92"/>
        <v>9490.3987351534779</v>
      </c>
      <c r="L268" s="785">
        <v>1</v>
      </c>
      <c r="M268" s="785">
        <f t="shared" si="85"/>
        <v>9490.3987351534779</v>
      </c>
      <c r="N268" s="685">
        <v>10110</v>
      </c>
      <c r="O268" s="685"/>
      <c r="P268" s="189" t="s">
        <v>546</v>
      </c>
      <c r="Q268" s="802">
        <v>40772</v>
      </c>
      <c r="R268" s="801"/>
      <c r="S268" s="310">
        <f>L268</f>
        <v>1</v>
      </c>
      <c r="T268" s="260">
        <v>7268</v>
      </c>
      <c r="U268" s="25">
        <f t="shared" si="77"/>
        <v>7268</v>
      </c>
      <c r="V268" s="460"/>
      <c r="W268" s="802"/>
      <c r="X268" s="834"/>
      <c r="Y268" s="834"/>
      <c r="Z268" s="25"/>
    </row>
    <row r="269" spans="1:26" ht="13.5" customHeight="1">
      <c r="A269" s="784">
        <f t="shared" si="93"/>
        <v>74</v>
      </c>
      <c r="B269" s="302" t="s">
        <v>1070</v>
      </c>
      <c r="C269" s="25">
        <f t="shared" si="88"/>
        <v>16173</v>
      </c>
      <c r="D269" s="785">
        <f t="shared" si="94"/>
        <v>1450.7172605275337</v>
      </c>
      <c r="E269" s="785">
        <f t="shared" si="94"/>
        <v>382.69088385006944</v>
      </c>
      <c r="F269" s="785">
        <f t="shared" si="94"/>
        <v>812.19412309116149</v>
      </c>
      <c r="G269" s="785">
        <f t="shared" si="94"/>
        <v>147.57982415548358</v>
      </c>
      <c r="H269" s="785">
        <f t="shared" si="94"/>
        <v>1407.527379299707</v>
      </c>
      <c r="I269" s="785">
        <f t="shared" si="94"/>
        <v>244.08799938300169</v>
      </c>
      <c r="J269" s="369"/>
      <c r="K269" s="25">
        <f t="shared" si="92"/>
        <v>20617.797470306956</v>
      </c>
      <c r="L269" s="785">
        <v>2</v>
      </c>
      <c r="M269" s="785">
        <f t="shared" si="85"/>
        <v>10308.898735153478</v>
      </c>
      <c r="N269" s="685">
        <v>15053</v>
      </c>
      <c r="O269" s="685"/>
      <c r="P269" s="189" t="s">
        <v>511</v>
      </c>
      <c r="Q269" s="802">
        <v>40772</v>
      </c>
      <c r="R269" s="801"/>
      <c r="S269" s="310">
        <f>L269/2</f>
        <v>1</v>
      </c>
      <c r="T269" s="834">
        <v>16173</v>
      </c>
      <c r="U269" s="25">
        <f t="shared" si="77"/>
        <v>16173</v>
      </c>
      <c r="V269" s="460"/>
      <c r="W269" s="802"/>
      <c r="X269" s="834"/>
      <c r="Y269" s="834"/>
      <c r="Z269" s="25"/>
    </row>
    <row r="270" spans="1:26" ht="13.5" customHeight="1">
      <c r="A270" s="784">
        <f t="shared" si="93"/>
        <v>75</v>
      </c>
      <c r="B270" s="302" t="s">
        <v>1071</v>
      </c>
      <c r="C270" s="25">
        <f t="shared" si="88"/>
        <v>7509250</v>
      </c>
      <c r="D270" s="785">
        <f t="shared" si="94"/>
        <v>507751.04118463676</v>
      </c>
      <c r="E270" s="785">
        <f t="shared" si="94"/>
        <v>133941.80934752431</v>
      </c>
      <c r="F270" s="785">
        <f t="shared" si="94"/>
        <v>284267.94308190653</v>
      </c>
      <c r="G270" s="785">
        <f t="shared" si="94"/>
        <v>51652.938454419251</v>
      </c>
      <c r="H270" s="785">
        <f t="shared" si="94"/>
        <v>492634.58275489748</v>
      </c>
      <c r="I270" s="785">
        <f t="shared" si="94"/>
        <v>85430.799784050585</v>
      </c>
      <c r="J270" s="369"/>
      <c r="K270" s="25">
        <f t="shared" si="92"/>
        <v>9064929.1146074347</v>
      </c>
      <c r="L270" s="785">
        <v>700</v>
      </c>
      <c r="M270" s="785">
        <f t="shared" si="85"/>
        <v>12949.898735153478</v>
      </c>
      <c r="N270" s="685">
        <v>14438</v>
      </c>
      <c r="O270" s="685"/>
      <c r="P270" s="189" t="s">
        <v>654</v>
      </c>
      <c r="Q270" s="802">
        <v>40772</v>
      </c>
      <c r="R270" s="801"/>
      <c r="S270" s="310">
        <f>L270/2</f>
        <v>350</v>
      </c>
      <c r="T270" s="862">
        <v>21455</v>
      </c>
      <c r="U270" s="25">
        <f t="shared" si="77"/>
        <v>7509250</v>
      </c>
      <c r="V270" s="460"/>
      <c r="W270" s="802"/>
      <c r="X270" s="834"/>
      <c r="Y270" s="834"/>
      <c r="Z270" s="25"/>
    </row>
    <row r="271" spans="1:26" ht="13.5" customHeight="1">
      <c r="A271" s="784">
        <f t="shared" si="93"/>
        <v>76</v>
      </c>
      <c r="B271" s="302" t="s">
        <v>1072</v>
      </c>
      <c r="C271" s="25">
        <f t="shared" si="88"/>
        <v>738276</v>
      </c>
      <c r="D271" s="785">
        <f t="shared" si="94"/>
        <v>45697.593706617306</v>
      </c>
      <c r="E271" s="785">
        <f t="shared" si="94"/>
        <v>12054.762841277188</v>
      </c>
      <c r="F271" s="785">
        <f t="shared" si="94"/>
        <v>25584.114877371587</v>
      </c>
      <c r="G271" s="785">
        <f t="shared" si="94"/>
        <v>4648.7644608977325</v>
      </c>
      <c r="H271" s="785">
        <f t="shared" si="94"/>
        <v>44337.112447940774</v>
      </c>
      <c r="I271" s="785">
        <f t="shared" si="94"/>
        <v>7688.7719805645529</v>
      </c>
      <c r="J271" s="369"/>
      <c r="K271" s="25">
        <f t="shared" si="92"/>
        <v>878287.12031466921</v>
      </c>
      <c r="L271" s="785">
        <v>63</v>
      </c>
      <c r="M271" s="785">
        <f t="shared" si="85"/>
        <v>13941.065401820146</v>
      </c>
      <c r="N271" s="685">
        <v>16713</v>
      </c>
      <c r="O271" s="685"/>
      <c r="P271" s="40" t="s">
        <v>579</v>
      </c>
      <c r="Q271" s="802">
        <v>40774</v>
      </c>
      <c r="R271" s="801"/>
      <c r="S271" s="310">
        <v>33</v>
      </c>
      <c r="T271" s="834">
        <v>22372</v>
      </c>
      <c r="U271" s="25">
        <f t="shared" si="77"/>
        <v>738276</v>
      </c>
      <c r="V271" s="460"/>
      <c r="W271" s="802"/>
      <c r="X271" s="834"/>
      <c r="Y271" s="834"/>
      <c r="Z271" s="25"/>
    </row>
    <row r="272" spans="1:26" ht="13.5" customHeight="1">
      <c r="A272" s="784">
        <f t="shared" si="93"/>
        <v>77</v>
      </c>
      <c r="B272" s="302" t="s">
        <v>1073</v>
      </c>
      <c r="C272" s="25">
        <f t="shared" si="88"/>
        <v>713736</v>
      </c>
      <c r="D272" s="785">
        <f t="shared" si="94"/>
        <v>100099.49097639983</v>
      </c>
      <c r="E272" s="785">
        <f t="shared" si="94"/>
        <v>26405.67098565479</v>
      </c>
      <c r="F272" s="785">
        <f t="shared" si="94"/>
        <v>56041.394493290143</v>
      </c>
      <c r="G272" s="785">
        <f t="shared" si="94"/>
        <v>10183.007866728367</v>
      </c>
      <c r="H272" s="785">
        <f t="shared" si="94"/>
        <v>97119.389171679781</v>
      </c>
      <c r="I272" s="785">
        <f t="shared" si="94"/>
        <v>16842.071957427117</v>
      </c>
      <c r="J272" s="369"/>
      <c r="K272" s="25">
        <f t="shared" si="92"/>
        <v>1020427.0254511799</v>
      </c>
      <c r="L272" s="785">
        <v>138</v>
      </c>
      <c r="M272" s="785">
        <f t="shared" si="85"/>
        <v>7394.3987351534779</v>
      </c>
      <c r="N272" s="685">
        <v>8450</v>
      </c>
      <c r="O272" s="685"/>
      <c r="P272" s="189" t="s">
        <v>601</v>
      </c>
      <c r="Q272" s="802">
        <v>40774</v>
      </c>
      <c r="R272" s="801"/>
      <c r="S272" s="310">
        <f>L272/2</f>
        <v>69</v>
      </c>
      <c r="T272" s="834">
        <v>10344</v>
      </c>
      <c r="U272" s="25">
        <f t="shared" si="77"/>
        <v>713736</v>
      </c>
      <c r="V272" s="460"/>
      <c r="W272" s="802"/>
      <c r="X272" s="834"/>
      <c r="Y272" s="834"/>
      <c r="Z272" s="25"/>
    </row>
    <row r="273" spans="1:26" ht="13.5" customHeight="1">
      <c r="A273" s="784">
        <f t="shared" si="93"/>
        <v>78</v>
      </c>
      <c r="B273" s="302" t="s">
        <v>1074</v>
      </c>
      <c r="C273" s="25">
        <f t="shared" si="88"/>
        <v>1708596</v>
      </c>
      <c r="D273" s="785">
        <f t="shared" si="94"/>
        <v>202375.05784359094</v>
      </c>
      <c r="E273" s="785">
        <f t="shared" si="94"/>
        <v>53385.378297084688</v>
      </c>
      <c r="F273" s="785">
        <f t="shared" si="94"/>
        <v>113301.08017121702</v>
      </c>
      <c r="G273" s="785">
        <f t="shared" si="94"/>
        <v>20587.385469689958</v>
      </c>
      <c r="H273" s="785">
        <f t="shared" si="94"/>
        <v>196350.06941230912</v>
      </c>
      <c r="I273" s="785">
        <f t="shared" si="94"/>
        <v>34050.275913928737</v>
      </c>
      <c r="J273" s="369"/>
      <c r="K273" s="25">
        <f t="shared" si="92"/>
        <v>2328645.2471078201</v>
      </c>
      <c r="L273" s="785">
        <v>279</v>
      </c>
      <c r="M273" s="785">
        <f t="shared" si="85"/>
        <v>8346.3987351534779</v>
      </c>
      <c r="N273" s="685">
        <v>9594</v>
      </c>
      <c r="O273" s="685"/>
      <c r="P273" s="189" t="s">
        <v>408</v>
      </c>
      <c r="Q273" s="802">
        <v>40774</v>
      </c>
      <c r="R273" s="801"/>
      <c r="S273" s="310">
        <f>L273</f>
        <v>279</v>
      </c>
      <c r="T273" s="834">
        <v>6124</v>
      </c>
      <c r="U273" s="25">
        <f t="shared" si="77"/>
        <v>1708596</v>
      </c>
      <c r="V273" s="460"/>
      <c r="W273" s="802"/>
      <c r="X273" s="834"/>
      <c r="Y273" s="834"/>
      <c r="Z273" s="25"/>
    </row>
    <row r="274" spans="1:26" ht="13.5" customHeight="1">
      <c r="A274" s="784">
        <f t="shared" si="93"/>
        <v>79</v>
      </c>
      <c r="B274" s="302" t="s">
        <v>1075</v>
      </c>
      <c r="C274" s="25">
        <f t="shared" si="88"/>
        <v>339460</v>
      </c>
      <c r="D274" s="785">
        <f t="shared" si="94"/>
        <v>29739.70384081444</v>
      </c>
      <c r="E274" s="785">
        <f t="shared" si="94"/>
        <v>7845.1631189264235</v>
      </c>
      <c r="F274" s="785">
        <f t="shared" si="94"/>
        <v>16649.979523368809</v>
      </c>
      <c r="G274" s="785">
        <f t="shared" si="94"/>
        <v>3025.3863951874132</v>
      </c>
      <c r="H274" s="785">
        <f t="shared" si="94"/>
        <v>28854.311275643995</v>
      </c>
      <c r="I274" s="785">
        <f t="shared" si="94"/>
        <v>5003.8039873515345</v>
      </c>
      <c r="J274" s="369"/>
      <c r="K274" s="25">
        <f t="shared" si="92"/>
        <v>430578.34814129258</v>
      </c>
      <c r="L274" s="785">
        <v>41</v>
      </c>
      <c r="M274" s="785">
        <f t="shared" si="85"/>
        <v>10501.91093027543</v>
      </c>
      <c r="N274" s="685">
        <v>11992</v>
      </c>
      <c r="O274" s="685"/>
      <c r="P274" s="189" t="s">
        <v>574</v>
      </c>
      <c r="Q274" s="802">
        <v>40774</v>
      </c>
      <c r="R274" s="801"/>
      <c r="S274" s="310">
        <v>20</v>
      </c>
      <c r="T274" s="834">
        <v>16973</v>
      </c>
      <c r="U274" s="25">
        <f t="shared" si="77"/>
        <v>339460</v>
      </c>
      <c r="V274" s="460"/>
      <c r="W274" s="802"/>
      <c r="X274" s="834"/>
      <c r="Y274" s="834"/>
      <c r="Z274" s="25"/>
    </row>
    <row r="275" spans="1:26" ht="13.5" customHeight="1">
      <c r="A275" s="784">
        <f t="shared" si="93"/>
        <v>80</v>
      </c>
      <c r="B275" s="302" t="s">
        <v>1076</v>
      </c>
      <c r="C275" s="25">
        <f t="shared" si="88"/>
        <v>1307440</v>
      </c>
      <c r="D275" s="785">
        <f t="shared" si="94"/>
        <v>109529.15316982879</v>
      </c>
      <c r="E275" s="785">
        <f t="shared" si="94"/>
        <v>28893.161730680244</v>
      </c>
      <c r="F275" s="785">
        <f t="shared" si="94"/>
        <v>61320.656293382694</v>
      </c>
      <c r="G275" s="785">
        <f t="shared" si="94"/>
        <v>11142.276723739011</v>
      </c>
      <c r="H275" s="785">
        <f t="shared" si="94"/>
        <v>106268.31713712789</v>
      </c>
      <c r="I275" s="785">
        <f t="shared" si="94"/>
        <v>18428.643953416627</v>
      </c>
      <c r="J275" s="369"/>
      <c r="K275" s="25">
        <f t="shared" si="92"/>
        <v>1643022.2090081752</v>
      </c>
      <c r="L275" s="785">
        <v>151</v>
      </c>
      <c r="M275" s="785">
        <f t="shared" si="85"/>
        <v>10880.941781511094</v>
      </c>
      <c r="N275" s="685">
        <v>11067</v>
      </c>
      <c r="O275" s="685"/>
      <c r="P275" s="189" t="s">
        <v>607</v>
      </c>
      <c r="Q275" s="802">
        <v>40774</v>
      </c>
      <c r="R275" s="801"/>
      <c r="S275" s="310">
        <v>40</v>
      </c>
      <c r="T275" s="862">
        <v>32686</v>
      </c>
      <c r="U275" s="25">
        <f t="shared" si="77"/>
        <v>1307440</v>
      </c>
      <c r="V275" s="460"/>
      <c r="W275" s="802"/>
      <c r="X275" s="834"/>
      <c r="Y275" s="834"/>
      <c r="Z275" s="25"/>
    </row>
    <row r="276" spans="1:26" ht="13.5" customHeight="1">
      <c r="A276" s="784">
        <f t="shared" si="93"/>
        <v>81</v>
      </c>
      <c r="B276" s="302" t="s">
        <v>1077</v>
      </c>
      <c r="C276" s="25">
        <f t="shared" si="88"/>
        <v>2654496</v>
      </c>
      <c r="D276" s="785">
        <f t="shared" ref="D276:I285" si="96">IF($L$350&lt;&gt;0,D$350/$L$350*$L276,0)</f>
        <v>335841.04581212404</v>
      </c>
      <c r="E276" s="785">
        <f t="shared" si="96"/>
        <v>88592.939611291076</v>
      </c>
      <c r="F276" s="785">
        <f t="shared" si="96"/>
        <v>188022.93949560387</v>
      </c>
      <c r="G276" s="785">
        <f t="shared" si="96"/>
        <v>34164.729291994445</v>
      </c>
      <c r="H276" s="785">
        <f t="shared" si="96"/>
        <v>325842.58830788219</v>
      </c>
      <c r="I276" s="785">
        <f t="shared" si="96"/>
        <v>56506.371857164893</v>
      </c>
      <c r="J276" s="369"/>
      <c r="K276" s="25">
        <f t="shared" si="92"/>
        <v>3683466.6143760607</v>
      </c>
      <c r="L276" s="785">
        <v>463</v>
      </c>
      <c r="M276" s="785">
        <f t="shared" si="85"/>
        <v>7955.6514349374957</v>
      </c>
      <c r="N276" s="685">
        <v>10594</v>
      </c>
      <c r="O276" s="685"/>
      <c r="P276" s="189" t="s">
        <v>592</v>
      </c>
      <c r="Q276" s="802">
        <v>40774</v>
      </c>
      <c r="R276" s="801"/>
      <c r="S276" s="310">
        <v>104</v>
      </c>
      <c r="T276" s="832">
        <v>25524</v>
      </c>
      <c r="U276" s="25">
        <f t="shared" si="77"/>
        <v>2654496</v>
      </c>
      <c r="V276" s="460"/>
      <c r="W276" s="802"/>
      <c r="X276" s="834"/>
      <c r="Y276" s="834"/>
      <c r="Z276" s="25"/>
    </row>
    <row r="277" spans="1:26" ht="13.5" customHeight="1">
      <c r="A277" s="784">
        <f>IF(B277&lt;&gt;"",A276+1,"")</f>
        <v>82</v>
      </c>
      <c r="B277" s="302" t="s">
        <v>1078</v>
      </c>
      <c r="C277" s="25">
        <f t="shared" si="88"/>
        <v>1759310</v>
      </c>
      <c r="D277" s="785">
        <f t="shared" si="96"/>
        <v>118233.45673299399</v>
      </c>
      <c r="E277" s="785">
        <f t="shared" si="96"/>
        <v>31189.30703378066</v>
      </c>
      <c r="F277" s="785">
        <f t="shared" si="96"/>
        <v>66193.821031929663</v>
      </c>
      <c r="G277" s="785">
        <f t="shared" si="96"/>
        <v>12027.755668671911</v>
      </c>
      <c r="H277" s="785">
        <f t="shared" si="96"/>
        <v>114713.48141292612</v>
      </c>
      <c r="I277" s="785">
        <f t="shared" si="96"/>
        <v>19893.171949714637</v>
      </c>
      <c r="J277" s="369"/>
      <c r="K277" s="25">
        <f t="shared" si="92"/>
        <v>2121560.9938300168</v>
      </c>
      <c r="L277" s="785">
        <v>163</v>
      </c>
      <c r="M277" s="785">
        <f t="shared" si="85"/>
        <v>13015.711618589061</v>
      </c>
      <c r="N277" s="685">
        <v>14010</v>
      </c>
      <c r="O277" s="685"/>
      <c r="P277" s="189" t="s">
        <v>654</v>
      </c>
      <c r="Q277" s="802">
        <v>40774</v>
      </c>
      <c r="R277" s="801"/>
      <c r="S277" s="310">
        <v>82</v>
      </c>
      <c r="T277" s="862">
        <v>21455</v>
      </c>
      <c r="U277" s="25">
        <f t="shared" si="77"/>
        <v>1759310</v>
      </c>
      <c r="V277" s="460"/>
      <c r="W277" s="802"/>
      <c r="X277" s="834"/>
      <c r="Y277" s="834"/>
      <c r="Z277" s="25"/>
    </row>
    <row r="278" spans="1:26" ht="13.5" customHeight="1">
      <c r="A278" s="784">
        <f t="shared" si="93"/>
        <v>83</v>
      </c>
      <c r="B278" s="302" t="s">
        <v>779</v>
      </c>
      <c r="C278" s="25">
        <f t="shared" si="88"/>
        <v>100103</v>
      </c>
      <c r="D278" s="785">
        <f t="shared" si="96"/>
        <v>32641.138361869507</v>
      </c>
      <c r="E278" s="785">
        <f t="shared" si="96"/>
        <v>8610.5448866265615</v>
      </c>
      <c r="F278" s="785">
        <f t="shared" si="96"/>
        <v>18274.367769551132</v>
      </c>
      <c r="G278" s="785">
        <f t="shared" si="96"/>
        <v>3320.5460434983806</v>
      </c>
      <c r="H278" s="785">
        <f t="shared" si="96"/>
        <v>31669.366034243409</v>
      </c>
      <c r="I278" s="785">
        <f t="shared" si="96"/>
        <v>5491.9799861175379</v>
      </c>
      <c r="J278" s="369"/>
      <c r="K278" s="25">
        <f t="shared" si="92"/>
        <v>200110.94308190653</v>
      </c>
      <c r="L278" s="785">
        <v>45</v>
      </c>
      <c r="M278" s="785">
        <f t="shared" si="85"/>
        <v>4446.9098462645898</v>
      </c>
      <c r="N278" s="685">
        <v>4321</v>
      </c>
      <c r="O278" s="685"/>
      <c r="P278" s="189" t="s">
        <v>410</v>
      </c>
      <c r="Q278" s="802">
        <v>40774</v>
      </c>
      <c r="R278" s="801"/>
      <c r="S278" s="310">
        <f>L278/2</f>
        <v>22.5</v>
      </c>
      <c r="T278" s="834">
        <f>4449</f>
        <v>4449</v>
      </c>
      <c r="U278" s="25">
        <f t="shared" si="77"/>
        <v>100103</v>
      </c>
      <c r="V278" s="460"/>
      <c r="W278" s="802"/>
      <c r="X278" s="834"/>
      <c r="Y278" s="834"/>
      <c r="Z278" s="25"/>
    </row>
    <row r="279" spans="1:26" ht="13.5" customHeight="1">
      <c r="A279" s="784">
        <f t="shared" si="93"/>
        <v>84</v>
      </c>
      <c r="B279" s="302" t="s">
        <v>1042</v>
      </c>
      <c r="C279" s="25">
        <f t="shared" si="88"/>
        <v>6056636</v>
      </c>
      <c r="D279" s="785">
        <f t="shared" si="96"/>
        <v>717379.68533086544</v>
      </c>
      <c r="E279" s="785">
        <f t="shared" si="96"/>
        <v>189240.64206385933</v>
      </c>
      <c r="F279" s="785">
        <f t="shared" si="96"/>
        <v>401629.99386857933</v>
      </c>
      <c r="G279" s="785">
        <f t="shared" si="96"/>
        <v>72978.223044886632</v>
      </c>
      <c r="H279" s="785">
        <f t="shared" si="96"/>
        <v>696022.28906370513</v>
      </c>
      <c r="I279" s="785">
        <f t="shared" si="96"/>
        <v>120701.51569489433</v>
      </c>
      <c r="J279" s="369"/>
      <c r="K279" s="25">
        <f t="shared" si="92"/>
        <v>8254588.3490667893</v>
      </c>
      <c r="L279" s="785">
        <v>989</v>
      </c>
      <c r="M279" s="785">
        <f t="shared" si="85"/>
        <v>8346.3987351534779</v>
      </c>
      <c r="N279" s="685">
        <v>9000</v>
      </c>
      <c r="O279" s="685"/>
      <c r="P279" s="189" t="s">
        <v>408</v>
      </c>
      <c r="Q279" s="802">
        <v>40780</v>
      </c>
      <c r="R279" s="801"/>
      <c r="S279" s="310">
        <f t="shared" ref="S279" si="97">L279</f>
        <v>989</v>
      </c>
      <c r="T279" s="834">
        <v>6124</v>
      </c>
      <c r="U279" s="25">
        <f t="shared" si="77"/>
        <v>6056636</v>
      </c>
      <c r="V279" s="460"/>
      <c r="W279" s="802"/>
      <c r="X279" s="834"/>
      <c r="Y279" s="834"/>
      <c r="Z279" s="25"/>
    </row>
    <row r="280" spans="1:26" ht="13.5" customHeight="1">
      <c r="A280" s="784">
        <f t="shared" si="93"/>
        <v>85</v>
      </c>
      <c r="B280" s="302" t="s">
        <v>1079</v>
      </c>
      <c r="C280" s="25">
        <f t="shared" si="88"/>
        <v>1028491</v>
      </c>
      <c r="D280" s="785">
        <f t="shared" si="96"/>
        <v>140719.57427117077</v>
      </c>
      <c r="E280" s="785">
        <f t="shared" si="96"/>
        <v>37121.015733456734</v>
      </c>
      <c r="F280" s="785">
        <f t="shared" si="96"/>
        <v>78782.829939842661</v>
      </c>
      <c r="G280" s="785">
        <f t="shared" si="96"/>
        <v>14315.242943081907</v>
      </c>
      <c r="H280" s="785">
        <f t="shared" si="96"/>
        <v>136530.15579207157</v>
      </c>
      <c r="I280" s="785">
        <f t="shared" si="96"/>
        <v>23676.535940151163</v>
      </c>
      <c r="J280" s="369"/>
      <c r="K280" s="25">
        <f t="shared" si="92"/>
        <v>1459636.354619775</v>
      </c>
      <c r="L280" s="785">
        <v>194</v>
      </c>
      <c r="M280" s="785">
        <f t="shared" si="85"/>
        <v>7523.8987351534788</v>
      </c>
      <c r="N280" s="685">
        <v>9793</v>
      </c>
      <c r="O280" s="685"/>
      <c r="P280" s="189" t="s">
        <v>542</v>
      </c>
      <c r="Q280" s="802">
        <v>40781</v>
      </c>
      <c r="R280" s="801"/>
      <c r="S280" s="310">
        <f>L280/2</f>
        <v>97</v>
      </c>
      <c r="T280" s="298">
        <v>10603</v>
      </c>
      <c r="U280" s="25">
        <f t="shared" si="77"/>
        <v>1028491</v>
      </c>
      <c r="V280" s="460"/>
      <c r="W280" s="802"/>
      <c r="X280" s="834"/>
      <c r="Y280" s="834"/>
      <c r="Z280" s="25"/>
    </row>
    <row r="281" spans="1:26" ht="13.5" customHeight="1">
      <c r="A281" s="784">
        <f t="shared" si="93"/>
        <v>86</v>
      </c>
      <c r="B281" s="302" t="s">
        <v>1080</v>
      </c>
      <c r="C281" s="25">
        <f t="shared" si="88"/>
        <v>548232</v>
      </c>
      <c r="D281" s="785">
        <f t="shared" si="96"/>
        <v>76888.014807959291</v>
      </c>
      <c r="E281" s="785">
        <f t="shared" si="96"/>
        <v>20282.616844053679</v>
      </c>
      <c r="F281" s="785">
        <f t="shared" si="96"/>
        <v>43046.288523831558</v>
      </c>
      <c r="G281" s="785">
        <f t="shared" si="96"/>
        <v>7821.7306802406292</v>
      </c>
      <c r="H281" s="785">
        <f t="shared" si="96"/>
        <v>74598.951102884472</v>
      </c>
      <c r="I281" s="785">
        <f t="shared" si="96"/>
        <v>12936.66396729909</v>
      </c>
      <c r="J281" s="369"/>
      <c r="K281" s="25">
        <f t="shared" si="92"/>
        <v>783806.26592626877</v>
      </c>
      <c r="L281" s="785">
        <v>106</v>
      </c>
      <c r="M281" s="785">
        <f t="shared" si="85"/>
        <v>7394.3987351534788</v>
      </c>
      <c r="N281" s="685">
        <v>8874</v>
      </c>
      <c r="O281" s="685"/>
      <c r="P281" s="189" t="s">
        <v>601</v>
      </c>
      <c r="Q281" s="802">
        <v>40781</v>
      </c>
      <c r="R281" s="801"/>
      <c r="S281" s="310">
        <f>L281/2</f>
        <v>53</v>
      </c>
      <c r="T281" s="834">
        <v>10344</v>
      </c>
      <c r="U281" s="25">
        <f t="shared" si="77"/>
        <v>548232</v>
      </c>
      <c r="V281" s="460"/>
      <c r="W281" s="802"/>
      <c r="X281" s="834"/>
      <c r="Y281" s="834"/>
      <c r="Z281" s="25"/>
    </row>
    <row r="282" spans="1:26" ht="13.5" customHeight="1">
      <c r="A282" s="784">
        <f t="shared" si="93"/>
        <v>87</v>
      </c>
      <c r="B282" s="302" t="s">
        <v>1081</v>
      </c>
      <c r="C282" s="25">
        <f t="shared" si="88"/>
        <v>333675</v>
      </c>
      <c r="D282" s="785">
        <f t="shared" si="96"/>
        <v>108803.79453956502</v>
      </c>
      <c r="E282" s="785">
        <f t="shared" si="96"/>
        <v>28701.81628875521</v>
      </c>
      <c r="F282" s="785">
        <f t="shared" si="96"/>
        <v>60914.559231837113</v>
      </c>
      <c r="G282" s="785">
        <f t="shared" si="96"/>
        <v>11068.486811661269</v>
      </c>
      <c r="H282" s="785">
        <f t="shared" si="96"/>
        <v>105564.55344747803</v>
      </c>
      <c r="I282" s="785">
        <f t="shared" si="96"/>
        <v>18306.599953725126</v>
      </c>
      <c r="J282" s="369"/>
      <c r="K282" s="25">
        <f t="shared" si="92"/>
        <v>667034.81027302169</v>
      </c>
      <c r="L282" s="785">
        <v>150</v>
      </c>
      <c r="M282" s="785">
        <f t="shared" si="85"/>
        <v>4446.8987351534779</v>
      </c>
      <c r="N282" s="685">
        <v>4422</v>
      </c>
      <c r="O282" s="685"/>
      <c r="P282" s="189" t="s">
        <v>410</v>
      </c>
      <c r="Q282" s="802">
        <v>40781</v>
      </c>
      <c r="R282" s="801"/>
      <c r="S282" s="310">
        <f>L282/2</f>
        <v>75</v>
      </c>
      <c r="T282" s="834">
        <f>4449</f>
        <v>4449</v>
      </c>
      <c r="U282" s="25">
        <f t="shared" si="77"/>
        <v>333675</v>
      </c>
      <c r="V282" s="460"/>
      <c r="W282" s="802"/>
      <c r="X282" s="834"/>
      <c r="Y282" s="834"/>
      <c r="Z282" s="25"/>
    </row>
    <row r="283" spans="1:26" ht="13.5" customHeight="1">
      <c r="A283" s="784">
        <f t="shared" si="93"/>
        <v>88</v>
      </c>
      <c r="B283" s="302" t="s">
        <v>1082</v>
      </c>
      <c r="C283" s="25">
        <f t="shared" si="88"/>
        <v>2225</v>
      </c>
      <c r="D283" s="785">
        <f t="shared" si="96"/>
        <v>725.35863026376683</v>
      </c>
      <c r="E283" s="785">
        <f t="shared" si="96"/>
        <v>191.34544192503472</v>
      </c>
      <c r="F283" s="785">
        <f t="shared" si="96"/>
        <v>406.09706154558074</v>
      </c>
      <c r="G283" s="785">
        <f t="shared" si="96"/>
        <v>73.789912077741789</v>
      </c>
      <c r="H283" s="785">
        <f t="shared" si="96"/>
        <v>703.76368964985352</v>
      </c>
      <c r="I283" s="785">
        <f t="shared" si="96"/>
        <v>122.04399969150084</v>
      </c>
      <c r="J283" s="369"/>
      <c r="K283" s="25">
        <f t="shared" si="92"/>
        <v>4447.3987351534788</v>
      </c>
      <c r="L283" s="785">
        <v>1</v>
      </c>
      <c r="M283" s="785">
        <f t="shared" si="85"/>
        <v>4447.3987351534788</v>
      </c>
      <c r="N283" s="685">
        <v>5734</v>
      </c>
      <c r="O283" s="685"/>
      <c r="P283" s="189" t="s">
        <v>410</v>
      </c>
      <c r="Q283" s="802">
        <v>40781</v>
      </c>
      <c r="R283" s="801"/>
      <c r="S283" s="310">
        <f>L283/2</f>
        <v>0.5</v>
      </c>
      <c r="T283" s="834">
        <f>4449</f>
        <v>4449</v>
      </c>
      <c r="U283" s="25">
        <f t="shared" si="77"/>
        <v>2225</v>
      </c>
      <c r="V283" s="460"/>
      <c r="W283" s="802"/>
      <c r="X283" s="834"/>
      <c r="Y283" s="834"/>
      <c r="Z283" s="25"/>
    </row>
    <row r="284" spans="1:26" ht="13.5" customHeight="1">
      <c r="A284" s="784">
        <f t="shared" si="93"/>
        <v>89</v>
      </c>
      <c r="B284" s="302" t="s">
        <v>1083</v>
      </c>
      <c r="C284" s="25">
        <f t="shared" si="88"/>
        <v>687876</v>
      </c>
      <c r="D284" s="785">
        <f t="shared" si="96"/>
        <v>96472.697825080992</v>
      </c>
      <c r="E284" s="785">
        <f t="shared" si="96"/>
        <v>25448.943776029617</v>
      </c>
      <c r="F284" s="785">
        <f t="shared" si="96"/>
        <v>54010.909185562239</v>
      </c>
      <c r="G284" s="785">
        <f t="shared" si="96"/>
        <v>9814.0583063396571</v>
      </c>
      <c r="H284" s="785">
        <f t="shared" si="96"/>
        <v>93600.570723430515</v>
      </c>
      <c r="I284" s="785">
        <f t="shared" si="96"/>
        <v>16231.851958969612</v>
      </c>
      <c r="J284" s="369"/>
      <c r="K284" s="25">
        <f t="shared" si="92"/>
        <v>983455.03177541262</v>
      </c>
      <c r="L284" s="785">
        <v>133</v>
      </c>
      <c r="M284" s="785">
        <f t="shared" si="85"/>
        <v>7394.3987351534779</v>
      </c>
      <c r="N284" s="685">
        <v>8398</v>
      </c>
      <c r="O284" s="685"/>
      <c r="P284" s="189" t="s">
        <v>601</v>
      </c>
      <c r="Q284" s="802">
        <v>40781</v>
      </c>
      <c r="R284" s="801"/>
      <c r="S284" s="310">
        <f>L284/2</f>
        <v>66.5</v>
      </c>
      <c r="T284" s="834">
        <v>10344</v>
      </c>
      <c r="U284" s="25">
        <f t="shared" si="77"/>
        <v>687876</v>
      </c>
      <c r="V284" s="460"/>
      <c r="W284" s="802"/>
      <c r="X284" s="834"/>
      <c r="Y284" s="834"/>
      <c r="Z284" s="25"/>
    </row>
    <row r="285" spans="1:26" ht="13.5" customHeight="1">
      <c r="A285" s="784">
        <f t="shared" si="93"/>
        <v>90</v>
      </c>
      <c r="B285" s="302" t="s">
        <v>1084</v>
      </c>
      <c r="C285" s="25">
        <f t="shared" si="88"/>
        <v>863484</v>
      </c>
      <c r="D285" s="785">
        <f t="shared" si="96"/>
        <v>102275.56686719113</v>
      </c>
      <c r="E285" s="785">
        <f t="shared" si="96"/>
        <v>26979.707311429895</v>
      </c>
      <c r="F285" s="785">
        <f t="shared" si="96"/>
        <v>57259.685677926886</v>
      </c>
      <c r="G285" s="785">
        <f t="shared" si="96"/>
        <v>10404.377602961593</v>
      </c>
      <c r="H285" s="785">
        <f t="shared" si="96"/>
        <v>99230.680240629343</v>
      </c>
      <c r="I285" s="785">
        <f t="shared" si="96"/>
        <v>17208.20395650162</v>
      </c>
      <c r="J285" s="369"/>
      <c r="K285" s="25">
        <f t="shared" si="92"/>
        <v>1176842.2216566403</v>
      </c>
      <c r="L285" s="785">
        <v>141</v>
      </c>
      <c r="M285" s="785">
        <f t="shared" si="85"/>
        <v>8346.3987351534779</v>
      </c>
      <c r="N285" s="685">
        <v>9538</v>
      </c>
      <c r="O285" s="685"/>
      <c r="P285" s="189" t="s">
        <v>408</v>
      </c>
      <c r="Q285" s="802">
        <v>40781</v>
      </c>
      <c r="R285" s="801"/>
      <c r="S285" s="310">
        <f>L285</f>
        <v>141</v>
      </c>
      <c r="T285" s="834">
        <v>6124</v>
      </c>
      <c r="U285" s="25">
        <f t="shared" si="77"/>
        <v>863484</v>
      </c>
      <c r="V285" s="460"/>
      <c r="W285" s="802"/>
      <c r="X285" s="834"/>
      <c r="Y285" s="834"/>
      <c r="Z285" s="25"/>
    </row>
    <row r="286" spans="1:26" ht="13.5" customHeight="1">
      <c r="A286" s="784">
        <f t="shared" si="93"/>
        <v>91</v>
      </c>
      <c r="B286" s="302" t="s">
        <v>1085</v>
      </c>
      <c r="C286" s="25">
        <f t="shared" si="88"/>
        <v>1753566</v>
      </c>
      <c r="D286" s="785">
        <f t="shared" ref="D286:I295" si="98">IF($L$350&lt;&gt;0,D$350/$L$350*$L286,0)</f>
        <v>211804.72003701993</v>
      </c>
      <c r="E286" s="785">
        <f t="shared" si="98"/>
        <v>55872.869042110135</v>
      </c>
      <c r="F286" s="785">
        <f t="shared" si="98"/>
        <v>118580.34197130958</v>
      </c>
      <c r="G286" s="785">
        <f t="shared" si="98"/>
        <v>21546.654326700602</v>
      </c>
      <c r="H286" s="785">
        <f t="shared" si="98"/>
        <v>205498.99737775722</v>
      </c>
      <c r="I286" s="785">
        <f t="shared" si="98"/>
        <v>35636.847909918244</v>
      </c>
      <c r="J286" s="369"/>
      <c r="K286" s="25">
        <f t="shared" si="92"/>
        <v>2402506.430664815</v>
      </c>
      <c r="L286" s="785">
        <v>292</v>
      </c>
      <c r="M286" s="785">
        <f t="shared" si="85"/>
        <v>8227.7617488521064</v>
      </c>
      <c r="N286" s="685">
        <v>10534</v>
      </c>
      <c r="O286" s="685"/>
      <c r="P286" s="302" t="s">
        <v>502</v>
      </c>
      <c r="Q286" s="802">
        <v>40781</v>
      </c>
      <c r="R286" s="801"/>
      <c r="S286" s="310">
        <v>291</v>
      </c>
      <c r="T286" s="834">
        <v>6026</v>
      </c>
      <c r="U286" s="25">
        <f t="shared" si="77"/>
        <v>1753566</v>
      </c>
      <c r="V286" s="460"/>
      <c r="W286" s="802"/>
      <c r="X286" s="834"/>
      <c r="Y286" s="834"/>
      <c r="Z286" s="25"/>
    </row>
    <row r="287" spans="1:26" ht="13.5" customHeight="1">
      <c r="A287" s="784">
        <f t="shared" si="93"/>
        <v>92</v>
      </c>
      <c r="B287" s="302" t="s">
        <v>1086</v>
      </c>
      <c r="C287" s="25">
        <f t="shared" si="88"/>
        <v>8152</v>
      </c>
      <c r="D287" s="785">
        <f t="shared" si="98"/>
        <v>725.35863026376683</v>
      </c>
      <c r="E287" s="785">
        <f t="shared" si="98"/>
        <v>191.34544192503472</v>
      </c>
      <c r="F287" s="785">
        <f t="shared" si="98"/>
        <v>406.09706154558074</v>
      </c>
      <c r="G287" s="785">
        <f t="shared" si="98"/>
        <v>73.789912077741789</v>
      </c>
      <c r="H287" s="785">
        <f t="shared" si="98"/>
        <v>703.76368964985352</v>
      </c>
      <c r="I287" s="785">
        <f t="shared" si="98"/>
        <v>122.04399969150084</v>
      </c>
      <c r="J287" s="369"/>
      <c r="K287" s="25">
        <f t="shared" si="92"/>
        <v>10374.398735153478</v>
      </c>
      <c r="L287" s="785">
        <v>1</v>
      </c>
      <c r="M287" s="785">
        <f t="shared" si="85"/>
        <v>10374.398735153478</v>
      </c>
      <c r="N287" s="685">
        <v>11261</v>
      </c>
      <c r="O287" s="685"/>
      <c r="P287" s="40" t="s">
        <v>624</v>
      </c>
      <c r="Q287" s="802">
        <v>40781</v>
      </c>
      <c r="R287" s="801"/>
      <c r="S287" s="310">
        <f>L287/2</f>
        <v>0.5</v>
      </c>
      <c r="T287" s="834">
        <v>16303</v>
      </c>
      <c r="U287" s="25">
        <f t="shared" si="77"/>
        <v>8152</v>
      </c>
      <c r="V287" s="460"/>
      <c r="W287" s="802"/>
      <c r="X287" s="834"/>
      <c r="Y287" s="834"/>
      <c r="Z287" s="25"/>
    </row>
    <row r="288" spans="1:26" ht="13.5" customHeight="1">
      <c r="A288" s="784">
        <f t="shared" si="93"/>
        <v>93</v>
      </c>
      <c r="B288" s="302" t="s">
        <v>1087</v>
      </c>
      <c r="C288" s="25">
        <f t="shared" si="88"/>
        <v>7268</v>
      </c>
      <c r="D288" s="785">
        <f t="shared" si="98"/>
        <v>725.35863026376683</v>
      </c>
      <c r="E288" s="785">
        <f t="shared" si="98"/>
        <v>191.34544192503472</v>
      </c>
      <c r="F288" s="785">
        <f t="shared" si="98"/>
        <v>406.09706154558074</v>
      </c>
      <c r="G288" s="785">
        <f t="shared" si="98"/>
        <v>73.789912077741789</v>
      </c>
      <c r="H288" s="785">
        <f t="shared" si="98"/>
        <v>703.76368964985352</v>
      </c>
      <c r="I288" s="785">
        <f t="shared" si="98"/>
        <v>122.04399969150084</v>
      </c>
      <c r="J288" s="369"/>
      <c r="K288" s="25">
        <f t="shared" si="92"/>
        <v>9490.3987351534779</v>
      </c>
      <c r="L288" s="785">
        <v>1</v>
      </c>
      <c r="M288" s="785">
        <f t="shared" si="85"/>
        <v>9490.3987351534779</v>
      </c>
      <c r="N288" s="685">
        <v>10033</v>
      </c>
      <c r="O288" s="685"/>
      <c r="P288" s="189" t="s">
        <v>546</v>
      </c>
      <c r="Q288" s="802">
        <v>40781</v>
      </c>
      <c r="R288" s="801"/>
      <c r="S288" s="310">
        <f>L288</f>
        <v>1</v>
      </c>
      <c r="T288" s="260">
        <v>7268</v>
      </c>
      <c r="U288" s="25">
        <f t="shared" si="77"/>
        <v>7268</v>
      </c>
      <c r="V288" s="460"/>
      <c r="W288" s="802"/>
      <c r="X288" s="834"/>
      <c r="Y288" s="834"/>
      <c r="Z288" s="25"/>
    </row>
    <row r="289" spans="1:26" ht="13.5" customHeight="1">
      <c r="A289" s="784">
        <f t="shared" si="93"/>
        <v>94</v>
      </c>
      <c r="B289" s="302" t="s">
        <v>1088</v>
      </c>
      <c r="C289" s="25">
        <f t="shared" si="88"/>
        <v>8087</v>
      </c>
      <c r="D289" s="785">
        <f t="shared" si="98"/>
        <v>725.35863026376683</v>
      </c>
      <c r="E289" s="785">
        <f t="shared" si="98"/>
        <v>191.34544192503472</v>
      </c>
      <c r="F289" s="785">
        <f t="shared" si="98"/>
        <v>406.09706154558074</v>
      </c>
      <c r="G289" s="785">
        <f t="shared" si="98"/>
        <v>73.789912077741789</v>
      </c>
      <c r="H289" s="785">
        <f t="shared" si="98"/>
        <v>703.76368964985352</v>
      </c>
      <c r="I289" s="785">
        <f t="shared" si="98"/>
        <v>122.04399969150084</v>
      </c>
      <c r="J289" s="369"/>
      <c r="K289" s="25">
        <f t="shared" si="92"/>
        <v>10309.398735153478</v>
      </c>
      <c r="L289" s="785">
        <v>1</v>
      </c>
      <c r="M289" s="785">
        <f t="shared" si="85"/>
        <v>10309.398735153478</v>
      </c>
      <c r="N289" s="685">
        <v>12495</v>
      </c>
      <c r="O289" s="685"/>
      <c r="P289" s="189" t="s">
        <v>511</v>
      </c>
      <c r="Q289" s="802">
        <v>40781</v>
      </c>
      <c r="R289" s="801"/>
      <c r="S289" s="310">
        <f>L289/2</f>
        <v>0.5</v>
      </c>
      <c r="T289" s="834">
        <v>16173</v>
      </c>
      <c r="U289" s="25">
        <f t="shared" si="77"/>
        <v>8087</v>
      </c>
      <c r="V289" s="460"/>
      <c r="W289" s="802"/>
      <c r="X289" s="834"/>
      <c r="Y289" s="834"/>
      <c r="Z289" s="25"/>
    </row>
    <row r="290" spans="1:26" ht="13.5" customHeight="1">
      <c r="A290" s="784">
        <f t="shared" si="93"/>
        <v>95</v>
      </c>
      <c r="B290" s="302" t="s">
        <v>1089</v>
      </c>
      <c r="C290" s="25">
        <f t="shared" si="88"/>
        <v>8839460</v>
      </c>
      <c r="D290" s="785">
        <f t="shared" si="98"/>
        <v>597695.51133734384</v>
      </c>
      <c r="E290" s="785">
        <f t="shared" si="98"/>
        <v>157668.64414622862</v>
      </c>
      <c r="F290" s="785">
        <f t="shared" si="98"/>
        <v>334623.97871355852</v>
      </c>
      <c r="G290" s="785">
        <f t="shared" si="98"/>
        <v>60802.887552059234</v>
      </c>
      <c r="H290" s="785">
        <f t="shared" si="98"/>
        <v>579901.28027147928</v>
      </c>
      <c r="I290" s="785">
        <f t="shared" si="98"/>
        <v>100564.25574579669</v>
      </c>
      <c r="J290" s="369"/>
      <c r="K290" s="25">
        <f t="shared" si="92"/>
        <v>10670716.557766465</v>
      </c>
      <c r="L290" s="785">
        <v>824</v>
      </c>
      <c r="M290" s="785">
        <f t="shared" si="85"/>
        <v>12949.898735153478</v>
      </c>
      <c r="N290" s="685">
        <v>14369</v>
      </c>
      <c r="O290" s="685"/>
      <c r="P290" s="189" t="s">
        <v>654</v>
      </c>
      <c r="Q290" s="802">
        <v>40781</v>
      </c>
      <c r="R290" s="801"/>
      <c r="S290" s="310">
        <f>L290/2</f>
        <v>412</v>
      </c>
      <c r="T290" s="862">
        <v>21455</v>
      </c>
      <c r="U290" s="25">
        <f t="shared" si="77"/>
        <v>8839460</v>
      </c>
      <c r="V290" s="460"/>
      <c r="W290" s="802"/>
      <c r="X290" s="834"/>
      <c r="Y290" s="834"/>
      <c r="Z290" s="25"/>
    </row>
    <row r="291" spans="1:26" ht="13.5" customHeight="1">
      <c r="A291" s="784">
        <f t="shared" si="93"/>
        <v>96</v>
      </c>
      <c r="B291" s="302" t="s">
        <v>1090</v>
      </c>
      <c r="C291" s="25">
        <f t="shared" si="88"/>
        <v>12248</v>
      </c>
      <c r="D291" s="785">
        <f t="shared" si="98"/>
        <v>1450.7172605275337</v>
      </c>
      <c r="E291" s="785">
        <f t="shared" si="98"/>
        <v>382.69088385006944</v>
      </c>
      <c r="F291" s="785">
        <f t="shared" si="98"/>
        <v>812.19412309116149</v>
      </c>
      <c r="G291" s="785">
        <f t="shared" si="98"/>
        <v>147.57982415548358</v>
      </c>
      <c r="H291" s="785">
        <f t="shared" si="98"/>
        <v>1407.527379299707</v>
      </c>
      <c r="I291" s="785">
        <f t="shared" si="98"/>
        <v>244.08799938300169</v>
      </c>
      <c r="J291" s="369"/>
      <c r="K291" s="25">
        <f t="shared" si="92"/>
        <v>16692.797470306959</v>
      </c>
      <c r="L291" s="785">
        <v>2</v>
      </c>
      <c r="M291" s="785">
        <f t="shared" si="85"/>
        <v>8346.3987351534797</v>
      </c>
      <c r="N291" s="685">
        <v>9960</v>
      </c>
      <c r="O291" s="685"/>
      <c r="P291" s="189" t="s">
        <v>408</v>
      </c>
      <c r="Q291" s="802">
        <v>40781</v>
      </c>
      <c r="R291" s="801"/>
      <c r="S291" s="310">
        <f>L291</f>
        <v>2</v>
      </c>
      <c r="T291" s="834">
        <v>6124</v>
      </c>
      <c r="U291" s="25">
        <f t="shared" si="77"/>
        <v>12248</v>
      </c>
      <c r="V291" s="460"/>
      <c r="W291" s="802"/>
      <c r="X291" s="834"/>
      <c r="Y291" s="834"/>
      <c r="Z291" s="25"/>
    </row>
    <row r="292" spans="1:26" ht="13.5" customHeight="1">
      <c r="A292" s="784">
        <f t="shared" si="93"/>
        <v>97</v>
      </c>
      <c r="B292" s="302" t="s">
        <v>1091</v>
      </c>
      <c r="C292" s="25">
        <f t="shared" ref="C292:C348" si="99">U292</f>
        <v>8152</v>
      </c>
      <c r="D292" s="785">
        <f t="shared" si="98"/>
        <v>725.35863026376683</v>
      </c>
      <c r="E292" s="785">
        <f t="shared" si="98"/>
        <v>191.34544192503472</v>
      </c>
      <c r="F292" s="785">
        <f t="shared" si="98"/>
        <v>406.09706154558074</v>
      </c>
      <c r="G292" s="785">
        <f t="shared" si="98"/>
        <v>73.789912077741789</v>
      </c>
      <c r="H292" s="785">
        <f t="shared" si="98"/>
        <v>703.76368964985352</v>
      </c>
      <c r="I292" s="785">
        <f t="shared" si="98"/>
        <v>122.04399969150084</v>
      </c>
      <c r="J292" s="369"/>
      <c r="K292" s="25">
        <f t="shared" si="92"/>
        <v>10374.398735153478</v>
      </c>
      <c r="L292" s="785">
        <v>1</v>
      </c>
      <c r="M292" s="785">
        <f t="shared" ref="M292:M348" si="100">IF(L292&lt;&gt;"",K292/L292,"")</f>
        <v>10374.398735153478</v>
      </c>
      <c r="N292" s="685">
        <v>10656</v>
      </c>
      <c r="O292" s="685"/>
      <c r="P292" s="40" t="s">
        <v>624</v>
      </c>
      <c r="Q292" s="802">
        <v>40781</v>
      </c>
      <c r="R292" s="801"/>
      <c r="S292" s="310">
        <f>L292/2</f>
        <v>0.5</v>
      </c>
      <c r="T292" s="834">
        <v>16303</v>
      </c>
      <c r="U292" s="25">
        <f t="shared" si="77"/>
        <v>8152</v>
      </c>
      <c r="V292" s="460"/>
      <c r="W292" s="802"/>
      <c r="X292" s="834"/>
      <c r="Y292" s="834"/>
      <c r="Z292" s="25"/>
    </row>
    <row r="293" spans="1:26" ht="13.5" customHeight="1">
      <c r="A293" s="784">
        <f t="shared" si="93"/>
        <v>98</v>
      </c>
      <c r="B293" s="302" t="s">
        <v>1092</v>
      </c>
      <c r="C293" s="25">
        <f t="shared" si="99"/>
        <v>7192500</v>
      </c>
      <c r="D293" s="785">
        <f t="shared" si="98"/>
        <v>541842.8968070338</v>
      </c>
      <c r="E293" s="785">
        <f t="shared" si="98"/>
        <v>142935.04511800094</v>
      </c>
      <c r="F293" s="785">
        <f t="shared" si="98"/>
        <v>303354.50497454882</v>
      </c>
      <c r="G293" s="785">
        <f t="shared" si="98"/>
        <v>55121.064322073114</v>
      </c>
      <c r="H293" s="785">
        <f t="shared" si="98"/>
        <v>525711.47616844054</v>
      </c>
      <c r="I293" s="785">
        <f t="shared" si="98"/>
        <v>91166.867769551129</v>
      </c>
      <c r="J293" s="369"/>
      <c r="K293" s="25">
        <f t="shared" si="92"/>
        <v>8852631.8551596478</v>
      </c>
      <c r="L293" s="785">
        <v>747</v>
      </c>
      <c r="M293" s="785">
        <f t="shared" si="100"/>
        <v>11850.912791378378</v>
      </c>
      <c r="N293" s="685">
        <v>13939</v>
      </c>
      <c r="O293" s="685"/>
      <c r="P293" s="40" t="s">
        <v>636</v>
      </c>
      <c r="Q293" s="802">
        <v>40781</v>
      </c>
      <c r="R293" s="801"/>
      <c r="S293" s="310">
        <v>375</v>
      </c>
      <c r="T293" s="834">
        <v>19180</v>
      </c>
      <c r="U293" s="25">
        <f t="shared" si="77"/>
        <v>7192500</v>
      </c>
      <c r="V293" s="460"/>
      <c r="W293" s="802"/>
      <c r="X293" s="834"/>
      <c r="Y293" s="834"/>
      <c r="Z293" s="25"/>
    </row>
    <row r="294" spans="1:26" ht="13.5" customHeight="1">
      <c r="A294" s="784">
        <f t="shared" si="93"/>
        <v>99</v>
      </c>
      <c r="B294" s="302" t="s">
        <v>1093</v>
      </c>
      <c r="C294" s="25">
        <f t="shared" si="99"/>
        <v>798210</v>
      </c>
      <c r="D294" s="785">
        <f t="shared" si="98"/>
        <v>50775.104118463678</v>
      </c>
      <c r="E294" s="785">
        <f t="shared" si="98"/>
        <v>13394.18093475243</v>
      </c>
      <c r="F294" s="785">
        <f t="shared" si="98"/>
        <v>28426.794308190652</v>
      </c>
      <c r="G294" s="785">
        <f t="shared" si="98"/>
        <v>5165.2938454419254</v>
      </c>
      <c r="H294" s="785">
        <f t="shared" si="98"/>
        <v>49263.458275489749</v>
      </c>
      <c r="I294" s="785">
        <f t="shared" si="98"/>
        <v>8543.0799784050596</v>
      </c>
      <c r="J294" s="369"/>
      <c r="K294" s="25">
        <f t="shared" si="92"/>
        <v>953777.91146074352</v>
      </c>
      <c r="L294" s="785">
        <v>70</v>
      </c>
      <c r="M294" s="785">
        <f t="shared" si="100"/>
        <v>13625.39873515348</v>
      </c>
      <c r="N294" s="685">
        <v>15066</v>
      </c>
      <c r="O294" s="685"/>
      <c r="P294" s="189" t="s">
        <v>516</v>
      </c>
      <c r="Q294" s="802">
        <v>40781</v>
      </c>
      <c r="R294" s="801"/>
      <c r="S294" s="310">
        <f t="shared" ref="S294:S296" si="101">L294/2</f>
        <v>35</v>
      </c>
      <c r="T294" s="260">
        <v>22806</v>
      </c>
      <c r="U294" s="25">
        <f t="shared" si="77"/>
        <v>798210</v>
      </c>
      <c r="V294" s="460"/>
      <c r="W294" s="802"/>
      <c r="X294" s="834"/>
      <c r="Y294" s="834"/>
      <c r="Z294" s="25"/>
    </row>
    <row r="295" spans="1:26" ht="13.5" customHeight="1">
      <c r="A295" s="784">
        <f t="shared" si="93"/>
        <v>100</v>
      </c>
      <c r="B295" s="302" t="s">
        <v>1094</v>
      </c>
      <c r="C295" s="25">
        <f t="shared" si="99"/>
        <v>1660288</v>
      </c>
      <c r="D295" s="785">
        <f t="shared" si="98"/>
        <v>91395.187413234613</v>
      </c>
      <c r="E295" s="785">
        <f t="shared" si="98"/>
        <v>24109.525682554377</v>
      </c>
      <c r="F295" s="785">
        <f t="shared" si="98"/>
        <v>51168.229754743174</v>
      </c>
      <c r="G295" s="785">
        <f t="shared" si="98"/>
        <v>9297.5289217954651</v>
      </c>
      <c r="H295" s="785">
        <f t="shared" si="98"/>
        <v>88674.224895881547</v>
      </c>
      <c r="I295" s="785">
        <f t="shared" si="98"/>
        <v>15377.543961129106</v>
      </c>
      <c r="J295" s="369"/>
      <c r="K295" s="25">
        <f t="shared" si="92"/>
        <v>1940310.2406293384</v>
      </c>
      <c r="L295" s="785">
        <v>126</v>
      </c>
      <c r="M295" s="785">
        <f t="shared" si="100"/>
        <v>15399.287624042368</v>
      </c>
      <c r="N295" s="685">
        <v>16910</v>
      </c>
      <c r="O295" s="685"/>
      <c r="P295" s="40" t="s">
        <v>620</v>
      </c>
      <c r="Q295" s="802">
        <v>40782</v>
      </c>
      <c r="R295" s="801"/>
      <c r="S295" s="310">
        <v>64</v>
      </c>
      <c r="T295" s="834">
        <v>25942</v>
      </c>
      <c r="U295" s="25">
        <f t="shared" si="77"/>
        <v>1660288</v>
      </c>
      <c r="V295" s="460"/>
      <c r="W295" s="802"/>
      <c r="X295" s="834"/>
      <c r="Y295" s="834"/>
      <c r="Z295" s="25"/>
    </row>
    <row r="296" spans="1:26" ht="13.5" customHeight="1">
      <c r="A296" s="784">
        <f t="shared" si="93"/>
        <v>101</v>
      </c>
      <c r="B296" s="302" t="s">
        <v>1095</v>
      </c>
      <c r="C296" s="25">
        <f t="shared" si="99"/>
        <v>1994490</v>
      </c>
      <c r="D296" s="785">
        <f t="shared" ref="D296:I305" si="102">IF($L$350&lt;&gt;0,D$350/$L$350*$L296,0)</f>
        <v>120409.53262378529</v>
      </c>
      <c r="E296" s="785">
        <f t="shared" si="102"/>
        <v>31763.343359555765</v>
      </c>
      <c r="F296" s="785">
        <f t="shared" si="102"/>
        <v>67412.112216566398</v>
      </c>
      <c r="G296" s="785">
        <f t="shared" si="102"/>
        <v>12249.125404905137</v>
      </c>
      <c r="H296" s="785">
        <f t="shared" si="102"/>
        <v>116824.77248187568</v>
      </c>
      <c r="I296" s="785">
        <f t="shared" si="102"/>
        <v>20259.30394878914</v>
      </c>
      <c r="J296" s="369"/>
      <c r="K296" s="25">
        <f t="shared" si="92"/>
        <v>2363408.1900354768</v>
      </c>
      <c r="L296" s="785">
        <v>166</v>
      </c>
      <c r="M296" s="785">
        <f t="shared" si="100"/>
        <v>14237.398735153474</v>
      </c>
      <c r="N296" s="685">
        <v>15549</v>
      </c>
      <c r="O296" s="685"/>
      <c r="P296" s="189" t="s">
        <v>591</v>
      </c>
      <c r="Q296" s="802">
        <v>40782</v>
      </c>
      <c r="R296" s="801"/>
      <c r="S296" s="310">
        <f t="shared" si="101"/>
        <v>83</v>
      </c>
      <c r="T296" s="260">
        <v>24030</v>
      </c>
      <c r="U296" s="25">
        <f t="shared" si="77"/>
        <v>1994490</v>
      </c>
      <c r="V296" s="460"/>
      <c r="W296" s="802"/>
      <c r="X296" s="834"/>
      <c r="Y296" s="834"/>
      <c r="Z296" s="25"/>
    </row>
    <row r="297" spans="1:26" ht="13.5" customHeight="1">
      <c r="A297" s="784">
        <f t="shared" si="93"/>
        <v>102</v>
      </c>
      <c r="B297" s="302" t="s">
        <v>1096</v>
      </c>
      <c r="C297" s="25">
        <f t="shared" si="99"/>
        <v>95427</v>
      </c>
      <c r="D297" s="785">
        <f t="shared" si="102"/>
        <v>6528.2276723739014</v>
      </c>
      <c r="E297" s="785">
        <f t="shared" si="102"/>
        <v>1722.1089773253125</v>
      </c>
      <c r="F297" s="785">
        <f t="shared" si="102"/>
        <v>3654.8735539102267</v>
      </c>
      <c r="G297" s="785">
        <f t="shared" si="102"/>
        <v>664.10920869967606</v>
      </c>
      <c r="H297" s="785">
        <f t="shared" si="102"/>
        <v>6333.8732068486815</v>
      </c>
      <c r="I297" s="785">
        <f t="shared" si="102"/>
        <v>1098.3959972235075</v>
      </c>
      <c r="J297" s="369"/>
      <c r="K297" s="25">
        <f t="shared" si="92"/>
        <v>115428.58861638131</v>
      </c>
      <c r="L297" s="785">
        <v>9</v>
      </c>
      <c r="M297" s="785">
        <f t="shared" si="100"/>
        <v>12825.39873515348</v>
      </c>
      <c r="N297" s="685">
        <v>14981</v>
      </c>
      <c r="O297" s="685"/>
      <c r="P297" s="189" t="s">
        <v>542</v>
      </c>
      <c r="Q297" s="802">
        <v>40782</v>
      </c>
      <c r="R297" s="801"/>
      <c r="S297" s="310">
        <f>L297</f>
        <v>9</v>
      </c>
      <c r="T297" s="834">
        <v>10603</v>
      </c>
      <c r="U297" s="25">
        <f t="shared" si="77"/>
        <v>95427</v>
      </c>
      <c r="V297" s="460"/>
      <c r="W297" s="802"/>
      <c r="X297" s="834"/>
      <c r="Y297" s="834"/>
      <c r="Z297" s="25"/>
    </row>
    <row r="298" spans="1:26" ht="13.5" customHeight="1">
      <c r="A298" s="784">
        <f t="shared" si="93"/>
        <v>103</v>
      </c>
      <c r="B298" s="302" t="s">
        <v>1079</v>
      </c>
      <c r="C298" s="25">
        <f t="shared" si="99"/>
        <v>1272360</v>
      </c>
      <c r="D298" s="785">
        <f t="shared" si="102"/>
        <v>174086.07126330404</v>
      </c>
      <c r="E298" s="785">
        <f t="shared" si="102"/>
        <v>45922.906062008333</v>
      </c>
      <c r="F298" s="785">
        <f t="shared" si="102"/>
        <v>97463.294770939377</v>
      </c>
      <c r="G298" s="785">
        <f t="shared" si="102"/>
        <v>17709.57889865803</v>
      </c>
      <c r="H298" s="785">
        <f t="shared" si="102"/>
        <v>168903.28551596485</v>
      </c>
      <c r="I298" s="785">
        <f t="shared" si="102"/>
        <v>29290.559925960202</v>
      </c>
      <c r="J298" s="369"/>
      <c r="K298" s="25">
        <f t="shared" si="92"/>
        <v>1805735.6964368348</v>
      </c>
      <c r="L298" s="785">
        <v>240</v>
      </c>
      <c r="M298" s="785">
        <f t="shared" si="100"/>
        <v>7523.8987351534779</v>
      </c>
      <c r="N298" s="685">
        <v>9263</v>
      </c>
      <c r="O298" s="685"/>
      <c r="P298" s="189" t="s">
        <v>542</v>
      </c>
      <c r="Q298" s="802">
        <v>40782</v>
      </c>
      <c r="R298" s="801"/>
      <c r="S298" s="310">
        <f>L298/2</f>
        <v>120</v>
      </c>
      <c r="T298" s="298">
        <v>10603</v>
      </c>
      <c r="U298" s="25">
        <f t="shared" si="77"/>
        <v>1272360</v>
      </c>
      <c r="V298" s="460"/>
      <c r="W298" s="802"/>
      <c r="X298" s="834"/>
      <c r="Y298" s="834"/>
      <c r="Z298" s="25"/>
    </row>
    <row r="299" spans="1:26" ht="13.5" customHeight="1">
      <c r="A299" s="784">
        <f t="shared" si="93"/>
        <v>104</v>
      </c>
      <c r="B299" s="302" t="s">
        <v>1097</v>
      </c>
      <c r="C299" s="25">
        <f t="shared" si="99"/>
        <v>382614</v>
      </c>
      <c r="D299" s="785">
        <f t="shared" si="102"/>
        <v>62380.842202683947</v>
      </c>
      <c r="E299" s="785">
        <f t="shared" si="102"/>
        <v>16455.708005552988</v>
      </c>
      <c r="F299" s="785">
        <f t="shared" si="102"/>
        <v>34924.347292919942</v>
      </c>
      <c r="G299" s="785">
        <f t="shared" si="102"/>
        <v>6345.9324386857943</v>
      </c>
      <c r="H299" s="785">
        <f t="shared" si="102"/>
        <v>60523.677309887404</v>
      </c>
      <c r="I299" s="785">
        <f t="shared" si="102"/>
        <v>10495.783973469073</v>
      </c>
      <c r="J299" s="369"/>
      <c r="K299" s="25">
        <f t="shared" si="92"/>
        <v>573740.29122319911</v>
      </c>
      <c r="L299" s="785">
        <v>86</v>
      </c>
      <c r="M299" s="785">
        <f t="shared" si="100"/>
        <v>6671.3987351534779</v>
      </c>
      <c r="N299" s="685">
        <v>7806</v>
      </c>
      <c r="O299" s="685"/>
      <c r="P299" s="189" t="s">
        <v>410</v>
      </c>
      <c r="Q299" s="802">
        <v>40782</v>
      </c>
      <c r="R299" s="801"/>
      <c r="S299" s="310">
        <f>L299</f>
        <v>86</v>
      </c>
      <c r="T299" s="834">
        <f>4449</f>
        <v>4449</v>
      </c>
      <c r="U299" s="25">
        <f t="shared" si="77"/>
        <v>382614</v>
      </c>
      <c r="V299" s="460"/>
      <c r="W299" s="802"/>
      <c r="X299" s="834"/>
      <c r="Y299" s="834"/>
      <c r="Z299" s="25"/>
    </row>
    <row r="300" spans="1:26" ht="13.5" customHeight="1">
      <c r="A300" s="784">
        <f t="shared" si="93"/>
        <v>105</v>
      </c>
      <c r="B300" s="302" t="s">
        <v>1098</v>
      </c>
      <c r="C300" s="25">
        <f t="shared" si="99"/>
        <v>110208</v>
      </c>
      <c r="D300" s="785">
        <f t="shared" si="102"/>
        <v>174086.07126330404</v>
      </c>
      <c r="E300" s="785">
        <f t="shared" si="102"/>
        <v>45922.906062008333</v>
      </c>
      <c r="F300" s="785">
        <f t="shared" si="102"/>
        <v>97463.294770939377</v>
      </c>
      <c r="G300" s="785">
        <f t="shared" si="102"/>
        <v>17709.57889865803</v>
      </c>
      <c r="H300" s="785">
        <f t="shared" si="102"/>
        <v>168903.28551596485</v>
      </c>
      <c r="I300" s="785">
        <f t="shared" si="102"/>
        <v>29290.559925960202</v>
      </c>
      <c r="J300" s="369"/>
      <c r="K300" s="25">
        <f t="shared" si="92"/>
        <v>643583.69643683475</v>
      </c>
      <c r="L300" s="785">
        <v>240</v>
      </c>
      <c r="M300" s="785">
        <f t="shared" si="100"/>
        <v>2681.5987351534782</v>
      </c>
      <c r="N300" s="685">
        <v>2588</v>
      </c>
      <c r="O300" s="685"/>
      <c r="P300" s="302" t="s">
        <v>501</v>
      </c>
      <c r="Q300" s="802">
        <v>40782</v>
      </c>
      <c r="R300" s="801"/>
      <c r="S300" s="310">
        <f t="shared" ref="S300" si="103">L300/10</f>
        <v>24</v>
      </c>
      <c r="T300" s="834">
        <v>4592</v>
      </c>
      <c r="U300" s="25">
        <f t="shared" si="77"/>
        <v>110208</v>
      </c>
      <c r="V300" s="460"/>
      <c r="W300" s="802"/>
      <c r="X300" s="834"/>
      <c r="Y300" s="834"/>
      <c r="Z300" s="25"/>
    </row>
    <row r="301" spans="1:26" ht="13.5" customHeight="1">
      <c r="A301" s="784">
        <f t="shared" si="93"/>
        <v>106</v>
      </c>
      <c r="B301" s="302" t="s">
        <v>1099</v>
      </c>
      <c r="C301" s="25">
        <f t="shared" si="99"/>
        <v>41328</v>
      </c>
      <c r="D301" s="785">
        <f t="shared" si="102"/>
        <v>62380.842202683947</v>
      </c>
      <c r="E301" s="785">
        <f t="shared" si="102"/>
        <v>16455.708005552988</v>
      </c>
      <c r="F301" s="785">
        <f t="shared" si="102"/>
        <v>34924.347292919942</v>
      </c>
      <c r="G301" s="785">
        <f t="shared" si="102"/>
        <v>6345.9324386857943</v>
      </c>
      <c r="H301" s="785">
        <f t="shared" si="102"/>
        <v>60523.677309887404</v>
      </c>
      <c r="I301" s="785">
        <f t="shared" si="102"/>
        <v>10495.783973469073</v>
      </c>
      <c r="J301" s="369"/>
      <c r="K301" s="25">
        <f t="shared" si="92"/>
        <v>232454.29122319914</v>
      </c>
      <c r="L301" s="785">
        <v>86</v>
      </c>
      <c r="M301" s="785">
        <f t="shared" si="100"/>
        <v>2702.9568746883619</v>
      </c>
      <c r="N301" s="685">
        <v>2334</v>
      </c>
      <c r="O301" s="685"/>
      <c r="P301" s="302" t="s">
        <v>501</v>
      </c>
      <c r="Q301" s="802">
        <v>40782</v>
      </c>
      <c r="R301" s="801"/>
      <c r="S301" s="310">
        <v>9</v>
      </c>
      <c r="T301" s="834">
        <v>4592</v>
      </c>
      <c r="U301" s="25">
        <f t="shared" si="77"/>
        <v>41328</v>
      </c>
      <c r="V301" s="460"/>
      <c r="W301" s="802"/>
      <c r="X301" s="834"/>
      <c r="Y301" s="834"/>
      <c r="Z301" s="25"/>
    </row>
    <row r="302" spans="1:26" ht="13.5" customHeight="1">
      <c r="A302" s="784">
        <f t="shared" si="93"/>
        <v>107</v>
      </c>
      <c r="B302" s="302" t="s">
        <v>1043</v>
      </c>
      <c r="C302" s="25">
        <f t="shared" si="99"/>
        <v>3994146</v>
      </c>
      <c r="D302" s="785">
        <f t="shared" si="102"/>
        <v>427961.59185562242</v>
      </c>
      <c r="E302" s="785">
        <f t="shared" si="102"/>
        <v>112893.81073577049</v>
      </c>
      <c r="F302" s="785">
        <f t="shared" si="102"/>
        <v>239597.26631189263</v>
      </c>
      <c r="G302" s="785">
        <f t="shared" si="102"/>
        <v>43536.048125867659</v>
      </c>
      <c r="H302" s="785">
        <f t="shared" si="102"/>
        <v>415220.57689341356</v>
      </c>
      <c r="I302" s="785">
        <f t="shared" si="102"/>
        <v>72005.959817985495</v>
      </c>
      <c r="J302" s="369"/>
      <c r="K302" s="25">
        <f t="shared" si="92"/>
        <v>5305361.2537405519</v>
      </c>
      <c r="L302" s="785">
        <v>590</v>
      </c>
      <c r="M302" s="785">
        <f t="shared" si="100"/>
        <v>8992.1377182043252</v>
      </c>
      <c r="N302" s="685">
        <v>11000</v>
      </c>
      <c r="O302" s="685"/>
      <c r="P302" s="189" t="s">
        <v>517</v>
      </c>
      <c r="Q302" s="802">
        <v>40801</v>
      </c>
      <c r="R302" s="801"/>
      <c r="S302" s="310">
        <v>202</v>
      </c>
      <c r="T302" s="834">
        <v>19773</v>
      </c>
      <c r="U302" s="25">
        <f t="shared" si="77"/>
        <v>3994146</v>
      </c>
      <c r="V302" s="460"/>
      <c r="W302" s="802"/>
      <c r="X302" s="834"/>
      <c r="Y302" s="834"/>
      <c r="Z302" s="25"/>
    </row>
    <row r="303" spans="1:26" ht="13.5" customHeight="1">
      <c r="A303" s="784">
        <f t="shared" si="93"/>
        <v>108</v>
      </c>
      <c r="B303" s="302" t="s">
        <v>1044</v>
      </c>
      <c r="C303" s="25">
        <f t="shared" si="99"/>
        <v>2028578</v>
      </c>
      <c r="D303" s="785">
        <f t="shared" si="102"/>
        <v>89219.111522443316</v>
      </c>
      <c r="E303" s="785">
        <f t="shared" si="102"/>
        <v>23535.489356779271</v>
      </c>
      <c r="F303" s="785">
        <f t="shared" si="102"/>
        <v>49949.938570106431</v>
      </c>
      <c r="G303" s="785">
        <f t="shared" si="102"/>
        <v>9076.159185562241</v>
      </c>
      <c r="H303" s="785">
        <f t="shared" si="102"/>
        <v>86562.933826931985</v>
      </c>
      <c r="I303" s="785">
        <f t="shared" si="102"/>
        <v>15011.411962054604</v>
      </c>
      <c r="J303" s="369"/>
      <c r="K303" s="25">
        <f t="shared" si="92"/>
        <v>2301933.0444238782</v>
      </c>
      <c r="L303" s="785">
        <v>123</v>
      </c>
      <c r="M303" s="785">
        <f t="shared" si="100"/>
        <v>18714.902800194133</v>
      </c>
      <c r="N303" s="685">
        <v>19061</v>
      </c>
      <c r="O303" s="685"/>
      <c r="P303" s="40" t="s">
        <v>651</v>
      </c>
      <c r="Q303" s="802">
        <v>40804</v>
      </c>
      <c r="R303" s="801"/>
      <c r="S303" s="310">
        <f>L303/2</f>
        <v>61.5</v>
      </c>
      <c r="T303" s="834">
        <v>32985</v>
      </c>
      <c r="U303" s="25">
        <f t="shared" si="77"/>
        <v>2028578</v>
      </c>
      <c r="V303" s="460"/>
      <c r="W303" s="802"/>
      <c r="X303" s="834"/>
      <c r="Y303" s="834"/>
      <c r="Z303" s="25"/>
    </row>
    <row r="304" spans="1:26" ht="13.5" customHeight="1">
      <c r="A304" s="784">
        <f t="shared" si="93"/>
        <v>109</v>
      </c>
      <c r="B304" s="302" t="s">
        <v>1045</v>
      </c>
      <c r="C304" s="25">
        <f t="shared" si="99"/>
        <v>1197918</v>
      </c>
      <c r="D304" s="785">
        <f t="shared" si="102"/>
        <v>88493.75289217956</v>
      </c>
      <c r="E304" s="785">
        <f t="shared" si="102"/>
        <v>23344.143914854234</v>
      </c>
      <c r="F304" s="785">
        <f t="shared" si="102"/>
        <v>49543.84150856085</v>
      </c>
      <c r="G304" s="785">
        <f t="shared" si="102"/>
        <v>9002.369273484499</v>
      </c>
      <c r="H304" s="785">
        <f t="shared" si="102"/>
        <v>85859.170137282126</v>
      </c>
      <c r="I304" s="785">
        <f t="shared" si="102"/>
        <v>14889.367962363103</v>
      </c>
      <c r="J304" s="369"/>
      <c r="K304" s="25">
        <f t="shared" si="92"/>
        <v>1469050.6456887245</v>
      </c>
      <c r="L304" s="785">
        <v>122</v>
      </c>
      <c r="M304" s="785">
        <f t="shared" si="100"/>
        <v>12041.39873515348</v>
      </c>
      <c r="N304" s="685">
        <v>13090</v>
      </c>
      <c r="O304" s="685"/>
      <c r="P304" s="189" t="s">
        <v>565</v>
      </c>
      <c r="Q304" s="802">
        <v>40804</v>
      </c>
      <c r="R304" s="801"/>
      <c r="S304" s="310">
        <f t="shared" ref="S304" si="104">L304/2</f>
        <v>61</v>
      </c>
      <c r="T304" s="834">
        <v>19638</v>
      </c>
      <c r="U304" s="25">
        <f t="shared" si="77"/>
        <v>1197918</v>
      </c>
      <c r="V304" s="460"/>
      <c r="W304" s="802"/>
      <c r="X304" s="834"/>
      <c r="Y304" s="834"/>
      <c r="Z304" s="25"/>
    </row>
    <row r="305" spans="1:26" ht="13.5" customHeight="1">
      <c r="A305" s="784">
        <f t="shared" si="93"/>
        <v>110</v>
      </c>
      <c r="B305" s="302" t="s">
        <v>779</v>
      </c>
      <c r="C305" s="25">
        <f t="shared" si="99"/>
        <v>55104</v>
      </c>
      <c r="D305" s="785">
        <f t="shared" si="102"/>
        <v>87043.035631652019</v>
      </c>
      <c r="E305" s="785">
        <f t="shared" si="102"/>
        <v>22961.453031004166</v>
      </c>
      <c r="F305" s="785">
        <f t="shared" si="102"/>
        <v>48731.647385469689</v>
      </c>
      <c r="G305" s="785">
        <f t="shared" si="102"/>
        <v>8854.789449329015</v>
      </c>
      <c r="H305" s="785">
        <f t="shared" si="102"/>
        <v>84451.642757982423</v>
      </c>
      <c r="I305" s="785">
        <f t="shared" si="102"/>
        <v>14645.279962980101</v>
      </c>
      <c r="J305" s="369"/>
      <c r="K305" s="25">
        <f t="shared" si="92"/>
        <v>321791.84821841738</v>
      </c>
      <c r="L305" s="785">
        <v>120</v>
      </c>
      <c r="M305" s="785">
        <f t="shared" si="100"/>
        <v>2681.5987351534782</v>
      </c>
      <c r="N305" s="685">
        <v>2528</v>
      </c>
      <c r="O305" s="685"/>
      <c r="P305" s="302" t="s">
        <v>501</v>
      </c>
      <c r="Q305" s="802">
        <v>40804</v>
      </c>
      <c r="R305" s="801"/>
      <c r="S305" s="310">
        <f>L305/10</f>
        <v>12</v>
      </c>
      <c r="T305" s="834">
        <v>4592</v>
      </c>
      <c r="U305" s="25">
        <f t="shared" si="77"/>
        <v>55104</v>
      </c>
      <c r="V305" s="460"/>
      <c r="W305" s="802"/>
      <c r="X305" s="834"/>
      <c r="Y305" s="834"/>
      <c r="Z305" s="25"/>
    </row>
    <row r="306" spans="1:26" ht="13.5" customHeight="1">
      <c r="A306" s="784">
        <f t="shared" si="93"/>
        <v>111</v>
      </c>
      <c r="B306" s="302" t="s">
        <v>1046</v>
      </c>
      <c r="C306" s="25">
        <f t="shared" si="99"/>
        <v>371280</v>
      </c>
      <c r="D306" s="785">
        <f t="shared" ref="D306:I316" si="105">IF($L$350&lt;&gt;0,D$350/$L$350*$L306,0)</f>
        <v>37718.648773715875</v>
      </c>
      <c r="E306" s="785">
        <f t="shared" si="105"/>
        <v>9949.9629801018054</v>
      </c>
      <c r="F306" s="785">
        <f t="shared" si="105"/>
        <v>21117.047200370198</v>
      </c>
      <c r="G306" s="785">
        <f t="shared" si="105"/>
        <v>3837.0754280425731</v>
      </c>
      <c r="H306" s="785">
        <f t="shared" si="105"/>
        <v>36595.711861792384</v>
      </c>
      <c r="I306" s="785">
        <f t="shared" si="105"/>
        <v>6346.2879839580437</v>
      </c>
      <c r="J306" s="369"/>
      <c r="K306" s="25">
        <f t="shared" si="92"/>
        <v>486844.73422798084</v>
      </c>
      <c r="L306" s="785">
        <v>52</v>
      </c>
      <c r="M306" s="785">
        <f t="shared" si="100"/>
        <v>9362.3987351534779</v>
      </c>
      <c r="N306" s="685">
        <v>10535</v>
      </c>
      <c r="O306" s="685"/>
      <c r="P306" s="40" t="s">
        <v>627</v>
      </c>
      <c r="Q306" s="802">
        <v>40804</v>
      </c>
      <c r="R306" s="801"/>
      <c r="S306" s="310">
        <f>L306/2</f>
        <v>26</v>
      </c>
      <c r="T306" s="260">
        <v>14280</v>
      </c>
      <c r="U306" s="25">
        <f t="shared" si="77"/>
        <v>371280</v>
      </c>
      <c r="V306" s="460"/>
      <c r="W306" s="802"/>
      <c r="X306" s="834"/>
      <c r="Y306" s="834"/>
      <c r="Z306" s="25"/>
    </row>
    <row r="307" spans="1:26" ht="13.5" customHeight="1">
      <c r="A307" s="784">
        <f t="shared" si="93"/>
        <v>112</v>
      </c>
      <c r="B307" s="302" t="s">
        <v>779</v>
      </c>
      <c r="C307" s="25">
        <f t="shared" si="99"/>
        <v>22245</v>
      </c>
      <c r="D307" s="785">
        <f t="shared" si="105"/>
        <v>34817.214252660808</v>
      </c>
      <c r="E307" s="785">
        <f t="shared" si="105"/>
        <v>9184.5812124016666</v>
      </c>
      <c r="F307" s="785">
        <f t="shared" si="105"/>
        <v>19492.658954187875</v>
      </c>
      <c r="G307" s="785">
        <f t="shared" si="105"/>
        <v>3541.9157797316057</v>
      </c>
      <c r="H307" s="785">
        <f t="shared" si="105"/>
        <v>33780.657103192971</v>
      </c>
      <c r="I307" s="785">
        <f t="shared" si="105"/>
        <v>5858.1119851920403</v>
      </c>
      <c r="J307" s="369"/>
      <c r="K307" s="25">
        <f t="shared" si="92"/>
        <v>128920.13928736695</v>
      </c>
      <c r="L307" s="785">
        <v>48</v>
      </c>
      <c r="M307" s="785">
        <f t="shared" si="100"/>
        <v>2685.8362351534784</v>
      </c>
      <c r="N307" s="685">
        <v>1981</v>
      </c>
      <c r="O307" s="685"/>
      <c r="P307" s="189" t="s">
        <v>410</v>
      </c>
      <c r="Q307" s="802">
        <v>40804</v>
      </c>
      <c r="R307" s="801"/>
      <c r="S307" s="310">
        <v>5</v>
      </c>
      <c r="T307" s="834">
        <f>4449</f>
        <v>4449</v>
      </c>
      <c r="U307" s="25">
        <f t="shared" si="77"/>
        <v>22245</v>
      </c>
      <c r="V307" s="460"/>
      <c r="W307" s="802"/>
      <c r="X307" s="834"/>
      <c r="Y307" s="834"/>
      <c r="Z307" s="25"/>
    </row>
    <row r="308" spans="1:26" ht="13.5" customHeight="1">
      <c r="A308" s="784">
        <f t="shared" si="93"/>
        <v>113</v>
      </c>
      <c r="B308" s="302" t="s">
        <v>1047</v>
      </c>
      <c r="C308" s="25">
        <f t="shared" si="99"/>
        <v>2341934</v>
      </c>
      <c r="D308" s="785">
        <f t="shared" si="105"/>
        <v>103000.92549745488</v>
      </c>
      <c r="E308" s="785">
        <f t="shared" si="105"/>
        <v>27171.052753354932</v>
      </c>
      <c r="F308" s="785">
        <f t="shared" si="105"/>
        <v>57665.782739472466</v>
      </c>
      <c r="G308" s="785">
        <f t="shared" si="105"/>
        <v>10478.167515039335</v>
      </c>
      <c r="H308" s="785">
        <f t="shared" si="105"/>
        <v>99934.443930279202</v>
      </c>
      <c r="I308" s="785">
        <f t="shared" si="105"/>
        <v>17330.247956193121</v>
      </c>
      <c r="J308" s="369"/>
      <c r="K308" s="25">
        <f t="shared" si="92"/>
        <v>2657514.620391794</v>
      </c>
      <c r="L308" s="785">
        <v>142</v>
      </c>
      <c r="M308" s="785">
        <f t="shared" si="100"/>
        <v>18714.891692899957</v>
      </c>
      <c r="N308" s="685">
        <v>19465</v>
      </c>
      <c r="O308" s="685"/>
      <c r="P308" s="40" t="s">
        <v>651</v>
      </c>
      <c r="Q308" s="802">
        <v>40804</v>
      </c>
      <c r="R308" s="801"/>
      <c r="S308" s="310">
        <f>L308/2</f>
        <v>71</v>
      </c>
      <c r="T308" s="834">
        <v>32984.985915492958</v>
      </c>
      <c r="U308" s="25">
        <f t="shared" si="77"/>
        <v>2341934</v>
      </c>
      <c r="V308" s="460"/>
      <c r="W308" s="802"/>
      <c r="X308" s="834"/>
      <c r="Y308" s="834"/>
      <c r="Z308" s="25"/>
    </row>
    <row r="309" spans="1:26" ht="13.5" customHeight="1">
      <c r="A309" s="784">
        <f t="shared" si="93"/>
        <v>114</v>
      </c>
      <c r="B309" s="302" t="s">
        <v>1048</v>
      </c>
      <c r="C309" s="25">
        <f t="shared" si="99"/>
        <v>1106808</v>
      </c>
      <c r="D309" s="785">
        <f t="shared" si="105"/>
        <v>155226.74687644609</v>
      </c>
      <c r="E309" s="785">
        <f t="shared" si="105"/>
        <v>40947.924571957432</v>
      </c>
      <c r="F309" s="785">
        <f t="shared" si="105"/>
        <v>86904.771170754277</v>
      </c>
      <c r="G309" s="785">
        <f t="shared" si="105"/>
        <v>15791.041184636742</v>
      </c>
      <c r="H309" s="785">
        <f t="shared" si="105"/>
        <v>150605.42958506866</v>
      </c>
      <c r="I309" s="785">
        <f t="shared" si="105"/>
        <v>26117.415933981181</v>
      </c>
      <c r="J309" s="369"/>
      <c r="K309" s="25">
        <f t="shared" si="92"/>
        <v>1582401.3293228443</v>
      </c>
      <c r="L309" s="785">
        <v>214</v>
      </c>
      <c r="M309" s="785">
        <f t="shared" si="100"/>
        <v>7394.3987351534779</v>
      </c>
      <c r="N309" s="685">
        <v>8398</v>
      </c>
      <c r="O309" s="685"/>
      <c r="P309" s="189" t="s">
        <v>601</v>
      </c>
      <c r="Q309" s="802">
        <v>40804</v>
      </c>
      <c r="R309" s="801"/>
      <c r="S309" s="310">
        <f>L309/2</f>
        <v>107</v>
      </c>
      <c r="T309" s="834">
        <v>10344</v>
      </c>
      <c r="U309" s="25">
        <f t="shared" si="77"/>
        <v>1106808</v>
      </c>
      <c r="V309" s="460"/>
      <c r="W309" s="802"/>
      <c r="X309" s="834"/>
      <c r="Y309" s="834"/>
      <c r="Z309" s="25"/>
    </row>
    <row r="310" spans="1:26" ht="13.5" customHeight="1">
      <c r="A310" s="784">
        <f t="shared" si="93"/>
        <v>115</v>
      </c>
      <c r="B310" s="302" t="s">
        <v>1049</v>
      </c>
      <c r="C310" s="25">
        <f t="shared" si="99"/>
        <v>1833860</v>
      </c>
      <c r="D310" s="785">
        <f t="shared" si="105"/>
        <v>203825.77510411848</v>
      </c>
      <c r="E310" s="785">
        <f t="shared" si="105"/>
        <v>53768.069180934755</v>
      </c>
      <c r="F310" s="785">
        <f t="shared" si="105"/>
        <v>114113.27429430818</v>
      </c>
      <c r="G310" s="785">
        <f t="shared" si="105"/>
        <v>20734.965293845442</v>
      </c>
      <c r="H310" s="785">
        <f t="shared" si="105"/>
        <v>197757.59679160884</v>
      </c>
      <c r="I310" s="785">
        <f t="shared" si="105"/>
        <v>34294.363913311739</v>
      </c>
      <c r="J310" s="369"/>
      <c r="K310" s="25">
        <f t="shared" si="92"/>
        <v>2458354.0445781276</v>
      </c>
      <c r="L310" s="785">
        <v>281</v>
      </c>
      <c r="M310" s="785">
        <f t="shared" si="100"/>
        <v>8748.5909059719834</v>
      </c>
      <c r="N310" s="685">
        <v>10534</v>
      </c>
      <c r="O310" s="685"/>
      <c r="P310" s="189" t="s">
        <v>603</v>
      </c>
      <c r="Q310" s="802">
        <v>40804</v>
      </c>
      <c r="R310" s="801"/>
      <c r="S310" s="310">
        <v>70</v>
      </c>
      <c r="T310" s="832">
        <v>26198</v>
      </c>
      <c r="U310" s="25">
        <f t="shared" si="77"/>
        <v>1833860</v>
      </c>
      <c r="V310" s="460"/>
      <c r="W310" s="802"/>
      <c r="X310" s="834"/>
      <c r="Y310" s="834"/>
      <c r="Z310" s="25"/>
    </row>
    <row r="311" spans="1:26" ht="13.5" customHeight="1">
      <c r="A311" s="784">
        <f t="shared" si="93"/>
        <v>116</v>
      </c>
      <c r="B311" s="302" t="s">
        <v>1050</v>
      </c>
      <c r="C311" s="25">
        <f t="shared" si="99"/>
        <v>875840</v>
      </c>
      <c r="D311" s="785">
        <f t="shared" si="105"/>
        <v>75437.29754743175</v>
      </c>
      <c r="E311" s="785">
        <f t="shared" si="105"/>
        <v>19899.925960203611</v>
      </c>
      <c r="F311" s="785">
        <f t="shared" si="105"/>
        <v>42234.094400740396</v>
      </c>
      <c r="G311" s="785">
        <f t="shared" si="105"/>
        <v>7674.1508560851462</v>
      </c>
      <c r="H311" s="785">
        <f t="shared" si="105"/>
        <v>73191.423723584769</v>
      </c>
      <c r="I311" s="785">
        <f t="shared" si="105"/>
        <v>12692.575967916087</v>
      </c>
      <c r="J311" s="369"/>
      <c r="K311" s="25">
        <f t="shared" si="92"/>
        <v>1106969.4684559617</v>
      </c>
      <c r="L311" s="785">
        <v>104</v>
      </c>
      <c r="M311" s="785">
        <f t="shared" si="100"/>
        <v>10643.937196691939</v>
      </c>
      <c r="N311" s="685">
        <v>14076</v>
      </c>
      <c r="O311" s="685"/>
      <c r="P311" s="40" t="s">
        <v>628</v>
      </c>
      <c r="Q311" s="802">
        <v>40809</v>
      </c>
      <c r="R311" s="801"/>
      <c r="S311" s="310">
        <v>32</v>
      </c>
      <c r="T311" s="834">
        <v>27370</v>
      </c>
      <c r="U311" s="25">
        <f t="shared" si="77"/>
        <v>875840</v>
      </c>
      <c r="V311" s="460"/>
      <c r="W311" s="802"/>
      <c r="X311" s="834"/>
      <c r="Y311" s="834"/>
      <c r="Z311" s="25"/>
    </row>
    <row r="312" spans="1:26" ht="13.5" customHeight="1">
      <c r="A312" s="784">
        <f t="shared" si="93"/>
        <v>117</v>
      </c>
      <c r="B312" s="302" t="s">
        <v>1051</v>
      </c>
      <c r="C312" s="25">
        <f t="shared" si="99"/>
        <v>1034400</v>
      </c>
      <c r="D312" s="785">
        <f t="shared" si="105"/>
        <v>145071.72605275337</v>
      </c>
      <c r="E312" s="785">
        <f t="shared" si="105"/>
        <v>38269.088385006944</v>
      </c>
      <c r="F312" s="785">
        <f t="shared" si="105"/>
        <v>81219.412309116145</v>
      </c>
      <c r="G312" s="785">
        <f t="shared" si="105"/>
        <v>14757.982415548358</v>
      </c>
      <c r="H312" s="785">
        <f t="shared" si="105"/>
        <v>140752.7379299707</v>
      </c>
      <c r="I312" s="785">
        <f t="shared" si="105"/>
        <v>24408.79993830017</v>
      </c>
      <c r="J312" s="369"/>
      <c r="K312" s="25">
        <f t="shared" si="92"/>
        <v>1478879.7470306957</v>
      </c>
      <c r="L312" s="785">
        <v>200</v>
      </c>
      <c r="M312" s="785">
        <f t="shared" si="100"/>
        <v>7394.3987351534779</v>
      </c>
      <c r="N312" s="685">
        <v>7340</v>
      </c>
      <c r="O312" s="685"/>
      <c r="P312" s="189" t="s">
        <v>601</v>
      </c>
      <c r="Q312" s="802">
        <v>40810</v>
      </c>
      <c r="R312" s="801"/>
      <c r="S312" s="310">
        <f t="shared" ref="S312" si="106">L312/2</f>
        <v>100</v>
      </c>
      <c r="T312" s="834">
        <v>10344</v>
      </c>
      <c r="U312" s="25">
        <f t="shared" si="77"/>
        <v>1034400</v>
      </c>
      <c r="V312" s="460"/>
      <c r="W312" s="802"/>
      <c r="X312" s="834"/>
      <c r="Y312" s="834"/>
      <c r="Z312" s="25"/>
    </row>
    <row r="313" spans="1:26" ht="13.5" customHeight="1">
      <c r="A313" s="784">
        <f t="shared" si="93"/>
        <v>118</v>
      </c>
      <c r="B313" s="302" t="s">
        <v>1052</v>
      </c>
      <c r="C313" s="25">
        <f t="shared" si="99"/>
        <v>2046379</v>
      </c>
      <c r="D313" s="785">
        <f t="shared" si="105"/>
        <v>279263.07265155023</v>
      </c>
      <c r="E313" s="785">
        <f t="shared" si="105"/>
        <v>73667.995141138366</v>
      </c>
      <c r="F313" s="785">
        <f t="shared" si="105"/>
        <v>156347.36869504859</v>
      </c>
      <c r="G313" s="785">
        <f t="shared" si="105"/>
        <v>28409.116149930589</v>
      </c>
      <c r="H313" s="785">
        <f t="shared" si="105"/>
        <v>270949.02051519358</v>
      </c>
      <c r="I313" s="785">
        <f t="shared" si="105"/>
        <v>46986.939881227823</v>
      </c>
      <c r="J313" s="369"/>
      <c r="K313" s="25">
        <f t="shared" si="92"/>
        <v>2902002.5130340895</v>
      </c>
      <c r="L313" s="785">
        <v>385</v>
      </c>
      <c r="M313" s="785">
        <f t="shared" si="100"/>
        <v>7537.6688650236092</v>
      </c>
      <c r="N313" s="685">
        <v>7340</v>
      </c>
      <c r="O313" s="685"/>
      <c r="P313" s="189" t="s">
        <v>542</v>
      </c>
      <c r="Q313" s="802">
        <v>40810</v>
      </c>
      <c r="R313" s="801"/>
      <c r="S313" s="310">
        <v>193</v>
      </c>
      <c r="T313" s="834">
        <v>10603</v>
      </c>
      <c r="U313" s="25">
        <f t="shared" si="77"/>
        <v>2046379</v>
      </c>
      <c r="V313" s="460"/>
      <c r="W313" s="802"/>
      <c r="X313" s="834"/>
      <c r="Y313" s="834"/>
      <c r="Z313" s="25"/>
    </row>
    <row r="314" spans="1:26" ht="13.5" customHeight="1">
      <c r="A314" s="784">
        <f t="shared" si="93"/>
        <v>119</v>
      </c>
      <c r="B314" s="302" t="s">
        <v>1053</v>
      </c>
      <c r="C314" s="25">
        <f t="shared" si="99"/>
        <v>195756</v>
      </c>
      <c r="D314" s="785">
        <f t="shared" si="105"/>
        <v>31915.77973160574</v>
      </c>
      <c r="E314" s="785">
        <f t="shared" si="105"/>
        <v>8419.1994447015277</v>
      </c>
      <c r="F314" s="785">
        <f t="shared" si="105"/>
        <v>17868.270708005552</v>
      </c>
      <c r="G314" s="785">
        <f t="shared" si="105"/>
        <v>3246.7561314206387</v>
      </c>
      <c r="H314" s="785">
        <f t="shared" si="105"/>
        <v>30965.602344593553</v>
      </c>
      <c r="I314" s="785">
        <f t="shared" si="105"/>
        <v>5369.9359864260368</v>
      </c>
      <c r="J314" s="369"/>
      <c r="K314" s="25">
        <f t="shared" si="92"/>
        <v>293541.54434675298</v>
      </c>
      <c r="L314" s="785">
        <v>44</v>
      </c>
      <c r="M314" s="785">
        <f t="shared" si="100"/>
        <v>6671.398735153477</v>
      </c>
      <c r="N314" s="685">
        <v>7340</v>
      </c>
      <c r="O314" s="685"/>
      <c r="P314" s="189" t="s">
        <v>410</v>
      </c>
      <c r="Q314" s="802">
        <v>40810</v>
      </c>
      <c r="R314" s="801"/>
      <c r="S314" s="310">
        <f t="shared" ref="S314" si="107">L314</f>
        <v>44</v>
      </c>
      <c r="T314" s="834">
        <f>4449</f>
        <v>4449</v>
      </c>
      <c r="U314" s="25">
        <f t="shared" si="77"/>
        <v>195756</v>
      </c>
      <c r="V314" s="460"/>
      <c r="W314" s="802"/>
      <c r="X314" s="834"/>
      <c r="Y314" s="834"/>
      <c r="Z314" s="25"/>
    </row>
    <row r="315" spans="1:26" ht="13.5" customHeight="1">
      <c r="A315" s="784">
        <f t="shared" si="93"/>
        <v>120</v>
      </c>
      <c r="B315" s="302" t="s">
        <v>1026</v>
      </c>
      <c r="C315" s="25">
        <f t="shared" si="99"/>
        <v>7809620</v>
      </c>
      <c r="D315" s="785">
        <f t="shared" si="105"/>
        <v>527335.72420175851</v>
      </c>
      <c r="E315" s="785">
        <f t="shared" si="105"/>
        <v>139108.13627950024</v>
      </c>
      <c r="F315" s="785">
        <f t="shared" si="105"/>
        <v>295232.56374363718</v>
      </c>
      <c r="G315" s="785">
        <f t="shared" si="105"/>
        <v>53645.266080518282</v>
      </c>
      <c r="H315" s="785">
        <f t="shared" si="105"/>
        <v>511636.20237544354</v>
      </c>
      <c r="I315" s="785">
        <f t="shared" si="105"/>
        <v>88725.987775721107</v>
      </c>
      <c r="J315" s="369"/>
      <c r="K315" s="25">
        <f t="shared" si="92"/>
        <v>9425303.8804565798</v>
      </c>
      <c r="L315" s="785">
        <v>727</v>
      </c>
      <c r="M315" s="785">
        <f t="shared" si="100"/>
        <v>12964.654581095709</v>
      </c>
      <c r="N315" s="685">
        <v>14369</v>
      </c>
      <c r="O315" s="685"/>
      <c r="P315" s="189" t="s">
        <v>654</v>
      </c>
      <c r="Q315" s="802">
        <v>40810</v>
      </c>
      <c r="R315" s="801"/>
      <c r="S315" s="310">
        <v>364</v>
      </c>
      <c r="T315" s="862">
        <v>21455</v>
      </c>
      <c r="U315" s="25">
        <f t="shared" si="77"/>
        <v>7809620</v>
      </c>
      <c r="V315" s="460"/>
      <c r="W315" s="802"/>
      <c r="X315" s="834"/>
      <c r="Y315" s="834"/>
      <c r="Z315" s="25"/>
    </row>
    <row r="316" spans="1:26" ht="13.5" customHeight="1">
      <c r="A316" s="784">
        <f t="shared" si="93"/>
        <v>121</v>
      </c>
      <c r="B316" s="302" t="s">
        <v>774</v>
      </c>
      <c r="C316" s="25">
        <f>SUM(U316:U317)</f>
        <v>12141300</v>
      </c>
      <c r="D316" s="785">
        <f t="shared" si="105"/>
        <v>1514548.819990745</v>
      </c>
      <c r="E316" s="785">
        <f t="shared" si="105"/>
        <v>399529.28273947252</v>
      </c>
      <c r="F316" s="785">
        <f t="shared" si="105"/>
        <v>847930.66450717254</v>
      </c>
      <c r="G316" s="785">
        <f t="shared" si="105"/>
        <v>154073.33641832485</v>
      </c>
      <c r="H316" s="785">
        <f t="shared" si="105"/>
        <v>1469458.5839888942</v>
      </c>
      <c r="I316" s="785">
        <f t="shared" si="105"/>
        <v>254827.87135585377</v>
      </c>
      <c r="J316" s="369"/>
      <c r="K316" s="25">
        <f t="shared" si="92"/>
        <v>16781668.559000462</v>
      </c>
      <c r="L316" s="785">
        <v>2088</v>
      </c>
      <c r="M316" s="785">
        <f t="shared" si="100"/>
        <v>8037.1975857281905</v>
      </c>
      <c r="N316" s="685">
        <v>13939</v>
      </c>
      <c r="O316" s="685"/>
      <c r="P316" s="189" t="s">
        <v>541</v>
      </c>
      <c r="Q316" s="802">
        <v>40810</v>
      </c>
      <c r="R316" s="801"/>
      <c r="S316" s="310">
        <v>840</v>
      </c>
      <c r="T316" s="834">
        <v>10930</v>
      </c>
      <c r="U316" s="25">
        <f t="shared" si="77"/>
        <v>9181200</v>
      </c>
      <c r="V316" s="460"/>
      <c r="W316" s="802"/>
      <c r="X316" s="834"/>
      <c r="Y316" s="834"/>
      <c r="Z316" s="25"/>
    </row>
    <row r="317" spans="1:26" ht="13.5" hidden="1" customHeight="1">
      <c r="A317" s="784"/>
      <c r="B317" s="302"/>
      <c r="C317" s="25"/>
      <c r="D317" s="785"/>
      <c r="E317" s="785">
        <f t="shared" ref="E317:E348" si="108">IF($L$350&lt;&gt;0,E$350/$L$350*$L317,0)</f>
        <v>0</v>
      </c>
      <c r="F317" s="785"/>
      <c r="G317" s="785"/>
      <c r="H317" s="785"/>
      <c r="I317" s="785"/>
      <c r="J317" s="369"/>
      <c r="K317" s="25">
        <f t="shared" si="92"/>
        <v>0</v>
      </c>
      <c r="L317" s="785"/>
      <c r="M317" s="785"/>
      <c r="N317" s="685"/>
      <c r="O317" s="685"/>
      <c r="P317" s="189" t="s">
        <v>655</v>
      </c>
      <c r="Q317" s="802">
        <v>40810</v>
      </c>
      <c r="R317" s="801"/>
      <c r="S317" s="310">
        <v>260</v>
      </c>
      <c r="T317" s="862">
        <v>11385</v>
      </c>
      <c r="U317" s="25">
        <f t="shared" si="77"/>
        <v>2960100</v>
      </c>
      <c r="V317" s="460"/>
      <c r="W317" s="802"/>
      <c r="X317" s="834"/>
      <c r="Y317" s="834"/>
      <c r="Z317" s="25"/>
    </row>
    <row r="318" spans="1:26" ht="13.5" customHeight="1">
      <c r="A318" s="784">
        <f>IF(B318&lt;&gt;"",A316+1,"")</f>
        <v>122</v>
      </c>
      <c r="B318" s="302" t="s">
        <v>1026</v>
      </c>
      <c r="C318" s="25">
        <f t="shared" si="99"/>
        <v>16241435</v>
      </c>
      <c r="D318" s="785">
        <f t="shared" ref="D318:D326" si="109">IF($L$350&lt;&gt;0,D$350/$L$350*$L318,0)</f>
        <v>1098192.966219343</v>
      </c>
      <c r="E318" s="785">
        <f t="shared" si="108"/>
        <v>289696.99907450256</v>
      </c>
      <c r="F318" s="785">
        <f t="shared" ref="F318:I326" si="110">IF($L$350&lt;&gt;0,F$350/$L$350*$L318,0)</f>
        <v>614830.95118000929</v>
      </c>
      <c r="G318" s="785">
        <f t="shared" si="110"/>
        <v>111717.92688570108</v>
      </c>
      <c r="H318" s="785">
        <f t="shared" si="110"/>
        <v>1065498.2261298783</v>
      </c>
      <c r="I318" s="785">
        <f t="shared" si="110"/>
        <v>184774.61553293228</v>
      </c>
      <c r="J318" s="369"/>
      <c r="K318" s="25">
        <f t="shared" si="92"/>
        <v>19606146.685022369</v>
      </c>
      <c r="L318" s="785">
        <v>1514</v>
      </c>
      <c r="M318" s="785">
        <f t="shared" si="100"/>
        <v>12949.89873515348</v>
      </c>
      <c r="N318" s="685">
        <v>14369</v>
      </c>
      <c r="O318" s="685"/>
      <c r="P318" s="189" t="s">
        <v>654</v>
      </c>
      <c r="Q318" s="802">
        <v>40810</v>
      </c>
      <c r="R318" s="801"/>
      <c r="S318" s="310">
        <f>L318/2</f>
        <v>757</v>
      </c>
      <c r="T318" s="862">
        <v>21455</v>
      </c>
      <c r="U318" s="25">
        <f t="shared" si="77"/>
        <v>16241435</v>
      </c>
      <c r="V318" s="460"/>
      <c r="W318" s="802"/>
      <c r="X318" s="834"/>
      <c r="Y318" s="834"/>
      <c r="Z318" s="25"/>
    </row>
    <row r="319" spans="1:26" ht="13.5" customHeight="1">
      <c r="A319" s="784">
        <f t="shared" si="93"/>
        <v>123</v>
      </c>
      <c r="B319" s="302" t="s">
        <v>769</v>
      </c>
      <c r="C319" s="25">
        <f t="shared" si="99"/>
        <v>3647670</v>
      </c>
      <c r="D319" s="785">
        <f t="shared" si="109"/>
        <v>397496.52938454424</v>
      </c>
      <c r="E319" s="785">
        <f t="shared" si="108"/>
        <v>104857.30217491902</v>
      </c>
      <c r="F319" s="785">
        <f t="shared" si="110"/>
        <v>222541.18972697825</v>
      </c>
      <c r="G319" s="785">
        <f t="shared" si="110"/>
        <v>40436.8718186025</v>
      </c>
      <c r="H319" s="785">
        <f t="shared" si="110"/>
        <v>385662.50192811975</v>
      </c>
      <c r="I319" s="785">
        <f t="shared" si="110"/>
        <v>66880.111830942464</v>
      </c>
      <c r="J319" s="369"/>
      <c r="K319" s="25">
        <f t="shared" si="92"/>
        <v>4865544.5068641054</v>
      </c>
      <c r="L319" s="785">
        <v>548</v>
      </c>
      <c r="M319" s="785">
        <f t="shared" si="100"/>
        <v>8878.7308519417984</v>
      </c>
      <c r="N319" s="685">
        <v>10534</v>
      </c>
      <c r="O319" s="685"/>
      <c r="P319" s="189" t="s">
        <v>566</v>
      </c>
      <c r="Q319" s="802">
        <v>40810</v>
      </c>
      <c r="R319" s="801"/>
      <c r="S319" s="310">
        <v>130</v>
      </c>
      <c r="T319" s="832">
        <v>28059</v>
      </c>
      <c r="U319" s="25">
        <f t="shared" si="77"/>
        <v>3647670</v>
      </c>
      <c r="V319" s="460"/>
      <c r="W319" s="802"/>
      <c r="X319" s="834"/>
      <c r="Y319" s="834"/>
      <c r="Z319" s="25"/>
    </row>
    <row r="320" spans="1:26" ht="13.5" customHeight="1">
      <c r="A320" s="784">
        <f>IF(B320&lt;&gt;"",A319+1,"")</f>
        <v>124</v>
      </c>
      <c r="B320" s="302" t="s">
        <v>773</v>
      </c>
      <c r="C320" s="25">
        <f t="shared" si="99"/>
        <v>504630</v>
      </c>
      <c r="D320" s="785">
        <f t="shared" si="109"/>
        <v>29739.70384081444</v>
      </c>
      <c r="E320" s="785">
        <f t="shared" si="108"/>
        <v>7845.1631189264235</v>
      </c>
      <c r="F320" s="785">
        <f t="shared" si="110"/>
        <v>16649.979523368809</v>
      </c>
      <c r="G320" s="785">
        <f t="shared" si="110"/>
        <v>3025.3863951874132</v>
      </c>
      <c r="H320" s="785">
        <f t="shared" si="110"/>
        <v>28854.311275643995</v>
      </c>
      <c r="I320" s="785">
        <f t="shared" si="110"/>
        <v>5003.8039873515345</v>
      </c>
      <c r="J320" s="369"/>
      <c r="K320" s="25">
        <f t="shared" si="92"/>
        <v>595748.34814129258</v>
      </c>
      <c r="L320" s="785">
        <v>41</v>
      </c>
      <c r="M320" s="785">
        <f t="shared" si="100"/>
        <v>14530.447515641283</v>
      </c>
      <c r="N320" s="685">
        <v>15549</v>
      </c>
      <c r="O320" s="685"/>
      <c r="P320" s="189" t="s">
        <v>591</v>
      </c>
      <c r="Q320" s="802">
        <v>40810</v>
      </c>
      <c r="R320" s="801"/>
      <c r="S320" s="310">
        <v>21</v>
      </c>
      <c r="T320" s="260">
        <v>24030</v>
      </c>
      <c r="U320" s="25">
        <f t="shared" si="77"/>
        <v>504630</v>
      </c>
      <c r="V320" s="460"/>
      <c r="W320" s="802"/>
      <c r="X320" s="834"/>
      <c r="Y320" s="834"/>
      <c r="Z320" s="25"/>
    </row>
    <row r="321" spans="1:26" ht="13.5" customHeight="1">
      <c r="A321" s="784">
        <f t="shared" si="93"/>
        <v>125</v>
      </c>
      <c r="B321" s="302" t="s">
        <v>770</v>
      </c>
      <c r="C321" s="25">
        <f t="shared" si="99"/>
        <v>169730</v>
      </c>
      <c r="D321" s="785">
        <f t="shared" si="109"/>
        <v>14507.172605275337</v>
      </c>
      <c r="E321" s="785">
        <f t="shared" si="108"/>
        <v>3826.9088385006944</v>
      </c>
      <c r="F321" s="785">
        <f t="shared" si="110"/>
        <v>8121.9412309116151</v>
      </c>
      <c r="G321" s="785">
        <f t="shared" si="110"/>
        <v>1475.7982415548358</v>
      </c>
      <c r="H321" s="785">
        <f t="shared" si="110"/>
        <v>14075.27379299707</v>
      </c>
      <c r="I321" s="785">
        <f t="shared" si="110"/>
        <v>2440.8799938300167</v>
      </c>
      <c r="J321" s="369"/>
      <c r="K321" s="25">
        <f t="shared" si="92"/>
        <v>214177.9747030696</v>
      </c>
      <c r="L321" s="785">
        <v>20</v>
      </c>
      <c r="M321" s="785">
        <f t="shared" si="100"/>
        <v>10708.89873515348</v>
      </c>
      <c r="N321" s="685">
        <v>11621</v>
      </c>
      <c r="O321" s="685"/>
      <c r="P321" s="189" t="s">
        <v>574</v>
      </c>
      <c r="Q321" s="802">
        <v>40810</v>
      </c>
      <c r="R321" s="801"/>
      <c r="S321" s="310">
        <f>L321/2</f>
        <v>10</v>
      </c>
      <c r="T321" s="834">
        <v>16973</v>
      </c>
      <c r="U321" s="25">
        <f t="shared" si="77"/>
        <v>169730</v>
      </c>
      <c r="V321" s="460"/>
      <c r="W321" s="802"/>
      <c r="X321" s="834"/>
      <c r="Y321" s="834"/>
      <c r="Z321" s="25"/>
    </row>
    <row r="322" spans="1:26" ht="13.5" customHeight="1">
      <c r="A322" s="784">
        <f t="shared" si="93"/>
        <v>126</v>
      </c>
      <c r="B322" s="302" t="s">
        <v>1021</v>
      </c>
      <c r="C322" s="25">
        <f t="shared" si="99"/>
        <v>548232</v>
      </c>
      <c r="D322" s="785">
        <f t="shared" si="109"/>
        <v>76888.014807959291</v>
      </c>
      <c r="E322" s="785">
        <f t="shared" si="108"/>
        <v>20282.616844053679</v>
      </c>
      <c r="F322" s="785">
        <f t="shared" si="110"/>
        <v>43046.288523831558</v>
      </c>
      <c r="G322" s="785">
        <f t="shared" si="110"/>
        <v>7821.7306802406292</v>
      </c>
      <c r="H322" s="785">
        <f t="shared" si="110"/>
        <v>74598.951102884472</v>
      </c>
      <c r="I322" s="785">
        <f t="shared" si="110"/>
        <v>12936.66396729909</v>
      </c>
      <c r="J322" s="369"/>
      <c r="K322" s="25">
        <f t="shared" si="92"/>
        <v>783806.26592626877</v>
      </c>
      <c r="L322" s="785">
        <v>106</v>
      </c>
      <c r="M322" s="785">
        <f t="shared" si="100"/>
        <v>7394.3987351534788</v>
      </c>
      <c r="N322" s="685">
        <v>8398</v>
      </c>
      <c r="O322" s="685"/>
      <c r="P322" s="189" t="s">
        <v>601</v>
      </c>
      <c r="Q322" s="802">
        <v>40811</v>
      </c>
      <c r="R322" s="801"/>
      <c r="S322" s="310">
        <f>L322/2</f>
        <v>53</v>
      </c>
      <c r="T322" s="834">
        <v>10344</v>
      </c>
      <c r="U322" s="25">
        <f t="shared" si="77"/>
        <v>548232</v>
      </c>
      <c r="V322" s="460"/>
      <c r="W322" s="802"/>
      <c r="X322" s="834"/>
      <c r="Y322" s="834"/>
      <c r="Z322" s="25"/>
    </row>
    <row r="323" spans="1:26" ht="13.5" customHeight="1">
      <c r="A323" s="784">
        <f t="shared" si="93"/>
        <v>127</v>
      </c>
      <c r="B323" s="302" t="s">
        <v>1024</v>
      </c>
      <c r="C323" s="25">
        <f t="shared" si="99"/>
        <v>3006974</v>
      </c>
      <c r="D323" s="785">
        <f t="shared" si="109"/>
        <v>361953.95650161966</v>
      </c>
      <c r="E323" s="785">
        <f t="shared" si="108"/>
        <v>95481.375520592323</v>
      </c>
      <c r="F323" s="785">
        <f t="shared" si="110"/>
        <v>202642.43371124478</v>
      </c>
      <c r="G323" s="785">
        <f t="shared" si="110"/>
        <v>36821.166126793156</v>
      </c>
      <c r="H323" s="785">
        <f t="shared" si="110"/>
        <v>351178.08113527688</v>
      </c>
      <c r="I323" s="785">
        <f t="shared" si="110"/>
        <v>60899.955846058918</v>
      </c>
      <c r="J323" s="369"/>
      <c r="K323" s="25">
        <f t="shared" si="92"/>
        <v>4115950.9688415863</v>
      </c>
      <c r="L323" s="785">
        <v>499</v>
      </c>
      <c r="M323" s="785">
        <f t="shared" si="100"/>
        <v>8248.3987351534797</v>
      </c>
      <c r="N323" s="685">
        <v>9538</v>
      </c>
      <c r="O323" s="685"/>
      <c r="P323" s="302" t="s">
        <v>502</v>
      </c>
      <c r="Q323" s="802">
        <v>40811</v>
      </c>
      <c r="R323" s="801"/>
      <c r="S323" s="310">
        <f>L323</f>
        <v>499</v>
      </c>
      <c r="T323" s="834">
        <v>6026</v>
      </c>
      <c r="U323" s="25">
        <f t="shared" si="77"/>
        <v>3006974</v>
      </c>
      <c r="V323" s="460"/>
      <c r="W323" s="802"/>
      <c r="X323" s="834"/>
      <c r="Y323" s="834"/>
      <c r="Z323" s="25"/>
    </row>
    <row r="324" spans="1:26" ht="13.5" customHeight="1">
      <c r="A324" s="784">
        <f t="shared" si="93"/>
        <v>128</v>
      </c>
      <c r="B324" s="302" t="s">
        <v>780</v>
      </c>
      <c r="C324" s="25">
        <f t="shared" si="99"/>
        <v>8898</v>
      </c>
      <c r="D324" s="785">
        <f t="shared" si="109"/>
        <v>2176.0758907913005</v>
      </c>
      <c r="E324" s="785">
        <f t="shared" si="108"/>
        <v>574.03632577510416</v>
      </c>
      <c r="F324" s="785">
        <f t="shared" si="110"/>
        <v>1218.2911846367422</v>
      </c>
      <c r="G324" s="785">
        <f t="shared" si="110"/>
        <v>221.36973623322535</v>
      </c>
      <c r="H324" s="785">
        <f t="shared" si="110"/>
        <v>2111.2910689495607</v>
      </c>
      <c r="I324" s="785">
        <f t="shared" si="110"/>
        <v>366.13199907450252</v>
      </c>
      <c r="J324" s="369"/>
      <c r="K324" s="25">
        <f t="shared" si="92"/>
        <v>15565.196205460437</v>
      </c>
      <c r="L324" s="785">
        <v>3</v>
      </c>
      <c r="M324" s="785">
        <f t="shared" si="100"/>
        <v>5188.3987351534788</v>
      </c>
      <c r="N324" s="685">
        <v>5166</v>
      </c>
      <c r="O324" s="685"/>
      <c r="P324" s="189" t="s">
        <v>410</v>
      </c>
      <c r="Q324" s="802">
        <v>40811</v>
      </c>
      <c r="R324" s="801"/>
      <c r="S324" s="310">
        <v>2</v>
      </c>
      <c r="T324" s="834">
        <f>4449</f>
        <v>4449</v>
      </c>
      <c r="U324" s="25">
        <f t="shared" si="77"/>
        <v>8898</v>
      </c>
      <c r="V324" s="460"/>
      <c r="W324" s="802"/>
      <c r="X324" s="834"/>
      <c r="Y324" s="834"/>
      <c r="Z324" s="25"/>
    </row>
    <row r="325" spans="1:26" ht="13.5" customHeight="1">
      <c r="A325" s="784">
        <f t="shared" si="93"/>
        <v>129</v>
      </c>
      <c r="B325" s="302" t="s">
        <v>771</v>
      </c>
      <c r="C325" s="25">
        <f t="shared" si="99"/>
        <v>78540</v>
      </c>
      <c r="D325" s="785">
        <f t="shared" si="109"/>
        <v>9429.6621934289687</v>
      </c>
      <c r="E325" s="785">
        <f t="shared" si="108"/>
        <v>2487.4907450254514</v>
      </c>
      <c r="F325" s="785">
        <f t="shared" si="110"/>
        <v>5279.2618000925495</v>
      </c>
      <c r="G325" s="785">
        <f t="shared" si="110"/>
        <v>959.26885701064327</v>
      </c>
      <c r="H325" s="785">
        <f t="shared" si="110"/>
        <v>9148.9279654480961</v>
      </c>
      <c r="I325" s="785">
        <f t="shared" si="110"/>
        <v>1586.5719959895109</v>
      </c>
      <c r="J325" s="369"/>
      <c r="K325" s="25">
        <f t="shared" ref="K325:K348" si="111">SUM(C325:I325)</f>
        <v>107431.18355699521</v>
      </c>
      <c r="L325" s="785">
        <v>13</v>
      </c>
      <c r="M325" s="785">
        <f t="shared" si="100"/>
        <v>8263.9371966919389</v>
      </c>
      <c r="N325" s="685">
        <v>10189</v>
      </c>
      <c r="O325" s="685"/>
      <c r="P325" s="40" t="s">
        <v>625</v>
      </c>
      <c r="Q325" s="802">
        <v>40811</v>
      </c>
      <c r="R325" s="801"/>
      <c r="S325" s="310">
        <v>6</v>
      </c>
      <c r="T325" s="260">
        <v>13090</v>
      </c>
      <c r="U325" s="25">
        <f t="shared" si="77"/>
        <v>78540</v>
      </c>
      <c r="V325" s="460"/>
      <c r="W325" s="802"/>
      <c r="X325" s="834"/>
      <c r="Y325" s="834"/>
      <c r="Z325" s="25"/>
    </row>
    <row r="326" spans="1:26" ht="13.5" customHeight="1">
      <c r="A326" s="784">
        <f t="shared" si="93"/>
        <v>130</v>
      </c>
      <c r="B326" s="302" t="s">
        <v>1054</v>
      </c>
      <c r="C326" s="25">
        <f t="shared" si="99"/>
        <v>7268</v>
      </c>
      <c r="D326" s="785">
        <f t="shared" si="109"/>
        <v>725.35863026376683</v>
      </c>
      <c r="E326" s="785">
        <f t="shared" si="108"/>
        <v>191.34544192503472</v>
      </c>
      <c r="F326" s="785">
        <f t="shared" si="110"/>
        <v>406.09706154558074</v>
      </c>
      <c r="G326" s="785">
        <f t="shared" si="110"/>
        <v>73.789912077741789</v>
      </c>
      <c r="H326" s="785">
        <f t="shared" si="110"/>
        <v>703.76368964985352</v>
      </c>
      <c r="I326" s="785">
        <f t="shared" si="110"/>
        <v>122.04399969150084</v>
      </c>
      <c r="J326" s="369"/>
      <c r="K326" s="25">
        <f t="shared" si="111"/>
        <v>9490.3987351534779</v>
      </c>
      <c r="L326" s="785">
        <v>1</v>
      </c>
      <c r="M326" s="785">
        <f t="shared" si="100"/>
        <v>9490.3987351534779</v>
      </c>
      <c r="N326" s="685">
        <v>10211</v>
      </c>
      <c r="O326" s="685"/>
      <c r="P326" s="189" t="s">
        <v>546</v>
      </c>
      <c r="Q326" s="802">
        <v>40811</v>
      </c>
      <c r="R326" s="801"/>
      <c r="S326" s="310">
        <f>L326</f>
        <v>1</v>
      </c>
      <c r="T326" s="260">
        <v>7268</v>
      </c>
      <c r="U326" s="25">
        <f t="shared" si="77"/>
        <v>7268</v>
      </c>
      <c r="V326" s="460"/>
      <c r="W326" s="802"/>
      <c r="X326" s="834"/>
      <c r="Y326" s="834"/>
      <c r="Z326" s="25"/>
    </row>
    <row r="327" spans="1:26" ht="13.5" customHeight="1">
      <c r="A327" s="784">
        <f t="shared" ref="A327:A348" si="112">IF(B327&lt;&gt;"",A326+1,"")</f>
        <v>131</v>
      </c>
      <c r="B327" s="302" t="s">
        <v>1025</v>
      </c>
      <c r="C327" s="25">
        <f t="shared" si="99"/>
        <v>26694</v>
      </c>
      <c r="D327" s="785">
        <f t="shared" ref="D327:I341" si="113">IF($L$350&lt;&gt;0,D$350/$L$350*$L327,0)</f>
        <v>4352.151781582601</v>
      </c>
      <c r="E327" s="785">
        <f t="shared" si="108"/>
        <v>1148.0726515502083</v>
      </c>
      <c r="F327" s="785">
        <f t="shared" si="113"/>
        <v>2436.5823692734843</v>
      </c>
      <c r="G327" s="785">
        <f t="shared" si="113"/>
        <v>442.73947246645071</v>
      </c>
      <c r="H327" s="785">
        <f t="shared" si="113"/>
        <v>4222.5821378991213</v>
      </c>
      <c r="I327" s="785">
        <f t="shared" si="113"/>
        <v>732.26399814900503</v>
      </c>
      <c r="J327" s="369"/>
      <c r="K327" s="25">
        <f t="shared" si="111"/>
        <v>40028.392410920875</v>
      </c>
      <c r="L327" s="785">
        <v>6</v>
      </c>
      <c r="M327" s="785">
        <f t="shared" si="100"/>
        <v>6671.3987351534788</v>
      </c>
      <c r="N327" s="685">
        <v>7042</v>
      </c>
      <c r="O327" s="685"/>
      <c r="P327" s="189" t="s">
        <v>410</v>
      </c>
      <c r="Q327" s="802">
        <v>40811</v>
      </c>
      <c r="R327" s="801"/>
      <c r="S327" s="310">
        <f>L327</f>
        <v>6</v>
      </c>
      <c r="T327" s="834">
        <f>4449</f>
        <v>4449</v>
      </c>
      <c r="U327" s="25">
        <f t="shared" si="77"/>
        <v>26694</v>
      </c>
      <c r="V327" s="460"/>
      <c r="W327" s="802"/>
      <c r="X327" s="834"/>
      <c r="Y327" s="834"/>
      <c r="Z327" s="25"/>
    </row>
    <row r="328" spans="1:26" ht="13.5" customHeight="1">
      <c r="A328" s="784">
        <f t="shared" si="112"/>
        <v>132</v>
      </c>
      <c r="B328" s="302" t="s">
        <v>1023</v>
      </c>
      <c r="C328" s="25">
        <f t="shared" si="99"/>
        <v>8898</v>
      </c>
      <c r="D328" s="785">
        <f t="shared" si="113"/>
        <v>1450.7172605275337</v>
      </c>
      <c r="E328" s="785">
        <f t="shared" si="108"/>
        <v>382.69088385006944</v>
      </c>
      <c r="F328" s="785">
        <f t="shared" si="113"/>
        <v>812.19412309116149</v>
      </c>
      <c r="G328" s="785">
        <f t="shared" si="113"/>
        <v>147.57982415548358</v>
      </c>
      <c r="H328" s="785">
        <f t="shared" si="113"/>
        <v>1407.527379299707</v>
      </c>
      <c r="I328" s="785">
        <f t="shared" si="113"/>
        <v>244.08799938300169</v>
      </c>
      <c r="J328" s="369"/>
      <c r="K328" s="25">
        <f t="shared" si="111"/>
        <v>13342.797470306958</v>
      </c>
      <c r="L328" s="785">
        <v>2</v>
      </c>
      <c r="M328" s="785">
        <f t="shared" si="100"/>
        <v>6671.3987351534788</v>
      </c>
      <c r="N328" s="685">
        <v>6510</v>
      </c>
      <c r="O328" s="685"/>
      <c r="P328" s="189" t="s">
        <v>410</v>
      </c>
      <c r="Q328" s="802">
        <v>40811</v>
      </c>
      <c r="R328" s="801"/>
      <c r="S328" s="310">
        <f>L328</f>
        <v>2</v>
      </c>
      <c r="T328" s="834">
        <f>4449</f>
        <v>4449</v>
      </c>
      <c r="U328" s="25">
        <f t="shared" si="77"/>
        <v>8898</v>
      </c>
      <c r="V328" s="460"/>
      <c r="W328" s="802"/>
      <c r="X328" s="834"/>
      <c r="Y328" s="834"/>
      <c r="Z328" s="25"/>
    </row>
    <row r="329" spans="1:26" ht="13.5" customHeight="1">
      <c r="A329" s="784">
        <f t="shared" si="112"/>
        <v>133</v>
      </c>
      <c r="B329" s="302" t="s">
        <v>1055</v>
      </c>
      <c r="C329" s="25">
        <f t="shared" si="99"/>
        <v>8898</v>
      </c>
      <c r="D329" s="785">
        <f t="shared" si="113"/>
        <v>1450.7172605275337</v>
      </c>
      <c r="E329" s="785">
        <f t="shared" si="108"/>
        <v>382.69088385006944</v>
      </c>
      <c r="F329" s="785">
        <f t="shared" si="113"/>
        <v>812.19412309116149</v>
      </c>
      <c r="G329" s="785">
        <f t="shared" si="113"/>
        <v>147.57982415548358</v>
      </c>
      <c r="H329" s="785">
        <f t="shared" si="113"/>
        <v>1407.527379299707</v>
      </c>
      <c r="I329" s="785">
        <f t="shared" si="113"/>
        <v>244.08799938300169</v>
      </c>
      <c r="J329" s="369"/>
      <c r="K329" s="25">
        <f t="shared" si="111"/>
        <v>13342.797470306958</v>
      </c>
      <c r="L329" s="785">
        <v>2</v>
      </c>
      <c r="M329" s="785">
        <f t="shared" si="100"/>
        <v>6671.3987351534788</v>
      </c>
      <c r="N329" s="685">
        <v>7229</v>
      </c>
      <c r="O329" s="685"/>
      <c r="P329" s="189" t="s">
        <v>410</v>
      </c>
      <c r="Q329" s="802">
        <v>40811</v>
      </c>
      <c r="R329" s="801"/>
      <c r="S329" s="310">
        <f>L329</f>
        <v>2</v>
      </c>
      <c r="T329" s="834">
        <f>4449</f>
        <v>4449</v>
      </c>
      <c r="U329" s="25">
        <f t="shared" si="77"/>
        <v>8898</v>
      </c>
      <c r="V329" s="460"/>
      <c r="W329" s="802"/>
      <c r="X329" s="834"/>
      <c r="Y329" s="834"/>
      <c r="Z329" s="25"/>
    </row>
    <row r="330" spans="1:26" ht="13.5" customHeight="1">
      <c r="A330" s="784">
        <f t="shared" si="112"/>
        <v>134</v>
      </c>
      <c r="B330" s="302" t="s">
        <v>778</v>
      </c>
      <c r="C330" s="25">
        <f t="shared" si="99"/>
        <v>40433</v>
      </c>
      <c r="D330" s="785">
        <f t="shared" si="113"/>
        <v>3626.7931513188341</v>
      </c>
      <c r="E330" s="785">
        <f t="shared" si="108"/>
        <v>956.7272096251736</v>
      </c>
      <c r="F330" s="785">
        <f t="shared" si="113"/>
        <v>2030.4853077279038</v>
      </c>
      <c r="G330" s="785">
        <f t="shared" si="113"/>
        <v>368.94956038870896</v>
      </c>
      <c r="H330" s="785">
        <f t="shared" si="113"/>
        <v>3518.8184482492675</v>
      </c>
      <c r="I330" s="785">
        <f t="shared" si="113"/>
        <v>610.21999845750418</v>
      </c>
      <c r="J330" s="369"/>
      <c r="K330" s="25">
        <f t="shared" si="111"/>
        <v>51544.9936757674</v>
      </c>
      <c r="L330" s="785">
        <v>5</v>
      </c>
      <c r="M330" s="785">
        <f t="shared" si="100"/>
        <v>10308.99873515348</v>
      </c>
      <c r="N330" s="685">
        <v>12109</v>
      </c>
      <c r="O330" s="685"/>
      <c r="P330" s="189" t="s">
        <v>511</v>
      </c>
      <c r="Q330" s="802">
        <v>40812</v>
      </c>
      <c r="R330" s="801"/>
      <c r="S330" s="310">
        <f>L330/2</f>
        <v>2.5</v>
      </c>
      <c r="T330" s="834">
        <v>16173</v>
      </c>
      <c r="U330" s="25">
        <f t="shared" si="77"/>
        <v>40433</v>
      </c>
      <c r="V330" s="460"/>
      <c r="W330" s="802"/>
      <c r="X330" s="834"/>
      <c r="Y330" s="834"/>
      <c r="Z330" s="25"/>
    </row>
    <row r="331" spans="1:26" ht="13.5" customHeight="1">
      <c r="A331" s="784">
        <f t="shared" si="112"/>
        <v>135</v>
      </c>
      <c r="B331" s="302" t="s">
        <v>1056</v>
      </c>
      <c r="C331" s="25">
        <f t="shared" si="99"/>
        <v>8152</v>
      </c>
      <c r="D331" s="785">
        <f t="shared" si="113"/>
        <v>725.35863026376683</v>
      </c>
      <c r="E331" s="785">
        <f t="shared" si="108"/>
        <v>191.34544192503472</v>
      </c>
      <c r="F331" s="785">
        <f t="shared" si="113"/>
        <v>406.09706154558074</v>
      </c>
      <c r="G331" s="785">
        <f t="shared" si="113"/>
        <v>73.789912077741789</v>
      </c>
      <c r="H331" s="785">
        <f t="shared" si="113"/>
        <v>703.76368964985352</v>
      </c>
      <c r="I331" s="785">
        <f t="shared" si="113"/>
        <v>122.04399969150084</v>
      </c>
      <c r="J331" s="369"/>
      <c r="K331" s="25">
        <f t="shared" si="111"/>
        <v>10374.398735153478</v>
      </c>
      <c r="L331" s="785">
        <v>1</v>
      </c>
      <c r="M331" s="785">
        <f t="shared" si="100"/>
        <v>10374.398735153478</v>
      </c>
      <c r="N331" s="685">
        <v>11245</v>
      </c>
      <c r="O331" s="685"/>
      <c r="P331" s="40" t="s">
        <v>624</v>
      </c>
      <c r="Q331" s="802">
        <v>40812</v>
      </c>
      <c r="R331" s="801"/>
      <c r="S331" s="310">
        <f>L331/2</f>
        <v>0.5</v>
      </c>
      <c r="T331" s="834">
        <v>16303</v>
      </c>
      <c r="U331" s="25">
        <f t="shared" si="77"/>
        <v>8152</v>
      </c>
      <c r="V331" s="460"/>
      <c r="W331" s="802"/>
      <c r="X331" s="834"/>
      <c r="Y331" s="834"/>
      <c r="Z331" s="25"/>
    </row>
    <row r="332" spans="1:26" ht="13.5" customHeight="1">
      <c r="A332" s="784">
        <f t="shared" si="112"/>
        <v>136</v>
      </c>
      <c r="B332" s="302" t="s">
        <v>1034</v>
      </c>
      <c r="C332" s="25">
        <f t="shared" si="99"/>
        <v>10603</v>
      </c>
      <c r="D332" s="785">
        <f t="shared" si="113"/>
        <v>725.35863026376683</v>
      </c>
      <c r="E332" s="785">
        <f t="shared" si="108"/>
        <v>191.34544192503472</v>
      </c>
      <c r="F332" s="785">
        <f t="shared" si="113"/>
        <v>406.09706154558074</v>
      </c>
      <c r="G332" s="785">
        <f t="shared" si="113"/>
        <v>73.789912077741789</v>
      </c>
      <c r="H332" s="785">
        <f t="shared" si="113"/>
        <v>703.76368964985352</v>
      </c>
      <c r="I332" s="785">
        <f t="shared" si="113"/>
        <v>122.04399969150084</v>
      </c>
      <c r="J332" s="369"/>
      <c r="K332" s="25">
        <f t="shared" si="111"/>
        <v>12825.398735153478</v>
      </c>
      <c r="L332" s="785">
        <v>1</v>
      </c>
      <c r="M332" s="785">
        <f t="shared" si="100"/>
        <v>12825.398735153478</v>
      </c>
      <c r="N332" s="685">
        <v>13027</v>
      </c>
      <c r="O332" s="685"/>
      <c r="P332" s="189" t="s">
        <v>542</v>
      </c>
      <c r="Q332" s="802">
        <v>40812</v>
      </c>
      <c r="R332" s="801"/>
      <c r="S332" s="310">
        <f>L332</f>
        <v>1</v>
      </c>
      <c r="T332" s="834">
        <v>10603</v>
      </c>
      <c r="U332" s="25">
        <f t="shared" si="77"/>
        <v>10603</v>
      </c>
      <c r="V332" s="460"/>
      <c r="W332" s="802"/>
      <c r="X332" s="834"/>
      <c r="Y332" s="834"/>
      <c r="Z332" s="25"/>
    </row>
    <row r="333" spans="1:26" ht="13.5" customHeight="1">
      <c r="A333" s="784">
        <f t="shared" si="112"/>
        <v>137</v>
      </c>
      <c r="B333" s="302" t="s">
        <v>1027</v>
      </c>
      <c r="C333" s="25">
        <f t="shared" si="99"/>
        <v>18078</v>
      </c>
      <c r="D333" s="785">
        <f t="shared" si="113"/>
        <v>2176.0758907913005</v>
      </c>
      <c r="E333" s="785">
        <f t="shared" si="108"/>
        <v>574.03632577510416</v>
      </c>
      <c r="F333" s="785">
        <f t="shared" si="113"/>
        <v>1218.2911846367422</v>
      </c>
      <c r="G333" s="785">
        <f t="shared" si="113"/>
        <v>221.36973623322535</v>
      </c>
      <c r="H333" s="785">
        <f t="shared" si="113"/>
        <v>2111.2910689495607</v>
      </c>
      <c r="I333" s="785">
        <f t="shared" si="113"/>
        <v>366.13199907450252</v>
      </c>
      <c r="J333" s="369"/>
      <c r="K333" s="25">
        <f t="shared" si="111"/>
        <v>24745.196205460437</v>
      </c>
      <c r="L333" s="785">
        <v>3</v>
      </c>
      <c r="M333" s="785">
        <f t="shared" si="100"/>
        <v>8248.3987351534797</v>
      </c>
      <c r="N333" s="685">
        <v>9960</v>
      </c>
      <c r="O333" s="685"/>
      <c r="P333" s="302" t="s">
        <v>502</v>
      </c>
      <c r="Q333" s="802">
        <v>40812</v>
      </c>
      <c r="R333" s="801"/>
      <c r="S333" s="310">
        <f t="shared" ref="S333:S334" si="114">L333</f>
        <v>3</v>
      </c>
      <c r="T333" s="834">
        <v>6026</v>
      </c>
      <c r="U333" s="25">
        <f t="shared" si="77"/>
        <v>18078</v>
      </c>
      <c r="V333" s="460"/>
      <c r="W333" s="802"/>
      <c r="X333" s="834"/>
      <c r="Y333" s="834"/>
      <c r="Z333" s="25"/>
    </row>
    <row r="334" spans="1:26" ht="13.5" customHeight="1">
      <c r="A334" s="784">
        <f t="shared" si="112"/>
        <v>138</v>
      </c>
      <c r="B334" s="302" t="s">
        <v>768</v>
      </c>
      <c r="C334" s="25">
        <f t="shared" si="99"/>
        <v>18078</v>
      </c>
      <c r="D334" s="785">
        <f t="shared" si="113"/>
        <v>2176.0758907913005</v>
      </c>
      <c r="E334" s="785">
        <f t="shared" si="108"/>
        <v>574.03632577510416</v>
      </c>
      <c r="F334" s="785">
        <f t="shared" si="113"/>
        <v>1218.2911846367422</v>
      </c>
      <c r="G334" s="785">
        <f t="shared" si="113"/>
        <v>221.36973623322535</v>
      </c>
      <c r="H334" s="785">
        <f t="shared" si="113"/>
        <v>2111.2910689495607</v>
      </c>
      <c r="I334" s="785">
        <f t="shared" si="113"/>
        <v>366.13199907450252</v>
      </c>
      <c r="J334" s="369"/>
      <c r="K334" s="25">
        <f t="shared" si="111"/>
        <v>24745.196205460437</v>
      </c>
      <c r="L334" s="785">
        <v>3</v>
      </c>
      <c r="M334" s="785">
        <f t="shared" si="100"/>
        <v>8248.3987351534797</v>
      </c>
      <c r="N334" s="685">
        <v>9202</v>
      </c>
      <c r="O334" s="685"/>
      <c r="P334" s="302" t="s">
        <v>502</v>
      </c>
      <c r="Q334" s="802">
        <v>40812</v>
      </c>
      <c r="R334" s="801"/>
      <c r="S334" s="310">
        <f t="shared" si="114"/>
        <v>3</v>
      </c>
      <c r="T334" s="834">
        <v>6026</v>
      </c>
      <c r="U334" s="25">
        <f t="shared" si="77"/>
        <v>18078</v>
      </c>
      <c r="V334" s="460"/>
      <c r="W334" s="802"/>
      <c r="X334" s="834"/>
      <c r="Y334" s="834"/>
      <c r="Z334" s="25"/>
    </row>
    <row r="335" spans="1:26" ht="13.5" customHeight="1">
      <c r="A335" s="784">
        <f t="shared" si="112"/>
        <v>139</v>
      </c>
      <c r="B335" s="302" t="s">
        <v>1057</v>
      </c>
      <c r="C335" s="25">
        <f t="shared" si="99"/>
        <v>4449</v>
      </c>
      <c r="D335" s="785">
        <f t="shared" si="113"/>
        <v>725.35863026376683</v>
      </c>
      <c r="E335" s="785">
        <f t="shared" si="108"/>
        <v>191.34544192503472</v>
      </c>
      <c r="F335" s="785">
        <f t="shared" si="113"/>
        <v>406.09706154558074</v>
      </c>
      <c r="G335" s="785">
        <f t="shared" si="113"/>
        <v>73.789912077741789</v>
      </c>
      <c r="H335" s="785">
        <f t="shared" si="113"/>
        <v>703.76368964985352</v>
      </c>
      <c r="I335" s="785">
        <f t="shared" si="113"/>
        <v>122.04399969150084</v>
      </c>
      <c r="J335" s="369"/>
      <c r="K335" s="25">
        <f t="shared" si="111"/>
        <v>6671.3987351534788</v>
      </c>
      <c r="L335" s="785">
        <v>1</v>
      </c>
      <c r="M335" s="785">
        <f t="shared" si="100"/>
        <v>6671.3987351534788</v>
      </c>
      <c r="N335" s="685">
        <v>7302</v>
      </c>
      <c r="O335" s="685"/>
      <c r="P335" s="189" t="s">
        <v>410</v>
      </c>
      <c r="Q335" s="802">
        <v>40812</v>
      </c>
      <c r="R335" s="801"/>
      <c r="S335" s="310">
        <f>L335</f>
        <v>1</v>
      </c>
      <c r="T335" s="834">
        <f>4449</f>
        <v>4449</v>
      </c>
      <c r="U335" s="25">
        <f t="shared" si="77"/>
        <v>4449</v>
      </c>
      <c r="V335" s="460"/>
      <c r="W335" s="802"/>
      <c r="X335" s="834"/>
      <c r="Y335" s="834"/>
      <c r="Z335" s="25"/>
    </row>
    <row r="336" spans="1:26" ht="13.5" customHeight="1">
      <c r="A336" s="784">
        <f t="shared" si="112"/>
        <v>140</v>
      </c>
      <c r="B336" s="302" t="s">
        <v>772</v>
      </c>
      <c r="C336" s="25">
        <f t="shared" si="99"/>
        <v>8087</v>
      </c>
      <c r="D336" s="785">
        <f t="shared" si="113"/>
        <v>725.35863026376683</v>
      </c>
      <c r="E336" s="785">
        <f t="shared" si="108"/>
        <v>191.34544192503472</v>
      </c>
      <c r="F336" s="785">
        <f t="shared" si="113"/>
        <v>406.09706154558074</v>
      </c>
      <c r="G336" s="785">
        <f t="shared" si="113"/>
        <v>73.789912077741789</v>
      </c>
      <c r="H336" s="785">
        <f t="shared" si="113"/>
        <v>703.76368964985352</v>
      </c>
      <c r="I336" s="785">
        <f t="shared" si="113"/>
        <v>122.04399969150084</v>
      </c>
      <c r="J336" s="369"/>
      <c r="K336" s="25">
        <f t="shared" si="111"/>
        <v>10309.398735153478</v>
      </c>
      <c r="L336" s="785">
        <v>1</v>
      </c>
      <c r="M336" s="785">
        <f t="shared" si="100"/>
        <v>10309.398735153478</v>
      </c>
      <c r="N336" s="685">
        <v>12495</v>
      </c>
      <c r="O336" s="685"/>
      <c r="P336" s="189" t="s">
        <v>511</v>
      </c>
      <c r="Q336" s="802">
        <v>40812</v>
      </c>
      <c r="R336" s="801"/>
      <c r="S336" s="310">
        <f>L336/2</f>
        <v>0.5</v>
      </c>
      <c r="T336" s="834">
        <v>16173</v>
      </c>
      <c r="U336" s="25">
        <f t="shared" si="77"/>
        <v>8087</v>
      </c>
      <c r="V336" s="460"/>
      <c r="W336" s="802"/>
      <c r="X336" s="834"/>
      <c r="Y336" s="834"/>
      <c r="Z336" s="25"/>
    </row>
    <row r="337" spans="1:26" ht="13.5" customHeight="1">
      <c r="A337" s="784">
        <f t="shared" si="112"/>
        <v>141</v>
      </c>
      <c r="B337" s="302" t="s">
        <v>781</v>
      </c>
      <c r="C337" s="25">
        <f t="shared" si="99"/>
        <v>22245</v>
      </c>
      <c r="D337" s="785">
        <f t="shared" si="113"/>
        <v>3626.7931513188341</v>
      </c>
      <c r="E337" s="785">
        <f t="shared" si="108"/>
        <v>956.7272096251736</v>
      </c>
      <c r="F337" s="785">
        <f t="shared" si="113"/>
        <v>2030.4853077279038</v>
      </c>
      <c r="G337" s="785">
        <f t="shared" si="113"/>
        <v>368.94956038870896</v>
      </c>
      <c r="H337" s="785">
        <f t="shared" si="113"/>
        <v>3518.8184482492675</v>
      </c>
      <c r="I337" s="785">
        <f t="shared" si="113"/>
        <v>610.21999845750418</v>
      </c>
      <c r="J337" s="369"/>
      <c r="K337" s="25">
        <f t="shared" si="111"/>
        <v>33356.993675767393</v>
      </c>
      <c r="L337" s="785">
        <v>5</v>
      </c>
      <c r="M337" s="785">
        <f t="shared" si="100"/>
        <v>6671.3987351534788</v>
      </c>
      <c r="N337" s="685">
        <v>7295</v>
      </c>
      <c r="O337" s="685"/>
      <c r="P337" s="189" t="s">
        <v>410</v>
      </c>
      <c r="Q337" s="802">
        <v>40812</v>
      </c>
      <c r="R337" s="801"/>
      <c r="S337" s="310">
        <f>L337</f>
        <v>5</v>
      </c>
      <c r="T337" s="834">
        <f>4449</f>
        <v>4449</v>
      </c>
      <c r="U337" s="25">
        <f t="shared" si="77"/>
        <v>22245</v>
      </c>
      <c r="V337" s="460"/>
      <c r="W337" s="802"/>
      <c r="X337" s="834"/>
      <c r="Y337" s="834"/>
      <c r="Z337" s="25"/>
    </row>
    <row r="338" spans="1:26" ht="13.5" customHeight="1">
      <c r="A338" s="784">
        <f t="shared" si="112"/>
        <v>142</v>
      </c>
      <c r="B338" s="302" t="s">
        <v>1058</v>
      </c>
      <c r="C338" s="25">
        <f t="shared" si="99"/>
        <v>3924480</v>
      </c>
      <c r="D338" s="785">
        <f t="shared" si="113"/>
        <v>275636.27950023138</v>
      </c>
      <c r="E338" s="785">
        <f t="shared" si="108"/>
        <v>72711.267931513197</v>
      </c>
      <c r="F338" s="785">
        <f t="shared" si="113"/>
        <v>154316.88338732067</v>
      </c>
      <c r="G338" s="785">
        <f t="shared" si="113"/>
        <v>28040.166589541881</v>
      </c>
      <c r="H338" s="785">
        <f t="shared" si="113"/>
        <v>267430.20206694433</v>
      </c>
      <c r="I338" s="785">
        <f t="shared" si="113"/>
        <v>46376.719882770318</v>
      </c>
      <c r="J338" s="369"/>
      <c r="K338" s="25">
        <f t="shared" si="111"/>
        <v>4768991.519358322</v>
      </c>
      <c r="L338" s="785">
        <v>380</v>
      </c>
      <c r="M338" s="785">
        <f t="shared" si="100"/>
        <v>12549.9776825219</v>
      </c>
      <c r="N338" s="685">
        <v>14892</v>
      </c>
      <c r="O338" s="685"/>
      <c r="P338" s="40" t="s">
        <v>643</v>
      </c>
      <c r="Q338" s="802">
        <v>40813</v>
      </c>
      <c r="R338" s="801"/>
      <c r="S338" s="310">
        <v>192</v>
      </c>
      <c r="T338" s="834">
        <v>20440</v>
      </c>
      <c r="U338" s="25">
        <f t="shared" si="77"/>
        <v>3924480</v>
      </c>
      <c r="V338" s="460"/>
      <c r="W338" s="802"/>
      <c r="X338" s="834"/>
      <c r="Y338" s="834"/>
      <c r="Z338" s="25"/>
    </row>
    <row r="339" spans="1:26" ht="13.5" customHeight="1">
      <c r="A339" s="784">
        <f t="shared" si="112"/>
        <v>143</v>
      </c>
      <c r="B339" s="302" t="s">
        <v>1059</v>
      </c>
      <c r="C339" s="25">
        <f t="shared" si="99"/>
        <v>1227438</v>
      </c>
      <c r="D339" s="785">
        <f t="shared" si="113"/>
        <v>90669.828782970857</v>
      </c>
      <c r="E339" s="785">
        <f t="shared" si="108"/>
        <v>23918.180240629339</v>
      </c>
      <c r="F339" s="785">
        <f t="shared" si="113"/>
        <v>50762.132693197593</v>
      </c>
      <c r="G339" s="785">
        <f t="shared" si="113"/>
        <v>9223.7390097177231</v>
      </c>
      <c r="H339" s="785">
        <f t="shared" si="113"/>
        <v>87970.461206231688</v>
      </c>
      <c r="I339" s="785">
        <f t="shared" si="113"/>
        <v>15255.499961437605</v>
      </c>
      <c r="J339" s="369"/>
      <c r="K339" s="25">
        <f t="shared" si="111"/>
        <v>1505237.8418941847</v>
      </c>
      <c r="L339" s="785">
        <v>125</v>
      </c>
      <c r="M339" s="785">
        <f t="shared" si="100"/>
        <v>12041.902735153477</v>
      </c>
      <c r="N339" s="685">
        <v>13169</v>
      </c>
      <c r="O339" s="685"/>
      <c r="P339" s="189" t="s">
        <v>605</v>
      </c>
      <c r="Q339" s="802">
        <v>40813</v>
      </c>
      <c r="R339" s="801"/>
      <c r="S339" s="310">
        <f t="shared" ref="S339" si="115">L339/2</f>
        <v>62.5</v>
      </c>
      <c r="T339" s="834">
        <v>19639</v>
      </c>
      <c r="U339" s="25">
        <f t="shared" si="77"/>
        <v>1227438</v>
      </c>
      <c r="V339" s="460"/>
      <c r="W339" s="802"/>
      <c r="X339" s="834"/>
      <c r="Y339" s="834"/>
      <c r="Z339" s="25"/>
    </row>
    <row r="340" spans="1:26" ht="13.5" customHeight="1">
      <c r="A340" s="784">
        <f t="shared" si="112"/>
        <v>144</v>
      </c>
      <c r="B340" s="302" t="s">
        <v>1060</v>
      </c>
      <c r="C340" s="25">
        <f t="shared" si="99"/>
        <v>6904800</v>
      </c>
      <c r="D340" s="785">
        <f t="shared" si="113"/>
        <v>417081.21240166592</v>
      </c>
      <c r="E340" s="785">
        <f t="shared" si="108"/>
        <v>110023.62910689496</v>
      </c>
      <c r="F340" s="785">
        <f t="shared" si="113"/>
        <v>233505.81038870892</v>
      </c>
      <c r="G340" s="785">
        <f t="shared" si="113"/>
        <v>42429.199444701531</v>
      </c>
      <c r="H340" s="785">
        <f t="shared" si="113"/>
        <v>404664.12154866575</v>
      </c>
      <c r="I340" s="785">
        <f t="shared" si="113"/>
        <v>70175.299822612986</v>
      </c>
      <c r="J340" s="369"/>
      <c r="K340" s="25">
        <f t="shared" si="111"/>
        <v>8182679.2727132495</v>
      </c>
      <c r="L340" s="785">
        <v>575</v>
      </c>
      <c r="M340" s="785">
        <f t="shared" si="100"/>
        <v>14230.746561240434</v>
      </c>
      <c r="N340" s="685">
        <v>17333</v>
      </c>
      <c r="O340" s="685"/>
      <c r="P340" s="40" t="s">
        <v>649</v>
      </c>
      <c r="Q340" s="802">
        <v>40813</v>
      </c>
      <c r="R340" s="801"/>
      <c r="S340" s="310">
        <v>288</v>
      </c>
      <c r="T340" s="834">
        <v>23975</v>
      </c>
      <c r="U340" s="25">
        <f t="shared" si="77"/>
        <v>6904800</v>
      </c>
      <c r="V340" s="460"/>
      <c r="W340" s="802"/>
      <c r="X340" s="834"/>
      <c r="Y340" s="834"/>
      <c r="Z340" s="25"/>
    </row>
    <row r="341" spans="1:26" ht="13.5" customHeight="1">
      <c r="A341" s="784">
        <f>IF(B341&lt;&gt;"",A340+1,"")</f>
        <v>145</v>
      </c>
      <c r="B341" s="302" t="s">
        <v>1060</v>
      </c>
      <c r="C341" s="25">
        <f t="shared" si="99"/>
        <v>7192500</v>
      </c>
      <c r="D341" s="785">
        <f t="shared" si="113"/>
        <v>435215.17815826007</v>
      </c>
      <c r="E341" s="785">
        <f t="shared" si="108"/>
        <v>114807.26515502084</v>
      </c>
      <c r="F341" s="785">
        <f t="shared" si="113"/>
        <v>243658.23692734845</v>
      </c>
      <c r="G341" s="785">
        <f t="shared" si="113"/>
        <v>44273.947246645075</v>
      </c>
      <c r="H341" s="785">
        <f t="shared" si="113"/>
        <v>422258.21378991212</v>
      </c>
      <c r="I341" s="785">
        <f t="shared" si="113"/>
        <v>73226.399814900506</v>
      </c>
      <c r="J341" s="369"/>
      <c r="K341" s="25">
        <f t="shared" si="111"/>
        <v>8525939.2410920858</v>
      </c>
      <c r="L341" s="785">
        <v>600</v>
      </c>
      <c r="M341" s="785">
        <f t="shared" si="100"/>
        <v>14209.898735153476</v>
      </c>
      <c r="N341" s="685">
        <v>17333</v>
      </c>
      <c r="O341" s="685"/>
      <c r="P341" s="40" t="s">
        <v>649</v>
      </c>
      <c r="Q341" s="802">
        <v>40813</v>
      </c>
      <c r="R341" s="801"/>
      <c r="S341" s="310">
        <f>L341/2</f>
        <v>300</v>
      </c>
      <c r="T341" s="834">
        <v>23975</v>
      </c>
      <c r="U341" s="25">
        <f t="shared" si="77"/>
        <v>7192500</v>
      </c>
      <c r="V341" s="460"/>
      <c r="W341" s="802"/>
      <c r="X341" s="834"/>
      <c r="Y341" s="834"/>
      <c r="Z341" s="25"/>
    </row>
    <row r="342" spans="1:26" ht="13.5" customHeight="1">
      <c r="A342" s="784">
        <f>IF(B342&lt;&gt;"",A341+1,"")</f>
        <v>146</v>
      </c>
      <c r="B342" s="302" t="s">
        <v>1059</v>
      </c>
      <c r="C342" s="25">
        <f t="shared" si="99"/>
        <v>1227437</v>
      </c>
      <c r="D342" s="785">
        <f t="shared" ref="D342:I348" si="116">IF($L$350&lt;&gt;0,D$350/$L$350*$L342,0)</f>
        <v>90669.828782970857</v>
      </c>
      <c r="E342" s="785">
        <f t="shared" si="108"/>
        <v>23918.180240629339</v>
      </c>
      <c r="F342" s="785">
        <f t="shared" si="116"/>
        <v>50762.132693197593</v>
      </c>
      <c r="G342" s="785">
        <f t="shared" si="116"/>
        <v>9223.7390097177231</v>
      </c>
      <c r="H342" s="785">
        <f t="shared" si="116"/>
        <v>87970.461206231688</v>
      </c>
      <c r="I342" s="785">
        <f t="shared" si="116"/>
        <v>15255.499961437605</v>
      </c>
      <c r="J342" s="369"/>
      <c r="K342" s="25">
        <f t="shared" si="111"/>
        <v>1505236.8418941847</v>
      </c>
      <c r="L342" s="785">
        <v>125</v>
      </c>
      <c r="M342" s="785">
        <f t="shared" si="100"/>
        <v>12041.894735153477</v>
      </c>
      <c r="N342" s="685">
        <v>13169</v>
      </c>
      <c r="O342" s="685"/>
      <c r="P342" s="189" t="s">
        <v>605</v>
      </c>
      <c r="Q342" s="802">
        <v>40813</v>
      </c>
      <c r="R342" s="801"/>
      <c r="S342" s="310">
        <f t="shared" ref="S342" si="117">L342/2</f>
        <v>62.5</v>
      </c>
      <c r="T342" s="834">
        <v>19638.991999999998</v>
      </c>
      <c r="U342" s="25">
        <f t="shared" si="77"/>
        <v>1227437</v>
      </c>
      <c r="V342" s="460"/>
      <c r="W342" s="802"/>
      <c r="X342" s="834"/>
      <c r="Y342" s="834"/>
      <c r="Z342" s="25"/>
    </row>
    <row r="343" spans="1:26" ht="13.5" customHeight="1">
      <c r="A343" s="784">
        <f t="shared" si="112"/>
        <v>147</v>
      </c>
      <c r="B343" s="302" t="s">
        <v>1061</v>
      </c>
      <c r="C343" s="25">
        <f t="shared" si="99"/>
        <v>1776600</v>
      </c>
      <c r="D343" s="785">
        <f t="shared" si="116"/>
        <v>108803.79453956502</v>
      </c>
      <c r="E343" s="785">
        <f t="shared" si="108"/>
        <v>28701.81628875521</v>
      </c>
      <c r="F343" s="785">
        <f t="shared" si="116"/>
        <v>60914.559231837113</v>
      </c>
      <c r="G343" s="785">
        <f t="shared" si="116"/>
        <v>11068.486811661269</v>
      </c>
      <c r="H343" s="785">
        <f t="shared" si="116"/>
        <v>105564.55344747803</v>
      </c>
      <c r="I343" s="785">
        <f t="shared" si="116"/>
        <v>18306.599953725126</v>
      </c>
      <c r="J343" s="369"/>
      <c r="K343" s="25">
        <f t="shared" si="111"/>
        <v>2109959.8102730215</v>
      </c>
      <c r="L343" s="785">
        <v>150</v>
      </c>
      <c r="M343" s="785">
        <f t="shared" si="100"/>
        <v>14066.398735153476</v>
      </c>
      <c r="N343" s="685">
        <v>15453</v>
      </c>
      <c r="O343" s="685"/>
      <c r="P343" s="40" t="s">
        <v>647</v>
      </c>
      <c r="Q343" s="802">
        <v>40813</v>
      </c>
      <c r="R343" s="801"/>
      <c r="S343" s="310">
        <f>L343/2</f>
        <v>75</v>
      </c>
      <c r="T343" s="834">
        <v>23688</v>
      </c>
      <c r="U343" s="25">
        <f t="shared" si="77"/>
        <v>1776600</v>
      </c>
      <c r="V343" s="460"/>
      <c r="W343" s="802"/>
      <c r="X343" s="834"/>
      <c r="Y343" s="834"/>
      <c r="Z343" s="25"/>
    </row>
    <row r="344" spans="1:26" ht="13.5" customHeight="1">
      <c r="A344" s="784">
        <f t="shared" si="112"/>
        <v>148</v>
      </c>
      <c r="B344" s="302" t="s">
        <v>1062</v>
      </c>
      <c r="C344" s="25">
        <f t="shared" si="99"/>
        <v>690525</v>
      </c>
      <c r="D344" s="785">
        <f t="shared" si="116"/>
        <v>65282.276723739014</v>
      </c>
      <c r="E344" s="785">
        <f t="shared" si="108"/>
        <v>17221.089773253123</v>
      </c>
      <c r="F344" s="785">
        <f t="shared" si="116"/>
        <v>36548.735539102265</v>
      </c>
      <c r="G344" s="785">
        <f t="shared" si="116"/>
        <v>6641.0920869967613</v>
      </c>
      <c r="H344" s="785">
        <f t="shared" si="116"/>
        <v>63338.732068486817</v>
      </c>
      <c r="I344" s="785">
        <f t="shared" si="116"/>
        <v>10983.959972235076</v>
      </c>
      <c r="J344" s="369"/>
      <c r="K344" s="25">
        <f t="shared" si="111"/>
        <v>890540.88616381295</v>
      </c>
      <c r="L344" s="785">
        <v>90</v>
      </c>
      <c r="M344" s="785">
        <f t="shared" si="100"/>
        <v>9894.8987351534779</v>
      </c>
      <c r="N344" s="685">
        <v>11613</v>
      </c>
      <c r="O344" s="685"/>
      <c r="P344" s="189" t="s">
        <v>578</v>
      </c>
      <c r="Q344" s="802">
        <v>40813</v>
      </c>
      <c r="R344" s="801"/>
      <c r="S344" s="310">
        <f t="shared" ref="S344" si="118">L344/2</f>
        <v>45</v>
      </c>
      <c r="T344" s="834">
        <v>15345</v>
      </c>
      <c r="U344" s="25">
        <f t="shared" si="77"/>
        <v>690525</v>
      </c>
      <c r="V344" s="460"/>
      <c r="W344" s="802"/>
      <c r="X344" s="834"/>
      <c r="Y344" s="834"/>
      <c r="Z344" s="25"/>
    </row>
    <row r="345" spans="1:26" ht="13.5" customHeight="1">
      <c r="A345" s="784">
        <f t="shared" si="112"/>
        <v>149</v>
      </c>
      <c r="B345" s="302" t="s">
        <v>1062</v>
      </c>
      <c r="C345" s="25">
        <f t="shared" si="99"/>
        <v>1678700</v>
      </c>
      <c r="D345" s="785">
        <f t="shared" si="116"/>
        <v>145071.72605275337</v>
      </c>
      <c r="E345" s="785">
        <f t="shared" si="108"/>
        <v>38269.088385006944</v>
      </c>
      <c r="F345" s="785">
        <f t="shared" si="116"/>
        <v>81219.412309116145</v>
      </c>
      <c r="G345" s="785">
        <f t="shared" si="116"/>
        <v>14757.982415548358</v>
      </c>
      <c r="H345" s="785">
        <f t="shared" si="116"/>
        <v>140752.7379299707</v>
      </c>
      <c r="I345" s="785">
        <f t="shared" si="116"/>
        <v>24408.79993830017</v>
      </c>
      <c r="J345" s="369"/>
      <c r="K345" s="25">
        <f t="shared" si="111"/>
        <v>2123179.7470306954</v>
      </c>
      <c r="L345" s="785">
        <v>200</v>
      </c>
      <c r="M345" s="785">
        <f t="shared" si="100"/>
        <v>10615.898735153478</v>
      </c>
      <c r="N345" s="685">
        <v>11613</v>
      </c>
      <c r="O345" s="685"/>
      <c r="P345" s="189" t="s">
        <v>604</v>
      </c>
      <c r="Q345" s="802">
        <v>40813</v>
      </c>
      <c r="R345" s="801"/>
      <c r="S345" s="310">
        <v>100</v>
      </c>
      <c r="T345" s="834">
        <v>16787</v>
      </c>
      <c r="U345" s="25">
        <f t="shared" si="77"/>
        <v>1678700</v>
      </c>
      <c r="V345" s="460"/>
      <c r="W345" s="802"/>
      <c r="X345" s="834"/>
      <c r="Y345" s="834"/>
      <c r="Z345" s="25"/>
    </row>
    <row r="346" spans="1:26" ht="13.5" customHeight="1">
      <c r="A346" s="784">
        <f t="shared" si="112"/>
        <v>150</v>
      </c>
      <c r="B346" s="302" t="s">
        <v>1063</v>
      </c>
      <c r="C346" s="25">
        <f t="shared" si="99"/>
        <v>662860</v>
      </c>
      <c r="D346" s="785">
        <f t="shared" si="116"/>
        <v>79789.449329014344</v>
      </c>
      <c r="E346" s="785">
        <f t="shared" si="108"/>
        <v>21047.998611753821</v>
      </c>
      <c r="F346" s="785">
        <f t="shared" si="116"/>
        <v>44670.676770013881</v>
      </c>
      <c r="G346" s="785">
        <f t="shared" si="116"/>
        <v>8116.8903285515971</v>
      </c>
      <c r="H346" s="785">
        <f t="shared" si="116"/>
        <v>77414.005861483893</v>
      </c>
      <c r="I346" s="785">
        <f t="shared" si="116"/>
        <v>13424.839966065092</v>
      </c>
      <c r="J346" s="369"/>
      <c r="K346" s="25">
        <f t="shared" si="111"/>
        <v>907323.86086688272</v>
      </c>
      <c r="L346" s="785">
        <v>110</v>
      </c>
      <c r="M346" s="785">
        <f t="shared" si="100"/>
        <v>8248.3987351534797</v>
      </c>
      <c r="N346" s="685">
        <v>10580</v>
      </c>
      <c r="O346" s="685"/>
      <c r="P346" s="302" t="s">
        <v>502</v>
      </c>
      <c r="Q346" s="802">
        <v>40813</v>
      </c>
      <c r="R346" s="801"/>
      <c r="S346" s="310">
        <f>L346</f>
        <v>110</v>
      </c>
      <c r="T346" s="834">
        <v>6026</v>
      </c>
      <c r="U346" s="25">
        <f t="shared" si="77"/>
        <v>662860</v>
      </c>
      <c r="V346" s="460"/>
      <c r="W346" s="802"/>
      <c r="X346" s="834"/>
      <c r="Y346" s="834"/>
      <c r="Z346" s="25"/>
    </row>
    <row r="347" spans="1:26" ht="13.5" customHeight="1">
      <c r="A347" s="784">
        <f t="shared" si="112"/>
        <v>151</v>
      </c>
      <c r="B347" s="302" t="s">
        <v>1061</v>
      </c>
      <c r="C347" s="25">
        <f t="shared" si="99"/>
        <v>3579996</v>
      </c>
      <c r="D347" s="785">
        <f t="shared" si="116"/>
        <v>199473.62332253589</v>
      </c>
      <c r="E347" s="785">
        <f t="shared" si="108"/>
        <v>52619.996529384545</v>
      </c>
      <c r="F347" s="785">
        <f t="shared" si="116"/>
        <v>111676.6919250347</v>
      </c>
      <c r="G347" s="785">
        <f t="shared" si="116"/>
        <v>20292.225821378994</v>
      </c>
      <c r="H347" s="785">
        <f t="shared" si="116"/>
        <v>193535.01465370972</v>
      </c>
      <c r="I347" s="785">
        <f t="shared" si="116"/>
        <v>33562.099915162733</v>
      </c>
      <c r="J347" s="369"/>
      <c r="K347" s="25">
        <f t="shared" si="111"/>
        <v>4191155.6521672066</v>
      </c>
      <c r="L347" s="785">
        <v>275</v>
      </c>
      <c r="M347" s="785">
        <f t="shared" si="100"/>
        <v>15240.56600788075</v>
      </c>
      <c r="N347" s="685">
        <v>15453</v>
      </c>
      <c r="O347" s="685"/>
      <c r="P347" s="40" t="s">
        <v>620</v>
      </c>
      <c r="Q347" s="802">
        <v>40813</v>
      </c>
      <c r="R347" s="801"/>
      <c r="S347" s="310">
        <v>138</v>
      </c>
      <c r="T347" s="834">
        <v>25942</v>
      </c>
      <c r="U347" s="25">
        <f t="shared" si="77"/>
        <v>3579996</v>
      </c>
      <c r="V347" s="460"/>
      <c r="W347" s="802"/>
      <c r="X347" s="834"/>
      <c r="Y347" s="834"/>
      <c r="Z347" s="25"/>
    </row>
    <row r="348" spans="1:26" ht="13.5" customHeight="1">
      <c r="A348" s="784">
        <f t="shared" si="112"/>
        <v>152</v>
      </c>
      <c r="B348" s="302" t="s">
        <v>1061</v>
      </c>
      <c r="C348" s="25">
        <f t="shared" si="99"/>
        <v>2258370</v>
      </c>
      <c r="D348" s="785">
        <f t="shared" si="116"/>
        <v>166832.48496066636</v>
      </c>
      <c r="E348" s="785">
        <f t="shared" si="108"/>
        <v>44009.451642757987</v>
      </c>
      <c r="F348" s="785">
        <f t="shared" si="116"/>
        <v>93402.324155483569</v>
      </c>
      <c r="G348" s="785">
        <f t="shared" si="116"/>
        <v>16971.67977788061</v>
      </c>
      <c r="H348" s="785">
        <f t="shared" si="116"/>
        <v>161865.64861946632</v>
      </c>
      <c r="I348" s="785">
        <f t="shared" si="116"/>
        <v>28070.119929045195</v>
      </c>
      <c r="J348" s="369"/>
      <c r="K348" s="25">
        <f t="shared" si="111"/>
        <v>2769521.7090853001</v>
      </c>
      <c r="L348" s="785">
        <v>230</v>
      </c>
      <c r="M348" s="785">
        <f t="shared" si="100"/>
        <v>12041.398735153478</v>
      </c>
      <c r="N348" s="685">
        <v>13169</v>
      </c>
      <c r="O348" s="685"/>
      <c r="P348" s="189" t="s">
        <v>565</v>
      </c>
      <c r="Q348" s="802">
        <v>40813</v>
      </c>
      <c r="R348" s="801"/>
      <c r="S348" s="310">
        <f t="shared" ref="S348" si="119">L348/2</f>
        <v>115</v>
      </c>
      <c r="T348" s="834">
        <v>19638</v>
      </c>
      <c r="U348" s="25">
        <f t="shared" si="77"/>
        <v>2258370</v>
      </c>
      <c r="V348" s="460"/>
      <c r="W348" s="802"/>
      <c r="X348" s="834"/>
      <c r="Y348" s="834"/>
      <c r="Z348" s="25"/>
    </row>
    <row r="349" spans="1:26" s="806" customFormat="1" ht="13.5" customHeight="1">
      <c r="A349" s="784" t="str">
        <f>IF(B349&lt;&gt;"",#REF!+1,"")</f>
        <v/>
      </c>
      <c r="B349" s="818"/>
      <c r="C349" s="25"/>
      <c r="D349" s="785"/>
      <c r="E349" s="785"/>
      <c r="F349" s="785"/>
      <c r="G349" s="785"/>
      <c r="H349" s="785"/>
      <c r="I349" s="785"/>
      <c r="J349" s="369"/>
      <c r="K349" s="25"/>
      <c r="L349" s="262"/>
      <c r="M349" s="785"/>
      <c r="N349" s="685"/>
      <c r="O349" s="685"/>
      <c r="P349" s="460"/>
      <c r="Q349" s="802"/>
      <c r="R349" s="801"/>
      <c r="S349" s="310"/>
      <c r="T349" s="834"/>
      <c r="U349" s="25">
        <f t="shared" si="77"/>
        <v>0</v>
      </c>
      <c r="V349" s="460"/>
      <c r="W349" s="802"/>
      <c r="X349" s="834"/>
      <c r="Y349" s="834"/>
      <c r="Z349" s="25">
        <f t="shared" si="72"/>
        <v>0</v>
      </c>
    </row>
    <row r="350" spans="1:26" s="781" customFormat="1" ht="13.5" customHeight="1">
      <c r="A350" s="786"/>
      <c r="B350" s="787" t="s">
        <v>258</v>
      </c>
      <c r="C350" s="550">
        <f>SUM(C196:C349)</f>
        <v>206807315</v>
      </c>
      <c r="D350" s="550">
        <v>18810000</v>
      </c>
      <c r="E350" s="550">
        <f>$Z$350</f>
        <v>4961970</v>
      </c>
      <c r="F350" s="550">
        <v>10530909</v>
      </c>
      <c r="G350" s="550">
        <v>1913520</v>
      </c>
      <c r="H350" s="550">
        <v>18250000</v>
      </c>
      <c r="I350" s="550">
        <v>3164845</v>
      </c>
      <c r="J350" s="461">
        <f>ROUND(SUM(J196:J349),0)</f>
        <v>0</v>
      </c>
      <c r="K350" s="550">
        <f>ROUND(SUM(K196:K349),0)</f>
        <v>264438569</v>
      </c>
      <c r="L350" s="550">
        <f>ROUND(SUM(L196:L349),0)</f>
        <v>25932</v>
      </c>
      <c r="M350" s="550"/>
      <c r="N350" s="795"/>
      <c r="O350" s="795"/>
      <c r="P350" s="807"/>
      <c r="Q350" s="808"/>
      <c r="R350" s="809"/>
      <c r="S350" s="861"/>
      <c r="T350" s="27"/>
      <c r="U350" s="47">
        <f>SUM(U196:U349)</f>
        <v>206807315</v>
      </c>
      <c r="V350" s="807"/>
      <c r="W350" s="808"/>
      <c r="X350" s="821"/>
      <c r="Y350" s="27"/>
      <c r="Z350" s="47">
        <f>SUM(Z196:Z349)</f>
        <v>4961970</v>
      </c>
    </row>
    <row r="351" spans="1:26" s="781" customFormat="1">
      <c r="A351" s="788"/>
      <c r="B351" s="789"/>
      <c r="C351" s="782"/>
      <c r="D351" s="782"/>
      <c r="E351" s="782"/>
      <c r="F351" s="782"/>
      <c r="G351" s="782"/>
      <c r="H351" s="782"/>
      <c r="I351" s="782"/>
      <c r="J351" s="462"/>
      <c r="K351" s="782"/>
      <c r="L351" s="782"/>
      <c r="M351" s="782"/>
      <c r="N351" s="795"/>
      <c r="O351" s="795"/>
      <c r="P351" s="298"/>
      <c r="Q351" s="774"/>
      <c r="R351" s="794"/>
      <c r="S351" s="852"/>
      <c r="T351" s="298"/>
      <c r="U351" s="780"/>
      <c r="V351" s="298"/>
      <c r="W351" s="774"/>
      <c r="X351" s="298"/>
      <c r="Y351" s="298"/>
      <c r="Z351" s="780"/>
    </row>
    <row r="352" spans="1:26" ht="18" customHeight="1">
      <c r="A352" s="588" t="str">
        <f>TH!$A$1</f>
        <v>Đơn vị: CÔNG TY TNHH SX TM KIM DUNG PHÁT</v>
      </c>
      <c r="B352" s="781"/>
      <c r="C352" s="298"/>
      <c r="D352" s="298"/>
      <c r="E352" s="298"/>
      <c r="F352" s="298"/>
      <c r="G352" s="298"/>
      <c r="H352" s="298"/>
      <c r="I352" s="298"/>
      <c r="J352" s="448"/>
      <c r="K352" s="298"/>
      <c r="L352" s="616"/>
      <c r="M352" s="298"/>
      <c r="N352" s="795"/>
      <c r="O352" s="795"/>
      <c r="P352" s="298"/>
      <c r="Q352" s="774"/>
      <c r="V352" s="298"/>
      <c r="W352" s="774"/>
    </row>
    <row r="353" spans="1:26" ht="18.75" customHeight="1">
      <c r="A353" s="782" t="s">
        <v>798</v>
      </c>
      <c r="B353" s="782"/>
      <c r="C353" s="782"/>
      <c r="D353" s="782"/>
      <c r="E353" s="782"/>
      <c r="F353" s="782"/>
      <c r="G353" s="782"/>
      <c r="H353" s="782"/>
      <c r="I353" s="782"/>
      <c r="J353" s="449"/>
      <c r="K353" s="782"/>
      <c r="L353" s="782"/>
      <c r="M353" s="782"/>
      <c r="N353" s="795"/>
      <c r="O353" s="795"/>
      <c r="P353" s="298"/>
      <c r="Q353" s="774"/>
      <c r="V353" s="298"/>
      <c r="W353" s="774"/>
    </row>
    <row r="354" spans="1:26" ht="18.75" hidden="1" customHeight="1">
      <c r="A354" s="782"/>
      <c r="B354" s="783"/>
      <c r="C354" s="783"/>
      <c r="D354" s="783"/>
      <c r="E354" s="783"/>
      <c r="F354" s="783"/>
      <c r="G354" s="783"/>
      <c r="H354" s="783"/>
      <c r="I354" s="782"/>
      <c r="J354" s="450"/>
      <c r="K354" s="783"/>
      <c r="L354" s="796"/>
      <c r="M354" s="783"/>
      <c r="N354" s="795"/>
      <c r="O354" s="795"/>
      <c r="P354" s="298"/>
      <c r="Q354" s="774"/>
      <c r="V354" s="298"/>
      <c r="W354" s="774"/>
    </row>
    <row r="355" spans="1:26" ht="12.75" customHeight="1">
      <c r="A355" s="838"/>
      <c r="B355" s="830"/>
      <c r="C355" s="830"/>
      <c r="D355" s="830"/>
      <c r="E355" s="830"/>
      <c r="F355" s="830"/>
      <c r="G355" s="830"/>
      <c r="H355" s="830"/>
      <c r="I355" s="830"/>
      <c r="J355" s="451"/>
      <c r="K355" s="830"/>
      <c r="L355" s="797"/>
      <c r="M355" s="830"/>
      <c r="N355" s="795"/>
      <c r="O355" s="795"/>
      <c r="P355" s="298"/>
      <c r="Q355" s="774"/>
      <c r="V355" s="298"/>
      <c r="W355" s="774"/>
    </row>
    <row r="356" spans="1:26" s="457" customFormat="1" ht="30.75" customHeight="1">
      <c r="A356" s="866" t="s">
        <v>35</v>
      </c>
      <c r="B356" s="452" t="s">
        <v>246</v>
      </c>
      <c r="C356" s="453" t="s">
        <v>250</v>
      </c>
      <c r="D356" s="453" t="s">
        <v>810</v>
      </c>
      <c r="E356" s="453" t="s">
        <v>251</v>
      </c>
      <c r="F356" s="453" t="s">
        <v>794</v>
      </c>
      <c r="G356" s="453" t="s">
        <v>252</v>
      </c>
      <c r="H356" s="454" t="s">
        <v>253</v>
      </c>
      <c r="I356" s="453" t="s">
        <v>793</v>
      </c>
      <c r="J356" s="454" t="s">
        <v>254</v>
      </c>
      <c r="K356" s="453" t="s">
        <v>255</v>
      </c>
      <c r="L356" s="455" t="s">
        <v>248</v>
      </c>
      <c r="M356" s="453" t="s">
        <v>256</v>
      </c>
      <c r="N356" s="456"/>
      <c r="O356" s="456"/>
      <c r="P356" s="452" t="s">
        <v>246</v>
      </c>
      <c r="Q356" s="453" t="s">
        <v>240</v>
      </c>
      <c r="R356" s="775"/>
      <c r="S356" s="854" t="s">
        <v>205</v>
      </c>
      <c r="T356" s="453" t="s">
        <v>249</v>
      </c>
      <c r="U356" s="453" t="s">
        <v>257</v>
      </c>
      <c r="V356" s="452" t="s">
        <v>246</v>
      </c>
      <c r="W356" s="453" t="s">
        <v>240</v>
      </c>
      <c r="X356" s="453" t="s">
        <v>205</v>
      </c>
      <c r="Y356" s="453" t="s">
        <v>249</v>
      </c>
      <c r="Z356" s="452" t="s">
        <v>257</v>
      </c>
    </row>
    <row r="357" spans="1:26" ht="16.5" customHeight="1">
      <c r="A357" s="784">
        <v>1</v>
      </c>
      <c r="B357" s="302" t="s">
        <v>1258</v>
      </c>
      <c r="C357" s="25">
        <f>U357</f>
        <v>22794000</v>
      </c>
      <c r="D357" s="785">
        <f t="shared" ref="D357:J372" si="120">IF($L$599&lt;&gt;0,D$599/$L$599*$L357,0)</f>
        <v>951901.33156419208</v>
      </c>
      <c r="E357" s="785">
        <f t="shared" si="120"/>
        <v>301211.71913454746</v>
      </c>
      <c r="F357" s="785">
        <f t="shared" si="120"/>
        <v>649448.92674470867</v>
      </c>
      <c r="G357" s="785">
        <f t="shared" si="120"/>
        <v>51910.338776296361</v>
      </c>
      <c r="H357" s="785">
        <f t="shared" si="120"/>
        <v>945170.88621139817</v>
      </c>
      <c r="I357" s="785">
        <f t="shared" si="120"/>
        <v>242746.6073148287</v>
      </c>
      <c r="J357" s="369">
        <f t="shared" si="120"/>
        <v>0</v>
      </c>
      <c r="K357" s="25">
        <f>SUM(C357:I357)</f>
        <v>25936389.809745971</v>
      </c>
      <c r="L357" s="785">
        <v>2420</v>
      </c>
      <c r="M357" s="785">
        <f>IF(L357&lt;&gt;"",K357/L357,"")</f>
        <v>10717.516450308252</v>
      </c>
      <c r="N357" s="685">
        <v>17447.77438016529</v>
      </c>
      <c r="O357" s="685"/>
      <c r="P357" s="40" t="s">
        <v>675</v>
      </c>
      <c r="Q357" s="800">
        <v>40821</v>
      </c>
      <c r="R357" s="801"/>
      <c r="S357" s="310">
        <v>1200</v>
      </c>
      <c r="T357" s="823">
        <v>18995</v>
      </c>
      <c r="U357" s="25">
        <f t="shared" ref="U357:U598" si="121">ROUND(S357*T357,0)</f>
        <v>22794000</v>
      </c>
      <c r="V357" s="458" t="s">
        <v>411</v>
      </c>
      <c r="W357" s="800">
        <v>40817</v>
      </c>
      <c r="X357" s="834">
        <v>50</v>
      </c>
      <c r="Y357" s="823">
        <v>25000</v>
      </c>
      <c r="Z357" s="25">
        <f t="shared" ref="Z357:Z598" si="122">ROUND(X357*Y357,0)</f>
        <v>1250000</v>
      </c>
    </row>
    <row r="358" spans="1:26" ht="16.5" customHeight="1">
      <c r="A358" s="784">
        <f t="shared" ref="A358:A421" si="123">IF(B358&lt;&gt;"",A357+1,"")</f>
        <v>2</v>
      </c>
      <c r="B358" s="302" t="s">
        <v>1260</v>
      </c>
      <c r="C358" s="25">
        <f t="shared" ref="C358:C421" si="124">U358</f>
        <v>28272900</v>
      </c>
      <c r="D358" s="785">
        <f t="shared" si="120"/>
        <v>1162013.5310317159</v>
      </c>
      <c r="E358" s="785">
        <f t="shared" si="120"/>
        <v>367697.87133769307</v>
      </c>
      <c r="F358" s="785">
        <f t="shared" si="120"/>
        <v>792801.118737048</v>
      </c>
      <c r="G358" s="785">
        <f t="shared" si="120"/>
        <v>63368.454332736677</v>
      </c>
      <c r="H358" s="785">
        <f t="shared" si="120"/>
        <v>1153797.4814155602</v>
      </c>
      <c r="I358" s="785">
        <f t="shared" si="120"/>
        <v>296327.81566589454</v>
      </c>
      <c r="J358" s="369">
        <f t="shared" si="120"/>
        <v>0</v>
      </c>
      <c r="K358" s="25">
        <f t="shared" ref="K358:K421" si="125">SUM(C358:I358)-1</f>
        <v>32108905.272520646</v>
      </c>
      <c r="L358" s="785">
        <v>2954.1641048824595</v>
      </c>
      <c r="M358" s="785">
        <f t="shared" ref="M358" si="126">IF(L358&lt;&gt;"",K358/L358,"")</f>
        <v>10869.032366703337</v>
      </c>
      <c r="N358" s="685">
        <v>19908</v>
      </c>
      <c r="O358" s="685"/>
      <c r="P358" s="40" t="s">
        <v>671</v>
      </c>
      <c r="Q358" s="800">
        <v>40831</v>
      </c>
      <c r="R358" s="801"/>
      <c r="S358" s="310">
        <v>1460</v>
      </c>
      <c r="T358" s="832">
        <v>19365</v>
      </c>
      <c r="U358" s="25">
        <f t="shared" si="121"/>
        <v>28272900</v>
      </c>
      <c r="V358" s="458" t="s">
        <v>411</v>
      </c>
      <c r="W358" s="800">
        <v>40847</v>
      </c>
      <c r="X358" s="834">
        <v>50</v>
      </c>
      <c r="Y358" s="832">
        <v>25000</v>
      </c>
      <c r="Z358" s="25">
        <f t="shared" si="122"/>
        <v>1250000</v>
      </c>
    </row>
    <row r="359" spans="1:26" ht="16.5" customHeight="1">
      <c r="A359" s="784">
        <f t="shared" si="123"/>
        <v>3</v>
      </c>
      <c r="B359" s="302" t="s">
        <v>1279</v>
      </c>
      <c r="C359" s="25">
        <f t="shared" si="124"/>
        <v>1283249</v>
      </c>
      <c r="D359" s="785">
        <f t="shared" si="120"/>
        <v>47201.718920538449</v>
      </c>
      <c r="E359" s="785">
        <f t="shared" si="120"/>
        <v>14936.118304192438</v>
      </c>
      <c r="F359" s="785">
        <f t="shared" si="120"/>
        <v>32204.079012134313</v>
      </c>
      <c r="G359" s="785">
        <f t="shared" si="120"/>
        <v>2574.0663856014726</v>
      </c>
      <c r="H359" s="785">
        <f t="shared" si="120"/>
        <v>46867.97782866437</v>
      </c>
      <c r="I359" s="785">
        <f t="shared" si="120"/>
        <v>12037.021850322084</v>
      </c>
      <c r="J359" s="369">
        <f t="shared" si="120"/>
        <v>0</v>
      </c>
      <c r="K359" s="25">
        <f t="shared" si="125"/>
        <v>1439068.9823014531</v>
      </c>
      <c r="L359" s="785">
        <v>120</v>
      </c>
      <c r="M359" s="785">
        <f t="shared" ref="M359:M422" si="127">IF(L359&lt;&gt;"",K359/L359,"")</f>
        <v>11992.241519178777</v>
      </c>
      <c r="N359" s="685">
        <v>20820</v>
      </c>
      <c r="O359" s="685"/>
      <c r="P359" s="189" t="s">
        <v>586</v>
      </c>
      <c r="Q359" s="800">
        <v>40833</v>
      </c>
      <c r="R359" s="801"/>
      <c r="S359" s="310">
        <v>43</v>
      </c>
      <c r="T359" s="832">
        <v>29843</v>
      </c>
      <c r="U359" s="25">
        <f t="shared" ref="U359:U422" si="128">ROUND(S359*T359,0)</f>
        <v>1283249</v>
      </c>
      <c r="V359" s="460" t="s">
        <v>498</v>
      </c>
      <c r="W359" s="800">
        <v>40817</v>
      </c>
      <c r="X359" s="832">
        <v>1</v>
      </c>
      <c r="Y359" s="832">
        <v>1300000</v>
      </c>
      <c r="Z359" s="25">
        <f t="shared" ref="Z359:Z422" si="129">ROUND(X359*Y359,0)</f>
        <v>1300000</v>
      </c>
    </row>
    <row r="360" spans="1:26" ht="16.5" customHeight="1">
      <c r="A360" s="784">
        <f t="shared" si="123"/>
        <v>4</v>
      </c>
      <c r="B360" s="302" t="s">
        <v>1278</v>
      </c>
      <c r="C360" s="25">
        <f t="shared" si="124"/>
        <v>955600</v>
      </c>
      <c r="D360" s="785">
        <f t="shared" si="120"/>
        <v>39334.765767115372</v>
      </c>
      <c r="E360" s="785">
        <f t="shared" si="120"/>
        <v>12446.765253493697</v>
      </c>
      <c r="F360" s="785">
        <f t="shared" si="120"/>
        <v>26836.732510111928</v>
      </c>
      <c r="G360" s="785">
        <f t="shared" si="120"/>
        <v>2145.0553213345602</v>
      </c>
      <c r="H360" s="785">
        <f t="shared" si="120"/>
        <v>39056.648190553642</v>
      </c>
      <c r="I360" s="785">
        <f t="shared" si="120"/>
        <v>10030.85154193507</v>
      </c>
      <c r="J360" s="369">
        <f t="shared" si="120"/>
        <v>0</v>
      </c>
      <c r="K360" s="25">
        <f t="shared" si="125"/>
        <v>1085449.8185845441</v>
      </c>
      <c r="L360" s="785">
        <v>100</v>
      </c>
      <c r="M360" s="785">
        <f t="shared" si="127"/>
        <v>10854.498185845441</v>
      </c>
      <c r="N360" s="685">
        <v>14880</v>
      </c>
      <c r="O360" s="685"/>
      <c r="P360" s="189" t="s">
        <v>507</v>
      </c>
      <c r="Q360" s="800">
        <v>40833</v>
      </c>
      <c r="R360" s="801"/>
      <c r="S360" s="310">
        <v>50</v>
      </c>
      <c r="T360" s="832">
        <v>19112</v>
      </c>
      <c r="U360" s="25">
        <f t="shared" si="128"/>
        <v>955600</v>
      </c>
      <c r="V360" s="460" t="s">
        <v>363</v>
      </c>
      <c r="W360" s="800">
        <v>40822</v>
      </c>
      <c r="X360" s="779">
        <v>48</v>
      </c>
      <c r="Y360" s="260">
        <v>42000</v>
      </c>
      <c r="Z360" s="25">
        <f t="shared" si="129"/>
        <v>2016000</v>
      </c>
    </row>
    <row r="361" spans="1:26" ht="16.5" customHeight="1">
      <c r="A361" s="784">
        <f t="shared" si="123"/>
        <v>5</v>
      </c>
      <c r="B361" s="302" t="s">
        <v>1280</v>
      </c>
      <c r="C361" s="25">
        <f t="shared" si="124"/>
        <v>3164980</v>
      </c>
      <c r="D361" s="785">
        <f t="shared" si="120"/>
        <v>98336.91441778843</v>
      </c>
      <c r="E361" s="785">
        <f t="shared" si="120"/>
        <v>31116.913133734244</v>
      </c>
      <c r="F361" s="785">
        <f t="shared" si="120"/>
        <v>67091.831275279823</v>
      </c>
      <c r="G361" s="785">
        <f t="shared" si="120"/>
        <v>5362.6383033364009</v>
      </c>
      <c r="H361" s="785">
        <f t="shared" si="120"/>
        <v>97641.620476384109</v>
      </c>
      <c r="I361" s="785">
        <f t="shared" si="120"/>
        <v>25077.128854837676</v>
      </c>
      <c r="J361" s="369">
        <f t="shared" si="120"/>
        <v>0</v>
      </c>
      <c r="K361" s="25">
        <f t="shared" si="125"/>
        <v>3489606.0464613605</v>
      </c>
      <c r="L361" s="785">
        <v>250</v>
      </c>
      <c r="M361" s="785">
        <f t="shared" si="127"/>
        <v>13958.424185845442</v>
      </c>
      <c r="N361" s="685">
        <v>26203</v>
      </c>
      <c r="O361" s="685"/>
      <c r="P361" s="300" t="s">
        <v>402</v>
      </c>
      <c r="Q361" s="800">
        <v>40833</v>
      </c>
      <c r="R361" s="801"/>
      <c r="S361" s="310">
        <v>130</v>
      </c>
      <c r="T361" s="832">
        <v>24346</v>
      </c>
      <c r="U361" s="25">
        <f t="shared" si="128"/>
        <v>3164980</v>
      </c>
      <c r="V361" s="460"/>
      <c r="W361" s="800"/>
      <c r="X361" s="834"/>
      <c r="Y361" s="832"/>
      <c r="Z361" s="25">
        <f t="shared" si="129"/>
        <v>0</v>
      </c>
    </row>
    <row r="362" spans="1:26" ht="16.5" customHeight="1">
      <c r="A362" s="784">
        <f t="shared" si="123"/>
        <v>6</v>
      </c>
      <c r="B362" s="302" t="s">
        <v>1281</v>
      </c>
      <c r="C362" s="25">
        <f t="shared" si="124"/>
        <v>1056020</v>
      </c>
      <c r="D362" s="785">
        <f t="shared" si="120"/>
        <v>55068.672073961527</v>
      </c>
      <c r="E362" s="785">
        <f t="shared" si="120"/>
        <v>17425.471354891175</v>
      </c>
      <c r="F362" s="785">
        <f t="shared" si="120"/>
        <v>37571.425514156697</v>
      </c>
      <c r="G362" s="785">
        <f t="shared" si="120"/>
        <v>3003.0774498683845</v>
      </c>
      <c r="H362" s="785">
        <f t="shared" si="120"/>
        <v>54679.307466775099</v>
      </c>
      <c r="I362" s="785">
        <f t="shared" si="120"/>
        <v>14043.192158709098</v>
      </c>
      <c r="J362" s="369">
        <f t="shared" si="120"/>
        <v>0</v>
      </c>
      <c r="K362" s="25">
        <f t="shared" si="125"/>
        <v>1237810.1460183619</v>
      </c>
      <c r="L362" s="785">
        <v>140</v>
      </c>
      <c r="M362" s="785">
        <f t="shared" si="127"/>
        <v>8841.5010429882987</v>
      </c>
      <c r="N362" s="685">
        <v>11355</v>
      </c>
      <c r="O362" s="685"/>
      <c r="P362" s="189" t="s">
        <v>602</v>
      </c>
      <c r="Q362" s="800">
        <v>40833</v>
      </c>
      <c r="R362" s="801"/>
      <c r="S362" s="310">
        <v>140</v>
      </c>
      <c r="T362" s="832">
        <v>7543</v>
      </c>
      <c r="U362" s="25">
        <f t="shared" si="128"/>
        <v>1056020</v>
      </c>
      <c r="V362" s="460"/>
      <c r="W362" s="800"/>
      <c r="X362" s="834"/>
      <c r="Y362" s="832"/>
      <c r="Z362" s="25">
        <f t="shared" si="129"/>
        <v>0</v>
      </c>
    </row>
    <row r="363" spans="1:26" ht="16.5" customHeight="1">
      <c r="A363" s="784">
        <f t="shared" si="123"/>
        <v>7</v>
      </c>
      <c r="B363" s="302" t="s">
        <v>1282</v>
      </c>
      <c r="C363" s="25">
        <f t="shared" si="124"/>
        <v>328440</v>
      </c>
      <c r="D363" s="785">
        <f t="shared" si="120"/>
        <v>19667.382883557686</v>
      </c>
      <c r="E363" s="785">
        <f t="shared" si="120"/>
        <v>6223.3826267468485</v>
      </c>
      <c r="F363" s="785">
        <f t="shared" si="120"/>
        <v>13418.366255055964</v>
      </c>
      <c r="G363" s="785">
        <f t="shared" si="120"/>
        <v>1072.5276606672801</v>
      </c>
      <c r="H363" s="785">
        <f t="shared" si="120"/>
        <v>19528.324095276821</v>
      </c>
      <c r="I363" s="785">
        <f t="shared" si="120"/>
        <v>5015.4257709675348</v>
      </c>
      <c r="J363" s="369">
        <f t="shared" si="120"/>
        <v>0</v>
      </c>
      <c r="K363" s="25">
        <f t="shared" si="125"/>
        <v>393364.40929227212</v>
      </c>
      <c r="L363" s="785">
        <v>50</v>
      </c>
      <c r="M363" s="785">
        <f t="shared" si="127"/>
        <v>7867.2881858454421</v>
      </c>
      <c r="N363" s="685">
        <v>11420</v>
      </c>
      <c r="O363" s="685"/>
      <c r="P363" s="40" t="s">
        <v>642</v>
      </c>
      <c r="Q363" s="800">
        <v>40833</v>
      </c>
      <c r="R363" s="801"/>
      <c r="S363" s="310">
        <v>10</v>
      </c>
      <c r="T363" s="832">
        <v>32844</v>
      </c>
      <c r="U363" s="25">
        <f t="shared" si="128"/>
        <v>328440</v>
      </c>
      <c r="V363" s="460"/>
      <c r="W363" s="800"/>
      <c r="X363" s="834"/>
      <c r="Y363" s="832"/>
      <c r="Z363" s="25">
        <f t="shared" si="129"/>
        <v>0</v>
      </c>
    </row>
    <row r="364" spans="1:26" ht="16.5" customHeight="1">
      <c r="A364" s="784">
        <f t="shared" si="123"/>
        <v>8</v>
      </c>
      <c r="B364" s="302" t="s">
        <v>1283</v>
      </c>
      <c r="C364" s="25">
        <f t="shared" si="124"/>
        <v>594436</v>
      </c>
      <c r="D364" s="785">
        <f t="shared" si="120"/>
        <v>27534.336036980763</v>
      </c>
      <c r="E364" s="785">
        <f t="shared" si="120"/>
        <v>8712.7356774455875</v>
      </c>
      <c r="F364" s="785">
        <f t="shared" si="120"/>
        <v>18785.712757078349</v>
      </c>
      <c r="G364" s="785">
        <f t="shared" si="120"/>
        <v>1501.5387249341923</v>
      </c>
      <c r="H364" s="785">
        <f t="shared" si="120"/>
        <v>27339.653733387549</v>
      </c>
      <c r="I364" s="785">
        <f t="shared" si="120"/>
        <v>7021.5960793545491</v>
      </c>
      <c r="J364" s="369">
        <f t="shared" si="120"/>
        <v>0</v>
      </c>
      <c r="K364" s="25">
        <f t="shared" si="125"/>
        <v>685330.57300918095</v>
      </c>
      <c r="L364" s="785">
        <v>70</v>
      </c>
      <c r="M364" s="785">
        <f t="shared" si="127"/>
        <v>9790.4367572740139</v>
      </c>
      <c r="N364" s="685">
        <v>14450</v>
      </c>
      <c r="O364" s="685"/>
      <c r="P364" s="40" t="s">
        <v>613</v>
      </c>
      <c r="Q364" s="800">
        <v>40833</v>
      </c>
      <c r="R364" s="801"/>
      <c r="S364" s="310">
        <v>20</v>
      </c>
      <c r="T364" s="832">
        <v>29721.8</v>
      </c>
      <c r="U364" s="25">
        <f t="shared" si="128"/>
        <v>594436</v>
      </c>
      <c r="V364" s="460"/>
      <c r="W364" s="800"/>
      <c r="X364" s="834"/>
      <c r="Y364" s="832"/>
      <c r="Z364" s="25">
        <f t="shared" si="129"/>
        <v>0</v>
      </c>
    </row>
    <row r="365" spans="1:26" ht="16.5" customHeight="1">
      <c r="A365" s="784">
        <f t="shared" si="123"/>
        <v>9</v>
      </c>
      <c r="B365" s="302" t="s">
        <v>1284</v>
      </c>
      <c r="C365" s="25">
        <f t="shared" si="124"/>
        <v>306880</v>
      </c>
      <c r="D365" s="785">
        <f t="shared" si="120"/>
        <v>21240.773514242301</v>
      </c>
      <c r="E365" s="785">
        <f t="shared" si="120"/>
        <v>6721.2532368865968</v>
      </c>
      <c r="F365" s="785">
        <f t="shared" si="120"/>
        <v>14491.83555546044</v>
      </c>
      <c r="G365" s="785">
        <f t="shared" si="120"/>
        <v>1158.3298735206627</v>
      </c>
      <c r="H365" s="785">
        <f t="shared" si="120"/>
        <v>21090.590022898967</v>
      </c>
      <c r="I365" s="785">
        <f t="shared" si="120"/>
        <v>5416.6598326449375</v>
      </c>
      <c r="J365" s="369">
        <f t="shared" si="120"/>
        <v>0</v>
      </c>
      <c r="K365" s="25">
        <f t="shared" si="125"/>
        <v>376998.44203565386</v>
      </c>
      <c r="L365" s="785">
        <v>54</v>
      </c>
      <c r="M365" s="785">
        <f t="shared" si="127"/>
        <v>6981.4526302898867</v>
      </c>
      <c r="N365" s="685">
        <v>13881</v>
      </c>
      <c r="O365" s="685"/>
      <c r="P365" s="40" t="s">
        <v>636</v>
      </c>
      <c r="Q365" s="800">
        <v>40833</v>
      </c>
      <c r="R365" s="801"/>
      <c r="S365" s="310">
        <v>16</v>
      </c>
      <c r="T365" s="832">
        <v>19180</v>
      </c>
      <c r="U365" s="25">
        <f t="shared" si="128"/>
        <v>306880</v>
      </c>
      <c r="V365" s="460"/>
      <c r="W365" s="800"/>
      <c r="X365" s="834"/>
      <c r="Y365" s="832"/>
      <c r="Z365" s="25">
        <f t="shared" si="129"/>
        <v>0</v>
      </c>
    </row>
    <row r="366" spans="1:26" ht="16.5" customHeight="1">
      <c r="A366" s="784">
        <f t="shared" si="123"/>
        <v>10</v>
      </c>
      <c r="B366" s="302" t="s">
        <v>1285</v>
      </c>
      <c r="C366" s="25">
        <f t="shared" si="124"/>
        <v>1340640</v>
      </c>
      <c r="D366" s="785">
        <f t="shared" si="120"/>
        <v>35401.289190403833</v>
      </c>
      <c r="E366" s="785">
        <f t="shared" si="120"/>
        <v>11202.088728144328</v>
      </c>
      <c r="F366" s="785">
        <f t="shared" si="120"/>
        <v>24153.059259100733</v>
      </c>
      <c r="G366" s="785">
        <f t="shared" si="120"/>
        <v>1930.5497892011044</v>
      </c>
      <c r="H366" s="785">
        <f t="shared" si="120"/>
        <v>35150.983371498281</v>
      </c>
      <c r="I366" s="785">
        <f t="shared" si="120"/>
        <v>9027.7663877415634</v>
      </c>
      <c r="J366" s="369">
        <f t="shared" si="120"/>
        <v>0</v>
      </c>
      <c r="K366" s="25">
        <f t="shared" si="125"/>
        <v>1457504.7367260898</v>
      </c>
      <c r="L366" s="785">
        <v>90</v>
      </c>
      <c r="M366" s="785">
        <f t="shared" si="127"/>
        <v>16194.497074734332</v>
      </c>
      <c r="N366" s="685">
        <v>20891</v>
      </c>
      <c r="O366" s="685"/>
      <c r="P366" s="40" t="s">
        <v>635</v>
      </c>
      <c r="Q366" s="800">
        <v>40833</v>
      </c>
      <c r="R366" s="801"/>
      <c r="S366" s="310">
        <v>45</v>
      </c>
      <c r="T366" s="832">
        <v>29792</v>
      </c>
      <c r="U366" s="25">
        <f t="shared" si="128"/>
        <v>1340640</v>
      </c>
      <c r="V366" s="460"/>
      <c r="W366" s="800"/>
      <c r="X366" s="834"/>
      <c r="Y366" s="832"/>
      <c r="Z366" s="25">
        <f t="shared" si="129"/>
        <v>0</v>
      </c>
    </row>
    <row r="367" spans="1:26" ht="16.5" customHeight="1">
      <c r="A367" s="784">
        <f t="shared" si="123"/>
        <v>11</v>
      </c>
      <c r="B367" s="302" t="s">
        <v>1286</v>
      </c>
      <c r="C367" s="25">
        <f t="shared" si="124"/>
        <v>1112146</v>
      </c>
      <c r="D367" s="785">
        <f t="shared" si="120"/>
        <v>39334.765767115372</v>
      </c>
      <c r="E367" s="785">
        <f t="shared" si="120"/>
        <v>12446.765253493697</v>
      </c>
      <c r="F367" s="785">
        <f t="shared" si="120"/>
        <v>26836.732510111928</v>
      </c>
      <c r="G367" s="785">
        <f t="shared" si="120"/>
        <v>2145.0553213345602</v>
      </c>
      <c r="H367" s="785">
        <f t="shared" si="120"/>
        <v>39056.648190553642</v>
      </c>
      <c r="I367" s="785">
        <f t="shared" si="120"/>
        <v>10030.85154193507</v>
      </c>
      <c r="J367" s="369">
        <f t="shared" si="120"/>
        <v>0</v>
      </c>
      <c r="K367" s="25">
        <f t="shared" si="125"/>
        <v>1241995.8185845444</v>
      </c>
      <c r="L367" s="785">
        <v>100</v>
      </c>
      <c r="M367" s="785">
        <f t="shared" si="127"/>
        <v>12419.958185845444</v>
      </c>
      <c r="N367" s="685">
        <v>16534</v>
      </c>
      <c r="O367" s="685"/>
      <c r="P367" s="40" t="s">
        <v>639</v>
      </c>
      <c r="Q367" s="800">
        <v>40833</v>
      </c>
      <c r="R367" s="801"/>
      <c r="S367" s="310">
        <v>37</v>
      </c>
      <c r="T367" s="832">
        <v>30058</v>
      </c>
      <c r="U367" s="25">
        <f t="shared" si="128"/>
        <v>1112146</v>
      </c>
      <c r="V367" s="460"/>
      <c r="W367" s="800"/>
      <c r="X367" s="834"/>
      <c r="Y367" s="832"/>
      <c r="Z367" s="25">
        <f t="shared" si="129"/>
        <v>0</v>
      </c>
    </row>
    <row r="368" spans="1:26" ht="16.5" customHeight="1">
      <c r="A368" s="784">
        <f t="shared" si="123"/>
        <v>12</v>
      </c>
      <c r="B368" s="302" t="s">
        <v>1285</v>
      </c>
      <c r="C368" s="25">
        <f t="shared" si="124"/>
        <v>2724120</v>
      </c>
      <c r="D368" s="785">
        <f t="shared" si="120"/>
        <v>78669.531534230744</v>
      </c>
      <c r="E368" s="785">
        <f t="shared" si="120"/>
        <v>24893.530506987394</v>
      </c>
      <c r="F368" s="785">
        <f t="shared" si="120"/>
        <v>53673.465020223855</v>
      </c>
      <c r="G368" s="785">
        <f t="shared" si="120"/>
        <v>4290.1106426691204</v>
      </c>
      <c r="H368" s="785">
        <f t="shared" si="120"/>
        <v>78113.296381107284</v>
      </c>
      <c r="I368" s="785">
        <f t="shared" si="120"/>
        <v>20061.703083870139</v>
      </c>
      <c r="J368" s="369">
        <f t="shared" si="120"/>
        <v>0</v>
      </c>
      <c r="K368" s="25">
        <f t="shared" si="125"/>
        <v>2983820.6371690887</v>
      </c>
      <c r="L368" s="785">
        <v>200</v>
      </c>
      <c r="M368" s="785">
        <f t="shared" si="127"/>
        <v>14919.103185845444</v>
      </c>
      <c r="N368" s="685">
        <v>20981</v>
      </c>
      <c r="O368" s="685"/>
      <c r="P368" s="40" t="s">
        <v>648</v>
      </c>
      <c r="Q368" s="800">
        <v>40833</v>
      </c>
      <c r="R368" s="801"/>
      <c r="S368" s="310">
        <v>94</v>
      </c>
      <c r="T368" s="832">
        <v>28980</v>
      </c>
      <c r="U368" s="25">
        <f t="shared" si="128"/>
        <v>2724120</v>
      </c>
      <c r="V368" s="460"/>
      <c r="W368" s="800"/>
      <c r="X368" s="834"/>
      <c r="Y368" s="832"/>
      <c r="Z368" s="25">
        <f t="shared" si="129"/>
        <v>0</v>
      </c>
    </row>
    <row r="369" spans="1:26" ht="16.5" customHeight="1">
      <c r="A369" s="784">
        <f t="shared" si="123"/>
        <v>13</v>
      </c>
      <c r="B369" s="302" t="s">
        <v>1287</v>
      </c>
      <c r="C369" s="25">
        <f t="shared" si="124"/>
        <v>571200</v>
      </c>
      <c r="D369" s="785">
        <f t="shared" si="120"/>
        <v>19667.382883557686</v>
      </c>
      <c r="E369" s="785">
        <f t="shared" si="120"/>
        <v>6223.3826267468485</v>
      </c>
      <c r="F369" s="785">
        <f t="shared" si="120"/>
        <v>13418.366255055964</v>
      </c>
      <c r="G369" s="785">
        <f t="shared" si="120"/>
        <v>1072.5276606672801</v>
      </c>
      <c r="H369" s="785">
        <f t="shared" si="120"/>
        <v>19528.324095276821</v>
      </c>
      <c r="I369" s="785">
        <f t="shared" si="120"/>
        <v>5015.4257709675348</v>
      </c>
      <c r="J369" s="369">
        <f t="shared" si="120"/>
        <v>0</v>
      </c>
      <c r="K369" s="25">
        <f t="shared" si="125"/>
        <v>636124.40929227218</v>
      </c>
      <c r="L369" s="785">
        <v>50</v>
      </c>
      <c r="M369" s="785">
        <f t="shared" si="127"/>
        <v>12722.488185845443</v>
      </c>
      <c r="N369" s="685">
        <v>15669</v>
      </c>
      <c r="O369" s="685"/>
      <c r="P369" s="40" t="s">
        <v>641</v>
      </c>
      <c r="Q369" s="800">
        <v>40833</v>
      </c>
      <c r="R369" s="801"/>
      <c r="S369" s="310">
        <v>20</v>
      </c>
      <c r="T369" s="832">
        <v>28560</v>
      </c>
      <c r="U369" s="25">
        <f t="shared" si="128"/>
        <v>571200</v>
      </c>
      <c r="V369" s="460"/>
      <c r="W369" s="800"/>
      <c r="X369" s="834"/>
      <c r="Y369" s="832"/>
      <c r="Z369" s="25">
        <f t="shared" si="129"/>
        <v>0</v>
      </c>
    </row>
    <row r="370" spans="1:26" ht="16.5" customHeight="1">
      <c r="A370" s="784">
        <f t="shared" si="123"/>
        <v>14</v>
      </c>
      <c r="B370" s="302" t="s">
        <v>1288</v>
      </c>
      <c r="C370" s="25">
        <f t="shared" si="124"/>
        <v>502843</v>
      </c>
      <c r="D370" s="785">
        <f t="shared" si="120"/>
        <v>11800.429730134612</v>
      </c>
      <c r="E370" s="785">
        <f t="shared" si="120"/>
        <v>3734.0295760481094</v>
      </c>
      <c r="F370" s="785">
        <f t="shared" si="120"/>
        <v>8051.0197530335781</v>
      </c>
      <c r="G370" s="785">
        <f t="shared" si="120"/>
        <v>643.51659640036814</v>
      </c>
      <c r="H370" s="785">
        <f t="shared" si="120"/>
        <v>11716.994457166093</v>
      </c>
      <c r="I370" s="785">
        <f t="shared" si="120"/>
        <v>3009.255462580521</v>
      </c>
      <c r="J370" s="369">
        <f t="shared" si="120"/>
        <v>0</v>
      </c>
      <c r="K370" s="25">
        <f t="shared" si="125"/>
        <v>541797.24557536317</v>
      </c>
      <c r="L370" s="785">
        <v>30</v>
      </c>
      <c r="M370" s="785">
        <f t="shared" si="127"/>
        <v>18059.908185845437</v>
      </c>
      <c r="N370" s="685">
        <v>20326</v>
      </c>
      <c r="O370" s="685"/>
      <c r="P370" s="189" t="s">
        <v>588</v>
      </c>
      <c r="Q370" s="800">
        <v>40833</v>
      </c>
      <c r="R370" s="801"/>
      <c r="S370" s="310">
        <v>17</v>
      </c>
      <c r="T370" s="832">
        <v>29579</v>
      </c>
      <c r="U370" s="25">
        <f t="shared" si="128"/>
        <v>502843</v>
      </c>
      <c r="V370" s="460"/>
      <c r="W370" s="800"/>
      <c r="X370" s="834"/>
      <c r="Y370" s="832"/>
      <c r="Z370" s="25">
        <f t="shared" si="129"/>
        <v>0</v>
      </c>
    </row>
    <row r="371" spans="1:26" ht="16.5" customHeight="1">
      <c r="A371" s="784">
        <f t="shared" si="123"/>
        <v>15</v>
      </c>
      <c r="B371" s="302" t="s">
        <v>1289</v>
      </c>
      <c r="C371" s="25">
        <f t="shared" si="124"/>
        <v>871350</v>
      </c>
      <c r="D371" s="785">
        <f t="shared" si="120"/>
        <v>59002.148650673058</v>
      </c>
      <c r="E371" s="785">
        <f t="shared" si="120"/>
        <v>18670.147880240547</v>
      </c>
      <c r="F371" s="785">
        <f t="shared" si="120"/>
        <v>40255.098765167888</v>
      </c>
      <c r="G371" s="785">
        <f t="shared" si="120"/>
        <v>3217.5829820018407</v>
      </c>
      <c r="H371" s="785">
        <f t="shared" si="120"/>
        <v>58584.972285830459</v>
      </c>
      <c r="I371" s="785">
        <f t="shared" si="120"/>
        <v>15046.277312902605</v>
      </c>
      <c r="J371" s="369">
        <f t="shared" si="120"/>
        <v>0</v>
      </c>
      <c r="K371" s="25">
        <f t="shared" si="125"/>
        <v>1066125.2278768164</v>
      </c>
      <c r="L371" s="785">
        <v>150</v>
      </c>
      <c r="M371" s="785">
        <f t="shared" si="127"/>
        <v>7107.5015191787761</v>
      </c>
      <c r="N371" s="685">
        <v>10397</v>
      </c>
      <c r="O371" s="685"/>
      <c r="P371" s="189" t="s">
        <v>513</v>
      </c>
      <c r="Q371" s="800">
        <v>40836</v>
      </c>
      <c r="R371" s="801"/>
      <c r="S371" s="310">
        <f>L371/3</f>
        <v>50</v>
      </c>
      <c r="T371" s="832">
        <v>17427</v>
      </c>
      <c r="U371" s="25">
        <f t="shared" si="128"/>
        <v>871350</v>
      </c>
      <c r="V371" s="460"/>
      <c r="W371" s="800"/>
      <c r="X371" s="834"/>
      <c r="Y371" s="832"/>
      <c r="Z371" s="25">
        <f t="shared" si="129"/>
        <v>0</v>
      </c>
    </row>
    <row r="372" spans="1:26" ht="16.5" customHeight="1">
      <c r="A372" s="784">
        <f t="shared" si="123"/>
        <v>16</v>
      </c>
      <c r="B372" s="302" t="s">
        <v>1290</v>
      </c>
      <c r="C372" s="25">
        <f t="shared" si="124"/>
        <v>1911200</v>
      </c>
      <c r="D372" s="785">
        <f t="shared" si="120"/>
        <v>78669.531534230744</v>
      </c>
      <c r="E372" s="785">
        <f t="shared" si="120"/>
        <v>24893.530506987394</v>
      </c>
      <c r="F372" s="785">
        <f t="shared" si="120"/>
        <v>53673.465020223855</v>
      </c>
      <c r="G372" s="785">
        <f t="shared" si="120"/>
        <v>4290.1106426691204</v>
      </c>
      <c r="H372" s="785">
        <f t="shared" si="120"/>
        <v>78113.296381107284</v>
      </c>
      <c r="I372" s="785">
        <f t="shared" si="120"/>
        <v>20061.703083870139</v>
      </c>
      <c r="J372" s="369">
        <f t="shared" si="120"/>
        <v>0</v>
      </c>
      <c r="K372" s="25">
        <f t="shared" si="125"/>
        <v>2170900.6371690882</v>
      </c>
      <c r="L372" s="785">
        <v>200</v>
      </c>
      <c r="M372" s="785">
        <f t="shared" si="127"/>
        <v>10854.50318584544</v>
      </c>
      <c r="N372" s="685">
        <v>12869</v>
      </c>
      <c r="O372" s="685"/>
      <c r="P372" s="189" t="s">
        <v>507</v>
      </c>
      <c r="Q372" s="800">
        <v>40836</v>
      </c>
      <c r="R372" s="801"/>
      <c r="S372" s="8">
        <v>100</v>
      </c>
      <c r="T372" s="298">
        <v>19112</v>
      </c>
      <c r="U372" s="25">
        <f t="shared" si="128"/>
        <v>1911200</v>
      </c>
      <c r="V372" s="460"/>
      <c r="W372" s="800"/>
      <c r="X372" s="834"/>
      <c r="Y372" s="832"/>
      <c r="Z372" s="25">
        <f t="shared" si="129"/>
        <v>0</v>
      </c>
    </row>
    <row r="373" spans="1:26" ht="16.5" customHeight="1">
      <c r="A373" s="784">
        <f t="shared" si="123"/>
        <v>17</v>
      </c>
      <c r="B373" s="302" t="s">
        <v>1283</v>
      </c>
      <c r="C373" s="25">
        <f t="shared" si="124"/>
        <v>1839000</v>
      </c>
      <c r="D373" s="785">
        <f t="shared" ref="D373:J409" si="130">IF($L$599&lt;&gt;0,D$599/$L$599*$L373,0)</f>
        <v>86536.484687653821</v>
      </c>
      <c r="E373" s="785">
        <f t="shared" si="130"/>
        <v>27382.883557686135</v>
      </c>
      <c r="F373" s="785">
        <f t="shared" si="130"/>
        <v>59040.811522246237</v>
      </c>
      <c r="G373" s="785">
        <f t="shared" si="130"/>
        <v>4719.1217069360328</v>
      </c>
      <c r="H373" s="785">
        <f t="shared" si="130"/>
        <v>85924.626019218005</v>
      </c>
      <c r="I373" s="785">
        <f t="shared" si="130"/>
        <v>22067.873392257152</v>
      </c>
      <c r="J373" s="369">
        <f t="shared" si="130"/>
        <v>0</v>
      </c>
      <c r="K373" s="25">
        <f t="shared" si="125"/>
        <v>2124670.8008859977</v>
      </c>
      <c r="L373" s="785">
        <v>220</v>
      </c>
      <c r="M373" s="785">
        <f t="shared" si="127"/>
        <v>9657.5945494818079</v>
      </c>
      <c r="N373" s="685">
        <v>14450</v>
      </c>
      <c r="O373" s="685"/>
      <c r="P373" s="189" t="s">
        <v>585</v>
      </c>
      <c r="Q373" s="800">
        <v>40836</v>
      </c>
      <c r="R373" s="801"/>
      <c r="S373" s="310">
        <v>100</v>
      </c>
      <c r="T373" s="832">
        <v>18390</v>
      </c>
      <c r="U373" s="25">
        <f t="shared" si="128"/>
        <v>1839000</v>
      </c>
      <c r="V373" s="460"/>
      <c r="W373" s="800"/>
      <c r="X373" s="834"/>
      <c r="Y373" s="832"/>
      <c r="Z373" s="25">
        <f t="shared" si="129"/>
        <v>0</v>
      </c>
    </row>
    <row r="374" spans="1:26" ht="16.5" customHeight="1">
      <c r="A374" s="784">
        <f t="shared" si="123"/>
        <v>18</v>
      </c>
      <c r="B374" s="302" t="s">
        <v>1282</v>
      </c>
      <c r="C374" s="25">
        <f t="shared" si="124"/>
        <v>1103760</v>
      </c>
      <c r="D374" s="785">
        <f t="shared" si="130"/>
        <v>70802.578380807667</v>
      </c>
      <c r="E374" s="785">
        <f t="shared" si="130"/>
        <v>22404.177456288657</v>
      </c>
      <c r="F374" s="785">
        <f t="shared" si="130"/>
        <v>48306.118518201467</v>
      </c>
      <c r="G374" s="785">
        <f t="shared" si="130"/>
        <v>3861.0995784022089</v>
      </c>
      <c r="H374" s="785">
        <f t="shared" si="130"/>
        <v>70301.966742996563</v>
      </c>
      <c r="I374" s="785">
        <f t="shared" si="130"/>
        <v>18055.532775483127</v>
      </c>
      <c r="J374" s="369">
        <f t="shared" si="130"/>
        <v>0</v>
      </c>
      <c r="K374" s="25">
        <f t="shared" si="125"/>
        <v>1337490.4734521797</v>
      </c>
      <c r="L374" s="785">
        <v>180</v>
      </c>
      <c r="M374" s="785">
        <f t="shared" si="127"/>
        <v>7430.5026302898868</v>
      </c>
      <c r="N374" s="685">
        <v>11420</v>
      </c>
      <c r="O374" s="685"/>
      <c r="P374" s="40" t="s">
        <v>634</v>
      </c>
      <c r="Q374" s="800">
        <v>40836</v>
      </c>
      <c r="R374" s="801"/>
      <c r="S374" s="310">
        <f>L374/3</f>
        <v>60</v>
      </c>
      <c r="T374" s="832">
        <v>18396</v>
      </c>
      <c r="U374" s="25">
        <f t="shared" si="128"/>
        <v>1103760</v>
      </c>
      <c r="V374" s="460"/>
      <c r="W374" s="800"/>
      <c r="X374" s="834"/>
      <c r="Y374" s="832"/>
      <c r="Z374" s="25">
        <f t="shared" si="129"/>
        <v>0</v>
      </c>
    </row>
    <row r="375" spans="1:26" ht="16.5" customHeight="1">
      <c r="A375" s="784">
        <f t="shared" si="123"/>
        <v>19</v>
      </c>
      <c r="B375" s="302" t="s">
        <v>1284</v>
      </c>
      <c r="C375" s="25">
        <f t="shared" si="124"/>
        <v>2921880</v>
      </c>
      <c r="D375" s="785">
        <f t="shared" si="130"/>
        <v>116824.25432833267</v>
      </c>
      <c r="E375" s="785">
        <f t="shared" si="130"/>
        <v>36966.892802876282</v>
      </c>
      <c r="F375" s="785">
        <f t="shared" si="130"/>
        <v>79705.095555032414</v>
      </c>
      <c r="G375" s="785">
        <f t="shared" si="130"/>
        <v>6370.8143043636446</v>
      </c>
      <c r="H375" s="785">
        <f t="shared" si="130"/>
        <v>115998.24512594432</v>
      </c>
      <c r="I375" s="785">
        <f t="shared" si="130"/>
        <v>29791.629079547158</v>
      </c>
      <c r="J375" s="369">
        <f t="shared" si="130"/>
        <v>0</v>
      </c>
      <c r="K375" s="25">
        <f t="shared" si="125"/>
        <v>3307535.9311960968</v>
      </c>
      <c r="L375" s="785">
        <v>297</v>
      </c>
      <c r="M375" s="785">
        <f t="shared" si="127"/>
        <v>11136.484616821876</v>
      </c>
      <c r="N375" s="685">
        <v>13881</v>
      </c>
      <c r="O375" s="685"/>
      <c r="P375" s="189" t="s">
        <v>573</v>
      </c>
      <c r="Q375" s="800">
        <v>40836</v>
      </c>
      <c r="R375" s="801"/>
      <c r="S375" s="8">
        <v>130</v>
      </c>
      <c r="T375" s="298">
        <v>22476</v>
      </c>
      <c r="U375" s="25">
        <f t="shared" si="128"/>
        <v>2921880</v>
      </c>
      <c r="V375" s="460"/>
      <c r="W375" s="800"/>
      <c r="X375" s="834"/>
      <c r="Y375" s="832"/>
      <c r="Z375" s="25">
        <f t="shared" si="129"/>
        <v>0</v>
      </c>
    </row>
    <row r="376" spans="1:26" ht="16.5" customHeight="1">
      <c r="A376" s="784">
        <f t="shared" si="123"/>
        <v>20</v>
      </c>
      <c r="B376" s="302" t="s">
        <v>1288</v>
      </c>
      <c r="C376" s="25">
        <f t="shared" si="124"/>
        <v>3173700</v>
      </c>
      <c r="D376" s="785">
        <f t="shared" si="130"/>
        <v>125871.25045476919</v>
      </c>
      <c r="E376" s="785">
        <f t="shared" si="130"/>
        <v>39829.648811179832</v>
      </c>
      <c r="F376" s="785">
        <f t="shared" si="130"/>
        <v>85877.544032358157</v>
      </c>
      <c r="G376" s="785">
        <f t="shared" si="130"/>
        <v>6864.1770282705929</v>
      </c>
      <c r="H376" s="785">
        <f t="shared" si="130"/>
        <v>124981.27420977165</v>
      </c>
      <c r="I376" s="785">
        <f t="shared" si="130"/>
        <v>32098.724934192222</v>
      </c>
      <c r="J376" s="369">
        <f t="shared" si="130"/>
        <v>0</v>
      </c>
      <c r="K376" s="25">
        <f t="shared" si="125"/>
        <v>3589221.6194705414</v>
      </c>
      <c r="L376" s="785">
        <v>320</v>
      </c>
      <c r="M376" s="785">
        <f t="shared" si="127"/>
        <v>11216.317560845442</v>
      </c>
      <c r="N376" s="685">
        <v>17372</v>
      </c>
      <c r="O376" s="685"/>
      <c r="P376" s="189" t="s">
        <v>577</v>
      </c>
      <c r="Q376" s="800">
        <v>40836</v>
      </c>
      <c r="R376" s="801"/>
      <c r="S376" s="310">
        <v>150</v>
      </c>
      <c r="T376" s="832">
        <v>21158</v>
      </c>
      <c r="U376" s="25">
        <f t="shared" si="128"/>
        <v>3173700</v>
      </c>
      <c r="V376" s="460"/>
      <c r="W376" s="800"/>
      <c r="X376" s="834"/>
      <c r="Y376" s="832"/>
      <c r="Z376" s="25">
        <f t="shared" si="129"/>
        <v>0</v>
      </c>
    </row>
    <row r="377" spans="1:26" ht="16.5" customHeight="1">
      <c r="A377" s="784">
        <f t="shared" si="123"/>
        <v>21</v>
      </c>
      <c r="B377" s="302" t="s">
        <v>1285</v>
      </c>
      <c r="C377" s="25">
        <f t="shared" si="124"/>
        <v>2160449</v>
      </c>
      <c r="D377" s="785">
        <f t="shared" si="130"/>
        <v>59002.148650673058</v>
      </c>
      <c r="E377" s="785">
        <f t="shared" si="130"/>
        <v>18670.147880240547</v>
      </c>
      <c r="F377" s="785">
        <f t="shared" si="130"/>
        <v>40255.098765167888</v>
      </c>
      <c r="G377" s="785">
        <f t="shared" si="130"/>
        <v>3217.5829820018407</v>
      </c>
      <c r="H377" s="785">
        <f t="shared" si="130"/>
        <v>58584.972285830459</v>
      </c>
      <c r="I377" s="785">
        <f t="shared" si="130"/>
        <v>15046.277312902605</v>
      </c>
      <c r="J377" s="369">
        <f t="shared" si="130"/>
        <v>0</v>
      </c>
      <c r="K377" s="25">
        <f t="shared" si="125"/>
        <v>2355224.2278768164</v>
      </c>
      <c r="L377" s="785">
        <v>150</v>
      </c>
      <c r="M377" s="785">
        <f t="shared" si="127"/>
        <v>15701.494852512109</v>
      </c>
      <c r="N377" s="685">
        <v>20981</v>
      </c>
      <c r="O377" s="685"/>
      <c r="P377" s="40" t="s">
        <v>580</v>
      </c>
      <c r="Q377" s="800">
        <v>40836</v>
      </c>
      <c r="R377" s="801"/>
      <c r="S377" s="310">
        <v>90</v>
      </c>
      <c r="T377" s="832">
        <v>24004.988888888889</v>
      </c>
      <c r="U377" s="25">
        <f t="shared" si="128"/>
        <v>2160449</v>
      </c>
      <c r="V377" s="460"/>
      <c r="W377" s="800"/>
      <c r="X377" s="834"/>
      <c r="Y377" s="832"/>
      <c r="Z377" s="25">
        <f t="shared" si="129"/>
        <v>0</v>
      </c>
    </row>
    <row r="378" spans="1:26" ht="16.5" customHeight="1">
      <c r="A378" s="784">
        <f t="shared" si="123"/>
        <v>22</v>
      </c>
      <c r="B378" s="302" t="s">
        <v>1291</v>
      </c>
      <c r="C378" s="25">
        <f t="shared" si="124"/>
        <v>2554450</v>
      </c>
      <c r="D378" s="785">
        <f t="shared" si="130"/>
        <v>106203.86757121151</v>
      </c>
      <c r="E378" s="785">
        <f t="shared" si="130"/>
        <v>33606.266184432985</v>
      </c>
      <c r="F378" s="785">
        <f t="shared" si="130"/>
        <v>72459.177777302204</v>
      </c>
      <c r="G378" s="785">
        <f t="shared" si="130"/>
        <v>5791.6493676033133</v>
      </c>
      <c r="H378" s="785">
        <f t="shared" si="130"/>
        <v>105452.95011449483</v>
      </c>
      <c r="I378" s="785">
        <f t="shared" si="130"/>
        <v>27083.299163224689</v>
      </c>
      <c r="J378" s="369">
        <f t="shared" si="130"/>
        <v>0</v>
      </c>
      <c r="K378" s="25">
        <f t="shared" si="125"/>
        <v>2905046.2101782691</v>
      </c>
      <c r="L378" s="785">
        <v>270</v>
      </c>
      <c r="M378" s="785">
        <f t="shared" si="127"/>
        <v>10759.430408067663</v>
      </c>
      <c r="N378" s="685">
        <v>16832</v>
      </c>
      <c r="O378" s="685"/>
      <c r="P378" s="189" t="s">
        <v>652</v>
      </c>
      <c r="Q378" s="800">
        <v>40836</v>
      </c>
      <c r="R378" s="801"/>
      <c r="S378" s="310">
        <v>94</v>
      </c>
      <c r="T378" s="832">
        <v>27175</v>
      </c>
      <c r="U378" s="25">
        <f t="shared" si="128"/>
        <v>2554450</v>
      </c>
      <c r="V378" s="460"/>
      <c r="W378" s="800"/>
      <c r="X378" s="834"/>
      <c r="Y378" s="832"/>
      <c r="Z378" s="25">
        <f t="shared" si="129"/>
        <v>0</v>
      </c>
    </row>
    <row r="379" spans="1:26" ht="16.5" customHeight="1">
      <c r="A379" s="784">
        <f t="shared" si="123"/>
        <v>23</v>
      </c>
      <c r="B379" s="302" t="s">
        <v>771</v>
      </c>
      <c r="C379" s="25">
        <f t="shared" si="124"/>
        <v>1115328</v>
      </c>
      <c r="D379" s="785">
        <f t="shared" si="130"/>
        <v>74736.054957519213</v>
      </c>
      <c r="E379" s="785">
        <f t="shared" si="130"/>
        <v>23648.853981638025</v>
      </c>
      <c r="F379" s="785">
        <f t="shared" si="130"/>
        <v>50989.791769212658</v>
      </c>
      <c r="G379" s="785">
        <f t="shared" si="130"/>
        <v>4075.6051105356646</v>
      </c>
      <c r="H379" s="785">
        <f t="shared" si="130"/>
        <v>74207.631562051916</v>
      </c>
      <c r="I379" s="785">
        <f t="shared" si="130"/>
        <v>19058.617929676631</v>
      </c>
      <c r="J379" s="369">
        <f t="shared" si="130"/>
        <v>0</v>
      </c>
      <c r="K379" s="25">
        <f t="shared" si="125"/>
        <v>1362043.555310634</v>
      </c>
      <c r="L379" s="785">
        <v>190</v>
      </c>
      <c r="M379" s="785">
        <f t="shared" si="127"/>
        <v>7168.6502911086</v>
      </c>
      <c r="N379" s="685">
        <v>10253</v>
      </c>
      <c r="O379" s="685"/>
      <c r="P379" s="189" t="s">
        <v>513</v>
      </c>
      <c r="Q379" s="800">
        <v>40836</v>
      </c>
      <c r="R379" s="801"/>
      <c r="S379" s="310">
        <v>64</v>
      </c>
      <c r="T379" s="832">
        <v>17427</v>
      </c>
      <c r="U379" s="25">
        <f t="shared" si="128"/>
        <v>1115328</v>
      </c>
      <c r="V379" s="460"/>
      <c r="W379" s="800"/>
      <c r="X379" s="834"/>
      <c r="Y379" s="832"/>
      <c r="Z379" s="25">
        <f t="shared" si="129"/>
        <v>0</v>
      </c>
    </row>
    <row r="380" spans="1:26" ht="16.5" customHeight="1">
      <c r="A380" s="784">
        <f t="shared" si="123"/>
        <v>24</v>
      </c>
      <c r="B380" s="302" t="s">
        <v>769</v>
      </c>
      <c r="C380" s="25">
        <f t="shared" si="124"/>
        <v>1864689</v>
      </c>
      <c r="D380" s="785">
        <f t="shared" si="130"/>
        <v>125871.25045476919</v>
      </c>
      <c r="E380" s="785">
        <f t="shared" si="130"/>
        <v>39829.648811179832</v>
      </c>
      <c r="F380" s="785">
        <f t="shared" si="130"/>
        <v>85877.544032358157</v>
      </c>
      <c r="G380" s="785">
        <f t="shared" si="130"/>
        <v>6864.1770282705929</v>
      </c>
      <c r="H380" s="785">
        <f t="shared" si="130"/>
        <v>124981.27420977165</v>
      </c>
      <c r="I380" s="785">
        <f t="shared" si="130"/>
        <v>32098.724934192222</v>
      </c>
      <c r="J380" s="369">
        <f t="shared" si="130"/>
        <v>0</v>
      </c>
      <c r="K380" s="25">
        <f t="shared" si="125"/>
        <v>2280210.6194705418</v>
      </c>
      <c r="L380" s="785">
        <v>320</v>
      </c>
      <c r="M380" s="785">
        <f t="shared" si="127"/>
        <v>7125.6581858454429</v>
      </c>
      <c r="N380" s="685">
        <v>10595</v>
      </c>
      <c r="O380" s="685"/>
      <c r="P380" s="189" t="s">
        <v>513</v>
      </c>
      <c r="Q380" s="800">
        <v>40836</v>
      </c>
      <c r="R380" s="801"/>
      <c r="S380" s="310">
        <v>107</v>
      </c>
      <c r="T380" s="832">
        <v>17427</v>
      </c>
      <c r="U380" s="25">
        <f t="shared" si="128"/>
        <v>1864689</v>
      </c>
      <c r="V380" s="460"/>
      <c r="W380" s="800"/>
      <c r="X380" s="834"/>
      <c r="Y380" s="832"/>
      <c r="Z380" s="25">
        <f t="shared" si="129"/>
        <v>0</v>
      </c>
    </row>
    <row r="381" spans="1:26" ht="16.5" customHeight="1">
      <c r="A381" s="784">
        <f t="shared" si="123"/>
        <v>25</v>
      </c>
      <c r="B381" s="302" t="s">
        <v>778</v>
      </c>
      <c r="C381" s="25">
        <f t="shared" si="124"/>
        <v>2427360</v>
      </c>
      <c r="D381" s="785">
        <f t="shared" si="130"/>
        <v>118004.29730134612</v>
      </c>
      <c r="E381" s="785">
        <f t="shared" si="130"/>
        <v>37340.295760481094</v>
      </c>
      <c r="F381" s="785">
        <f t="shared" si="130"/>
        <v>80510.197530335776</v>
      </c>
      <c r="G381" s="785">
        <f t="shared" si="130"/>
        <v>6435.1659640036814</v>
      </c>
      <c r="H381" s="785">
        <f t="shared" si="130"/>
        <v>117169.94457166092</v>
      </c>
      <c r="I381" s="785">
        <f t="shared" si="130"/>
        <v>30092.554625805209</v>
      </c>
      <c r="J381" s="369">
        <f t="shared" si="130"/>
        <v>0</v>
      </c>
      <c r="K381" s="25">
        <f t="shared" si="125"/>
        <v>2816911.4557536324</v>
      </c>
      <c r="L381" s="785">
        <v>300</v>
      </c>
      <c r="M381" s="785">
        <f t="shared" si="127"/>
        <v>9389.7048525121081</v>
      </c>
      <c r="N381" s="685">
        <v>12179</v>
      </c>
      <c r="O381" s="685"/>
      <c r="P381" s="189" t="s">
        <v>594</v>
      </c>
      <c r="Q381" s="800">
        <v>40836</v>
      </c>
      <c r="R381" s="801"/>
      <c r="S381" s="310">
        <v>104</v>
      </c>
      <c r="T381" s="832">
        <v>23340</v>
      </c>
      <c r="U381" s="25">
        <f t="shared" si="128"/>
        <v>2427360</v>
      </c>
      <c r="V381" s="460"/>
      <c r="W381" s="800"/>
      <c r="X381" s="834"/>
      <c r="Y381" s="832"/>
      <c r="Z381" s="25">
        <f t="shared" si="129"/>
        <v>0</v>
      </c>
    </row>
    <row r="382" spans="1:26" ht="16.5" customHeight="1">
      <c r="A382" s="784">
        <f t="shared" si="123"/>
        <v>26</v>
      </c>
      <c r="B382" s="302" t="s">
        <v>773</v>
      </c>
      <c r="C382" s="25">
        <f t="shared" si="124"/>
        <v>3534076</v>
      </c>
      <c r="D382" s="785">
        <f t="shared" si="130"/>
        <v>137671.68018490382</v>
      </c>
      <c r="E382" s="785">
        <f t="shared" si="130"/>
        <v>43563.678387227941</v>
      </c>
      <c r="F382" s="785">
        <f t="shared" si="130"/>
        <v>93928.563785391743</v>
      </c>
      <c r="G382" s="785">
        <f t="shared" si="130"/>
        <v>7507.6936246709611</v>
      </c>
      <c r="H382" s="785">
        <f t="shared" si="130"/>
        <v>136698.26866693774</v>
      </c>
      <c r="I382" s="785">
        <f t="shared" si="130"/>
        <v>35107.980396772742</v>
      </c>
      <c r="J382" s="369">
        <f t="shared" si="130"/>
        <v>0</v>
      </c>
      <c r="K382" s="25">
        <f t="shared" si="125"/>
        <v>3988552.8650459056</v>
      </c>
      <c r="L382" s="785">
        <v>350</v>
      </c>
      <c r="M382" s="785">
        <f t="shared" si="127"/>
        <v>11395.865328702588</v>
      </c>
      <c r="N382" s="685">
        <v>15618</v>
      </c>
      <c r="O382" s="685"/>
      <c r="P382" s="40" t="s">
        <v>632</v>
      </c>
      <c r="Q382" s="800">
        <v>40836</v>
      </c>
      <c r="R382" s="801"/>
      <c r="S382" s="310">
        <v>182</v>
      </c>
      <c r="T382" s="832">
        <v>19418</v>
      </c>
      <c r="U382" s="25">
        <f t="shared" si="128"/>
        <v>3534076</v>
      </c>
      <c r="V382" s="460"/>
      <c r="W382" s="800"/>
      <c r="X382" s="834"/>
      <c r="Y382" s="832"/>
      <c r="Z382" s="25">
        <f t="shared" si="129"/>
        <v>0</v>
      </c>
    </row>
    <row r="383" spans="1:26" ht="16.5" customHeight="1">
      <c r="A383" s="784">
        <f t="shared" si="123"/>
        <v>27</v>
      </c>
      <c r="B383" s="302" t="s">
        <v>1286</v>
      </c>
      <c r="C383" s="25">
        <f t="shared" si="124"/>
        <v>2857816</v>
      </c>
      <c r="D383" s="785">
        <f t="shared" si="130"/>
        <v>114070.82072463458</v>
      </c>
      <c r="E383" s="785">
        <f t="shared" si="130"/>
        <v>36095.619235131722</v>
      </c>
      <c r="F383" s="785">
        <f t="shared" si="130"/>
        <v>77826.524279324585</v>
      </c>
      <c r="G383" s="785">
        <f t="shared" si="130"/>
        <v>6220.6604318702248</v>
      </c>
      <c r="H383" s="785">
        <f t="shared" si="130"/>
        <v>113264.27975260557</v>
      </c>
      <c r="I383" s="785">
        <f t="shared" si="130"/>
        <v>29089.469471611701</v>
      </c>
      <c r="J383" s="369">
        <f t="shared" si="130"/>
        <v>0</v>
      </c>
      <c r="K383" s="25">
        <f t="shared" si="125"/>
        <v>3234382.3738951785</v>
      </c>
      <c r="L383" s="785">
        <v>290</v>
      </c>
      <c r="M383" s="785">
        <f t="shared" si="127"/>
        <v>11153.042668604065</v>
      </c>
      <c r="N383" s="685">
        <v>16534</v>
      </c>
      <c r="O383" s="685"/>
      <c r="P383" s="189" t="s">
        <v>593</v>
      </c>
      <c r="Q383" s="800">
        <v>40836</v>
      </c>
      <c r="R383" s="801"/>
      <c r="S383" s="310">
        <v>104</v>
      </c>
      <c r="T383" s="832">
        <v>27479</v>
      </c>
      <c r="U383" s="25">
        <f t="shared" si="128"/>
        <v>2857816</v>
      </c>
      <c r="V383" s="460"/>
      <c r="W383" s="800"/>
      <c r="X383" s="834"/>
      <c r="Y383" s="832"/>
      <c r="Z383" s="25">
        <f t="shared" si="129"/>
        <v>0</v>
      </c>
    </row>
    <row r="384" spans="1:26" ht="16.5" customHeight="1">
      <c r="A384" s="784">
        <f t="shared" si="123"/>
        <v>28</v>
      </c>
      <c r="B384" s="302" t="s">
        <v>1292</v>
      </c>
      <c r="C384" s="25">
        <f t="shared" si="124"/>
        <v>1840280</v>
      </c>
      <c r="D384" s="785">
        <f t="shared" si="130"/>
        <v>51135.195497249988</v>
      </c>
      <c r="E384" s="785">
        <f t="shared" si="130"/>
        <v>16180.794829541806</v>
      </c>
      <c r="F384" s="785">
        <f t="shared" si="130"/>
        <v>34887.752263145507</v>
      </c>
      <c r="G384" s="785">
        <f t="shared" si="130"/>
        <v>2788.5719177349283</v>
      </c>
      <c r="H384" s="785">
        <f t="shared" si="130"/>
        <v>50773.642647719738</v>
      </c>
      <c r="I384" s="785">
        <f t="shared" si="130"/>
        <v>13040.10700451559</v>
      </c>
      <c r="J384" s="369">
        <f t="shared" si="130"/>
        <v>0</v>
      </c>
      <c r="K384" s="25">
        <f t="shared" si="125"/>
        <v>2009085.0641599076</v>
      </c>
      <c r="L384" s="785">
        <v>130</v>
      </c>
      <c r="M384" s="785">
        <f t="shared" si="127"/>
        <v>15454.500493537751</v>
      </c>
      <c r="N384" s="685">
        <v>20633</v>
      </c>
      <c r="O384" s="685"/>
      <c r="P384" s="302" t="s">
        <v>506</v>
      </c>
      <c r="Q384" s="800">
        <v>40836</v>
      </c>
      <c r="R384" s="801"/>
      <c r="S384" s="310">
        <v>52</v>
      </c>
      <c r="T384" s="832">
        <v>35390</v>
      </c>
      <c r="U384" s="25">
        <f t="shared" si="128"/>
        <v>1840280</v>
      </c>
      <c r="V384" s="460"/>
      <c r="W384" s="800"/>
      <c r="X384" s="834"/>
      <c r="Y384" s="832"/>
      <c r="Z384" s="25">
        <f t="shared" si="129"/>
        <v>0</v>
      </c>
    </row>
    <row r="385" spans="1:26" ht="16.5" customHeight="1">
      <c r="A385" s="784">
        <f t="shared" si="123"/>
        <v>29</v>
      </c>
      <c r="B385" s="302" t="s">
        <v>769</v>
      </c>
      <c r="C385" s="25">
        <f t="shared" si="124"/>
        <v>1219890</v>
      </c>
      <c r="D385" s="785">
        <f t="shared" si="130"/>
        <v>82603.00811094229</v>
      </c>
      <c r="E385" s="785">
        <f t="shared" si="130"/>
        <v>26138.207032336766</v>
      </c>
      <c r="F385" s="785">
        <f t="shared" si="130"/>
        <v>56357.138271235046</v>
      </c>
      <c r="G385" s="785">
        <f t="shared" si="130"/>
        <v>4504.616174802577</v>
      </c>
      <c r="H385" s="785">
        <f t="shared" si="130"/>
        <v>82018.961200162652</v>
      </c>
      <c r="I385" s="785">
        <f t="shared" si="130"/>
        <v>21064.788238063647</v>
      </c>
      <c r="J385" s="369">
        <f t="shared" si="130"/>
        <v>0</v>
      </c>
      <c r="K385" s="25">
        <f t="shared" si="125"/>
        <v>1492575.7190275432</v>
      </c>
      <c r="L385" s="785">
        <v>210</v>
      </c>
      <c r="M385" s="785">
        <f t="shared" si="127"/>
        <v>7107.5034239406823</v>
      </c>
      <c r="N385" s="685">
        <v>10595</v>
      </c>
      <c r="O385" s="685"/>
      <c r="P385" s="189" t="s">
        <v>513</v>
      </c>
      <c r="Q385" s="800">
        <v>40838</v>
      </c>
      <c r="R385" s="801"/>
      <c r="S385" s="310">
        <f>L385/3</f>
        <v>70</v>
      </c>
      <c r="T385" s="832">
        <v>17427</v>
      </c>
      <c r="U385" s="25">
        <f t="shared" si="128"/>
        <v>1219890</v>
      </c>
      <c r="V385" s="460"/>
      <c r="W385" s="800"/>
      <c r="X385" s="834"/>
      <c r="Y385" s="832"/>
      <c r="Z385" s="25">
        <f t="shared" si="129"/>
        <v>0</v>
      </c>
    </row>
    <row r="386" spans="1:26" ht="16.5" customHeight="1">
      <c r="A386" s="784">
        <f t="shared" si="123"/>
        <v>30</v>
      </c>
      <c r="B386" s="302" t="s">
        <v>1293</v>
      </c>
      <c r="C386" s="25">
        <f t="shared" si="124"/>
        <v>1102850</v>
      </c>
      <c r="D386" s="785">
        <f t="shared" si="130"/>
        <v>59002.148650673058</v>
      </c>
      <c r="E386" s="785">
        <f t="shared" si="130"/>
        <v>18670.147880240547</v>
      </c>
      <c r="F386" s="785">
        <f t="shared" si="130"/>
        <v>40255.098765167888</v>
      </c>
      <c r="G386" s="785">
        <f t="shared" si="130"/>
        <v>3217.5829820018407</v>
      </c>
      <c r="H386" s="785">
        <f t="shared" si="130"/>
        <v>58584.972285830459</v>
      </c>
      <c r="I386" s="785">
        <f t="shared" si="130"/>
        <v>15046.277312902605</v>
      </c>
      <c r="J386" s="369">
        <f t="shared" si="130"/>
        <v>0</v>
      </c>
      <c r="K386" s="25">
        <f t="shared" si="125"/>
        <v>1297625.2278768162</v>
      </c>
      <c r="L386" s="785">
        <v>150</v>
      </c>
      <c r="M386" s="785">
        <f t="shared" si="127"/>
        <v>8650.8348525121073</v>
      </c>
      <c r="N386" s="685">
        <v>17966</v>
      </c>
      <c r="O386" s="685"/>
      <c r="P386" s="40" t="s">
        <v>649</v>
      </c>
      <c r="Q386" s="800">
        <v>40838</v>
      </c>
      <c r="R386" s="801"/>
      <c r="S386" s="310">
        <v>46</v>
      </c>
      <c r="T386" s="832">
        <v>23975</v>
      </c>
      <c r="U386" s="25">
        <f t="shared" si="128"/>
        <v>1102850</v>
      </c>
      <c r="V386" s="460"/>
      <c r="W386" s="800"/>
      <c r="X386" s="834"/>
      <c r="Y386" s="832"/>
      <c r="Z386" s="25">
        <f t="shared" si="129"/>
        <v>0</v>
      </c>
    </row>
    <row r="387" spans="1:26" ht="16.5" customHeight="1">
      <c r="A387" s="784">
        <f t="shared" si="123"/>
        <v>31</v>
      </c>
      <c r="B387" s="302" t="s">
        <v>1294</v>
      </c>
      <c r="C387" s="25">
        <f t="shared" si="124"/>
        <v>2784936</v>
      </c>
      <c r="D387" s="785">
        <f t="shared" si="130"/>
        <v>134524.89892353458</v>
      </c>
      <c r="E387" s="785">
        <f t="shared" si="130"/>
        <v>42567.937166948446</v>
      </c>
      <c r="F387" s="785">
        <f t="shared" si="130"/>
        <v>91781.625184582794</v>
      </c>
      <c r="G387" s="785">
        <f t="shared" si="130"/>
        <v>7336.0891989641968</v>
      </c>
      <c r="H387" s="785">
        <f t="shared" si="130"/>
        <v>133573.73681169347</v>
      </c>
      <c r="I387" s="785">
        <f t="shared" si="130"/>
        <v>34305.512273417939</v>
      </c>
      <c r="J387" s="369">
        <f t="shared" si="130"/>
        <v>0</v>
      </c>
      <c r="K387" s="25">
        <f t="shared" si="125"/>
        <v>3229024.799559141</v>
      </c>
      <c r="L387" s="785">
        <v>342</v>
      </c>
      <c r="M387" s="785">
        <f t="shared" si="127"/>
        <v>9441.5929811670794</v>
      </c>
      <c r="N387" s="685">
        <v>14535</v>
      </c>
      <c r="O387" s="685"/>
      <c r="P387" s="40" t="s">
        <v>630</v>
      </c>
      <c r="Q387" s="800">
        <v>40838</v>
      </c>
      <c r="R387" s="801"/>
      <c r="S387" s="310">
        <v>132</v>
      </c>
      <c r="T387" s="832">
        <v>21098</v>
      </c>
      <c r="U387" s="25">
        <f t="shared" si="128"/>
        <v>2784936</v>
      </c>
      <c r="V387" s="460"/>
      <c r="W387" s="800"/>
      <c r="X387" s="834"/>
      <c r="Y387" s="832"/>
      <c r="Z387" s="25">
        <f t="shared" si="129"/>
        <v>0</v>
      </c>
    </row>
    <row r="388" spans="1:26" ht="16.5" customHeight="1">
      <c r="A388" s="784">
        <f t="shared" si="123"/>
        <v>32</v>
      </c>
      <c r="B388" s="302" t="s">
        <v>770</v>
      </c>
      <c r="C388" s="25">
        <f t="shared" si="124"/>
        <v>919800</v>
      </c>
      <c r="D388" s="785">
        <f t="shared" si="130"/>
        <v>59002.148650673058</v>
      </c>
      <c r="E388" s="785">
        <f t="shared" si="130"/>
        <v>18670.147880240547</v>
      </c>
      <c r="F388" s="785">
        <f t="shared" si="130"/>
        <v>40255.098765167888</v>
      </c>
      <c r="G388" s="785">
        <f t="shared" si="130"/>
        <v>3217.5829820018407</v>
      </c>
      <c r="H388" s="785">
        <f t="shared" si="130"/>
        <v>58584.972285830459</v>
      </c>
      <c r="I388" s="785">
        <f t="shared" si="130"/>
        <v>15046.277312902605</v>
      </c>
      <c r="J388" s="369">
        <f t="shared" si="130"/>
        <v>0</v>
      </c>
      <c r="K388" s="25">
        <f t="shared" si="125"/>
        <v>1114575.2278768164</v>
      </c>
      <c r="L388" s="785">
        <v>150</v>
      </c>
      <c r="M388" s="785">
        <f t="shared" si="127"/>
        <v>7430.5015191787761</v>
      </c>
      <c r="N388" s="685">
        <v>11321</v>
      </c>
      <c r="O388" s="685"/>
      <c r="P388" s="40" t="s">
        <v>634</v>
      </c>
      <c r="Q388" s="800">
        <v>40838</v>
      </c>
      <c r="R388" s="801"/>
      <c r="S388" s="310">
        <f>L388/3</f>
        <v>50</v>
      </c>
      <c r="T388" s="832">
        <v>18396</v>
      </c>
      <c r="U388" s="25">
        <f t="shared" si="128"/>
        <v>919800</v>
      </c>
      <c r="V388" s="460"/>
      <c r="W388" s="800"/>
      <c r="X388" s="834"/>
      <c r="Y388" s="832"/>
      <c r="Z388" s="25">
        <f t="shared" si="129"/>
        <v>0</v>
      </c>
    </row>
    <row r="389" spans="1:26" ht="16.5" customHeight="1">
      <c r="A389" s="784">
        <f t="shared" si="123"/>
        <v>33</v>
      </c>
      <c r="B389" s="302" t="s">
        <v>1295</v>
      </c>
      <c r="C389" s="25">
        <f t="shared" si="124"/>
        <v>941058</v>
      </c>
      <c r="D389" s="785">
        <f t="shared" si="130"/>
        <v>62935.625227384597</v>
      </c>
      <c r="E389" s="785">
        <f t="shared" si="130"/>
        <v>19914.824405589916</v>
      </c>
      <c r="F389" s="785">
        <f t="shared" si="130"/>
        <v>42938.772016179078</v>
      </c>
      <c r="G389" s="785">
        <f t="shared" si="130"/>
        <v>3432.0885141352965</v>
      </c>
      <c r="H389" s="785">
        <f t="shared" si="130"/>
        <v>62490.637104885827</v>
      </c>
      <c r="I389" s="785">
        <f t="shared" si="130"/>
        <v>16049.362467096111</v>
      </c>
      <c r="J389" s="369">
        <f t="shared" si="130"/>
        <v>0</v>
      </c>
      <c r="K389" s="25">
        <f t="shared" si="125"/>
        <v>1148818.3097352709</v>
      </c>
      <c r="L389" s="785">
        <v>160</v>
      </c>
      <c r="M389" s="785">
        <f t="shared" si="127"/>
        <v>7180.114435845443</v>
      </c>
      <c r="N389" s="685">
        <v>10267</v>
      </c>
      <c r="O389" s="685"/>
      <c r="P389" s="189" t="s">
        <v>513</v>
      </c>
      <c r="Q389" s="800">
        <v>40838</v>
      </c>
      <c r="R389" s="801"/>
      <c r="S389" s="310">
        <v>54</v>
      </c>
      <c r="T389" s="832">
        <v>17427</v>
      </c>
      <c r="U389" s="25">
        <f t="shared" si="128"/>
        <v>941058</v>
      </c>
      <c r="V389" s="460"/>
      <c r="W389" s="800"/>
      <c r="X389" s="834"/>
      <c r="Y389" s="832"/>
      <c r="Z389" s="25">
        <f t="shared" si="129"/>
        <v>0</v>
      </c>
    </row>
    <row r="390" spans="1:26" ht="16.5" customHeight="1">
      <c r="A390" s="784">
        <f t="shared" si="123"/>
        <v>34</v>
      </c>
      <c r="B390" s="302" t="s">
        <v>1034</v>
      </c>
      <c r="C390" s="25">
        <f t="shared" si="124"/>
        <v>919800</v>
      </c>
      <c r="D390" s="785">
        <f t="shared" si="130"/>
        <v>39334.765767115372</v>
      </c>
      <c r="E390" s="785">
        <f t="shared" si="130"/>
        <v>12446.765253493697</v>
      </c>
      <c r="F390" s="785">
        <f t="shared" si="130"/>
        <v>26836.732510111928</v>
      </c>
      <c r="G390" s="785">
        <f t="shared" si="130"/>
        <v>2145.0553213345602</v>
      </c>
      <c r="H390" s="785">
        <f t="shared" si="130"/>
        <v>39056.648190553642</v>
      </c>
      <c r="I390" s="785">
        <f t="shared" si="130"/>
        <v>10030.85154193507</v>
      </c>
      <c r="J390" s="369">
        <f t="shared" si="130"/>
        <v>0</v>
      </c>
      <c r="K390" s="25">
        <f t="shared" si="125"/>
        <v>1049649.8185845441</v>
      </c>
      <c r="L390" s="785">
        <v>100</v>
      </c>
      <c r="M390" s="785">
        <f t="shared" si="127"/>
        <v>10496.498185845441</v>
      </c>
      <c r="N390" s="685">
        <v>13099</v>
      </c>
      <c r="O390" s="685"/>
      <c r="P390" s="40" t="s">
        <v>634</v>
      </c>
      <c r="Q390" s="800">
        <v>40838</v>
      </c>
      <c r="R390" s="801"/>
      <c r="S390" s="310">
        <v>50</v>
      </c>
      <c r="T390" s="832">
        <v>18396</v>
      </c>
      <c r="U390" s="25">
        <f t="shared" si="128"/>
        <v>919800</v>
      </c>
      <c r="V390" s="460"/>
      <c r="W390" s="800"/>
      <c r="X390" s="834"/>
      <c r="Y390" s="832"/>
      <c r="Z390" s="25">
        <f t="shared" si="129"/>
        <v>0</v>
      </c>
    </row>
    <row r="391" spans="1:26" ht="16.5" customHeight="1">
      <c r="A391" s="784">
        <f t="shared" si="123"/>
        <v>35</v>
      </c>
      <c r="B391" s="302" t="s">
        <v>772</v>
      </c>
      <c r="C391" s="25">
        <f t="shared" si="124"/>
        <v>1528960</v>
      </c>
      <c r="D391" s="785">
        <f t="shared" si="130"/>
        <v>66869.101804096135</v>
      </c>
      <c r="E391" s="785">
        <f t="shared" si="130"/>
        <v>21159.500930939284</v>
      </c>
      <c r="F391" s="785">
        <f t="shared" si="130"/>
        <v>45622.445267190276</v>
      </c>
      <c r="G391" s="785">
        <f t="shared" si="130"/>
        <v>3646.5940462687527</v>
      </c>
      <c r="H391" s="785">
        <f t="shared" si="130"/>
        <v>66396.301923941195</v>
      </c>
      <c r="I391" s="785">
        <f t="shared" si="130"/>
        <v>17052.447621289619</v>
      </c>
      <c r="J391" s="369">
        <f t="shared" si="130"/>
        <v>0</v>
      </c>
      <c r="K391" s="25">
        <f t="shared" si="125"/>
        <v>1749705.3915937254</v>
      </c>
      <c r="L391" s="785">
        <v>170</v>
      </c>
      <c r="M391" s="785">
        <f t="shared" si="127"/>
        <v>10292.384656433678</v>
      </c>
      <c r="N391" s="685">
        <v>12564</v>
      </c>
      <c r="O391" s="685"/>
      <c r="P391" s="189" t="s">
        <v>507</v>
      </c>
      <c r="Q391" s="800">
        <v>40838</v>
      </c>
      <c r="R391" s="801"/>
      <c r="S391" s="8">
        <v>80</v>
      </c>
      <c r="T391" s="298">
        <v>19112</v>
      </c>
      <c r="U391" s="25">
        <f t="shared" si="128"/>
        <v>1528960</v>
      </c>
      <c r="V391" s="460"/>
      <c r="W391" s="800"/>
      <c r="X391" s="834"/>
      <c r="Y391" s="832"/>
      <c r="Z391" s="25">
        <f t="shared" si="129"/>
        <v>0</v>
      </c>
    </row>
    <row r="392" spans="1:26" ht="16.5" customHeight="1">
      <c r="A392" s="784">
        <f t="shared" si="123"/>
        <v>36</v>
      </c>
      <c r="B392" s="302" t="s">
        <v>775</v>
      </c>
      <c r="C392" s="25">
        <f t="shared" si="124"/>
        <v>2124760</v>
      </c>
      <c r="D392" s="785">
        <f t="shared" si="130"/>
        <v>74736.054957519213</v>
      </c>
      <c r="E392" s="785">
        <f t="shared" si="130"/>
        <v>23648.853981638025</v>
      </c>
      <c r="F392" s="785">
        <f t="shared" si="130"/>
        <v>50989.791769212658</v>
      </c>
      <c r="G392" s="785">
        <f t="shared" si="130"/>
        <v>4075.6051105356646</v>
      </c>
      <c r="H392" s="785">
        <f t="shared" si="130"/>
        <v>74207.631562051916</v>
      </c>
      <c r="I392" s="785">
        <f t="shared" si="130"/>
        <v>19058.617929676631</v>
      </c>
      <c r="J392" s="369">
        <f t="shared" si="130"/>
        <v>0</v>
      </c>
      <c r="K392" s="25">
        <f t="shared" si="125"/>
        <v>2371475.555310634</v>
      </c>
      <c r="L392" s="785">
        <v>190</v>
      </c>
      <c r="M392" s="785">
        <f t="shared" si="127"/>
        <v>12481.4502911086</v>
      </c>
      <c r="N392" s="685">
        <v>16284</v>
      </c>
      <c r="O392" s="685"/>
      <c r="P392" s="189" t="s">
        <v>538</v>
      </c>
      <c r="Q392" s="800">
        <v>40838</v>
      </c>
      <c r="R392" s="801"/>
      <c r="S392" s="310">
        <v>110</v>
      </c>
      <c r="T392" s="832">
        <v>19316</v>
      </c>
      <c r="U392" s="25">
        <f t="shared" si="128"/>
        <v>2124760</v>
      </c>
      <c r="V392" s="460"/>
      <c r="W392" s="800"/>
      <c r="X392" s="834"/>
      <c r="Y392" s="832"/>
      <c r="Z392" s="25">
        <f t="shared" si="129"/>
        <v>0</v>
      </c>
    </row>
    <row r="393" spans="1:26" ht="16.5" customHeight="1">
      <c r="A393" s="784">
        <f t="shared" si="123"/>
        <v>37</v>
      </c>
      <c r="B393" s="302" t="s">
        <v>771</v>
      </c>
      <c r="C393" s="25">
        <f t="shared" si="124"/>
        <v>680652</v>
      </c>
      <c r="D393" s="785">
        <f t="shared" si="130"/>
        <v>43268.242343826911</v>
      </c>
      <c r="E393" s="785">
        <f t="shared" si="130"/>
        <v>13691.441778843067</v>
      </c>
      <c r="F393" s="785">
        <f t="shared" si="130"/>
        <v>29520.405761123118</v>
      </c>
      <c r="G393" s="785">
        <f t="shared" si="130"/>
        <v>2359.5608534680164</v>
      </c>
      <c r="H393" s="785">
        <f t="shared" si="130"/>
        <v>42962.313009609003</v>
      </c>
      <c r="I393" s="785">
        <f t="shared" si="130"/>
        <v>11033.936696128576</v>
      </c>
      <c r="J393" s="369">
        <f t="shared" si="130"/>
        <v>0</v>
      </c>
      <c r="K393" s="25">
        <f t="shared" si="125"/>
        <v>823486.90044299874</v>
      </c>
      <c r="L393" s="785">
        <v>110</v>
      </c>
      <c r="M393" s="785">
        <f t="shared" si="127"/>
        <v>7486.2445494818066</v>
      </c>
      <c r="N393" s="685">
        <v>10253</v>
      </c>
      <c r="O393" s="685"/>
      <c r="P393" s="40" t="s">
        <v>634</v>
      </c>
      <c r="Q393" s="800">
        <v>40838</v>
      </c>
      <c r="R393" s="801"/>
      <c r="S393" s="310">
        <v>37</v>
      </c>
      <c r="T393" s="832">
        <v>18396</v>
      </c>
      <c r="U393" s="25">
        <f t="shared" si="128"/>
        <v>680652</v>
      </c>
      <c r="V393" s="460"/>
      <c r="W393" s="800"/>
      <c r="X393" s="834"/>
      <c r="Y393" s="832"/>
      <c r="Z393" s="25">
        <f t="shared" si="129"/>
        <v>0</v>
      </c>
    </row>
    <row r="394" spans="1:26" ht="16.5" customHeight="1">
      <c r="A394" s="784">
        <f t="shared" si="123"/>
        <v>38</v>
      </c>
      <c r="B394" s="302" t="s">
        <v>1296</v>
      </c>
      <c r="C394" s="25">
        <f t="shared" si="124"/>
        <v>2399040</v>
      </c>
      <c r="D394" s="785">
        <f t="shared" si="130"/>
        <v>118004.29730134612</v>
      </c>
      <c r="E394" s="785">
        <f t="shared" si="130"/>
        <v>37340.295760481094</v>
      </c>
      <c r="F394" s="785">
        <f t="shared" si="130"/>
        <v>80510.197530335776</v>
      </c>
      <c r="G394" s="785">
        <f t="shared" si="130"/>
        <v>6435.1659640036814</v>
      </c>
      <c r="H394" s="785">
        <f t="shared" si="130"/>
        <v>117169.94457166092</v>
      </c>
      <c r="I394" s="785">
        <f t="shared" si="130"/>
        <v>30092.554625805209</v>
      </c>
      <c r="J394" s="369">
        <f t="shared" si="130"/>
        <v>0</v>
      </c>
      <c r="K394" s="25">
        <f t="shared" si="125"/>
        <v>2788591.4557536324</v>
      </c>
      <c r="L394" s="785">
        <v>300</v>
      </c>
      <c r="M394" s="785">
        <f t="shared" si="127"/>
        <v>9295.3048525121085</v>
      </c>
      <c r="N394" s="685">
        <v>18620</v>
      </c>
      <c r="O394" s="685"/>
      <c r="P394" s="40" t="s">
        <v>629</v>
      </c>
      <c r="Q394" s="800">
        <v>40838</v>
      </c>
      <c r="R394" s="801"/>
      <c r="S394" s="310">
        <v>90</v>
      </c>
      <c r="T394" s="832">
        <v>26656</v>
      </c>
      <c r="U394" s="25">
        <f t="shared" si="128"/>
        <v>2399040</v>
      </c>
      <c r="V394" s="460"/>
      <c r="W394" s="800"/>
      <c r="X394" s="834"/>
      <c r="Y394" s="832"/>
      <c r="Z394" s="25">
        <f t="shared" si="129"/>
        <v>0</v>
      </c>
    </row>
    <row r="395" spans="1:26" ht="16.5" customHeight="1">
      <c r="A395" s="784">
        <f t="shared" si="123"/>
        <v>39</v>
      </c>
      <c r="B395" s="302" t="s">
        <v>1265</v>
      </c>
      <c r="C395" s="25">
        <f t="shared" si="124"/>
        <v>1651608</v>
      </c>
      <c r="D395" s="785">
        <f t="shared" si="130"/>
        <v>221848.0789265307</v>
      </c>
      <c r="E395" s="785">
        <f t="shared" si="130"/>
        <v>70199.756029704455</v>
      </c>
      <c r="F395" s="785">
        <f t="shared" si="130"/>
        <v>151359.17135703127</v>
      </c>
      <c r="G395" s="785">
        <f t="shared" si="130"/>
        <v>12098.112012326921</v>
      </c>
      <c r="H395" s="785">
        <f t="shared" si="130"/>
        <v>220279.49579472255</v>
      </c>
      <c r="I395" s="785">
        <f t="shared" si="130"/>
        <v>56574.002696513795</v>
      </c>
      <c r="J395" s="369">
        <f t="shared" si="130"/>
        <v>0</v>
      </c>
      <c r="K395" s="25">
        <f t="shared" si="125"/>
        <v>2383965.616816829</v>
      </c>
      <c r="L395" s="785">
        <v>564</v>
      </c>
      <c r="M395" s="785">
        <f t="shared" si="127"/>
        <v>4226.8893915192002</v>
      </c>
      <c r="N395" s="685">
        <v>5080</v>
      </c>
      <c r="O395" s="685"/>
      <c r="P395" s="40" t="s">
        <v>638</v>
      </c>
      <c r="Q395" s="800">
        <v>40839</v>
      </c>
      <c r="R395" s="801"/>
      <c r="S395" s="310">
        <v>58</v>
      </c>
      <c r="T395" s="832">
        <v>28476</v>
      </c>
      <c r="U395" s="25">
        <f t="shared" si="128"/>
        <v>1651608</v>
      </c>
      <c r="V395" s="460"/>
      <c r="W395" s="800"/>
      <c r="X395" s="834"/>
      <c r="Y395" s="832"/>
      <c r="Z395" s="25">
        <f t="shared" si="129"/>
        <v>0</v>
      </c>
    </row>
    <row r="396" spans="1:26" ht="16.5" customHeight="1">
      <c r="A396" s="784">
        <f t="shared" si="123"/>
        <v>40</v>
      </c>
      <c r="B396" s="302" t="s">
        <v>1267</v>
      </c>
      <c r="C396" s="25">
        <f t="shared" si="124"/>
        <v>1441440</v>
      </c>
      <c r="D396" s="785">
        <f t="shared" si="130"/>
        <v>157732.41072613266</v>
      </c>
      <c r="E396" s="785">
        <f t="shared" si="130"/>
        <v>49911.52866650973</v>
      </c>
      <c r="F396" s="785">
        <f t="shared" si="130"/>
        <v>107615.29736554883</v>
      </c>
      <c r="G396" s="785">
        <f t="shared" si="130"/>
        <v>8601.6718385515869</v>
      </c>
      <c r="H396" s="785">
        <f t="shared" si="130"/>
        <v>156617.15924412009</v>
      </c>
      <c r="I396" s="785">
        <f t="shared" si="130"/>
        <v>40223.714683159633</v>
      </c>
      <c r="J396" s="369">
        <f t="shared" si="130"/>
        <v>0</v>
      </c>
      <c r="K396" s="25">
        <f t="shared" si="125"/>
        <v>1962140.7825240225</v>
      </c>
      <c r="L396" s="785">
        <v>401</v>
      </c>
      <c r="M396" s="785">
        <f t="shared" si="127"/>
        <v>4893.1191584140215</v>
      </c>
      <c r="N396" s="685">
        <v>4980</v>
      </c>
      <c r="O396" s="685"/>
      <c r="P396" s="302" t="s">
        <v>505</v>
      </c>
      <c r="Q396" s="800">
        <v>40839</v>
      </c>
      <c r="R396" s="801"/>
      <c r="S396" s="310">
        <v>52</v>
      </c>
      <c r="T396" s="832">
        <v>27720</v>
      </c>
      <c r="U396" s="25">
        <f t="shared" si="128"/>
        <v>1441440</v>
      </c>
      <c r="V396" s="460"/>
      <c r="W396" s="800"/>
      <c r="X396" s="834"/>
      <c r="Y396" s="832"/>
      <c r="Z396" s="25">
        <f t="shared" si="129"/>
        <v>0</v>
      </c>
    </row>
    <row r="397" spans="1:26" ht="16.5" customHeight="1">
      <c r="A397" s="784">
        <f t="shared" si="123"/>
        <v>41</v>
      </c>
      <c r="B397" s="302" t="s">
        <v>1268</v>
      </c>
      <c r="C397" s="25">
        <f t="shared" si="124"/>
        <v>1708200</v>
      </c>
      <c r="D397" s="785">
        <f t="shared" si="130"/>
        <v>199033.91478160379</v>
      </c>
      <c r="E397" s="785">
        <f t="shared" si="130"/>
        <v>62980.632182678106</v>
      </c>
      <c r="F397" s="785">
        <f t="shared" si="130"/>
        <v>135793.86650116634</v>
      </c>
      <c r="G397" s="785">
        <f t="shared" si="130"/>
        <v>10853.979925952875</v>
      </c>
      <c r="H397" s="785">
        <f t="shared" si="130"/>
        <v>197626.63984420142</v>
      </c>
      <c r="I397" s="785">
        <f t="shared" si="130"/>
        <v>50756.108802191455</v>
      </c>
      <c r="J397" s="369">
        <f t="shared" si="130"/>
        <v>0</v>
      </c>
      <c r="K397" s="25">
        <f t="shared" si="125"/>
        <v>2365244.142037794</v>
      </c>
      <c r="L397" s="785">
        <v>506</v>
      </c>
      <c r="M397" s="785">
        <f t="shared" si="127"/>
        <v>4674.3955376240992</v>
      </c>
      <c r="N397" s="685">
        <v>5180</v>
      </c>
      <c r="O397" s="685"/>
      <c r="P397" s="189" t="s">
        <v>568</v>
      </c>
      <c r="Q397" s="800">
        <v>40839</v>
      </c>
      <c r="R397" s="801"/>
      <c r="S397" s="310">
        <v>52</v>
      </c>
      <c r="T397" s="832">
        <v>32850</v>
      </c>
      <c r="U397" s="25">
        <f t="shared" si="128"/>
        <v>1708200</v>
      </c>
      <c r="V397" s="460"/>
      <c r="W397" s="800"/>
      <c r="X397" s="834"/>
      <c r="Y397" s="832"/>
      <c r="Z397" s="25">
        <f t="shared" si="129"/>
        <v>0</v>
      </c>
    </row>
    <row r="398" spans="1:26" ht="16.5" customHeight="1">
      <c r="A398" s="784">
        <f t="shared" si="123"/>
        <v>42</v>
      </c>
      <c r="B398" s="302" t="s">
        <v>1269</v>
      </c>
      <c r="C398" s="25">
        <f t="shared" si="124"/>
        <v>1559040</v>
      </c>
      <c r="D398" s="785">
        <f t="shared" si="130"/>
        <v>118397.64495901727</v>
      </c>
      <c r="E398" s="785">
        <f t="shared" si="130"/>
        <v>37464.76341301603</v>
      </c>
      <c r="F398" s="785">
        <f t="shared" si="130"/>
        <v>80778.564855436896</v>
      </c>
      <c r="G398" s="785">
        <f t="shared" si="130"/>
        <v>6456.6165172170267</v>
      </c>
      <c r="H398" s="785">
        <f t="shared" si="130"/>
        <v>117560.51105356646</v>
      </c>
      <c r="I398" s="785">
        <f t="shared" si="130"/>
        <v>30192.86314122456</v>
      </c>
      <c r="J398" s="369">
        <f t="shared" si="130"/>
        <v>0</v>
      </c>
      <c r="K398" s="25">
        <f t="shared" si="125"/>
        <v>1949889.9639394779</v>
      </c>
      <c r="L398" s="785">
        <v>301</v>
      </c>
      <c r="M398" s="785">
        <f t="shared" si="127"/>
        <v>6478.0397473072353</v>
      </c>
      <c r="N398" s="685">
        <v>6740</v>
      </c>
      <c r="O398" s="685"/>
      <c r="P398" s="189" t="s">
        <v>544</v>
      </c>
      <c r="Q398" s="800">
        <v>40839</v>
      </c>
      <c r="R398" s="801"/>
      <c r="S398" s="310">
        <v>58</v>
      </c>
      <c r="T398" s="832">
        <v>26880</v>
      </c>
      <c r="U398" s="25">
        <f t="shared" si="128"/>
        <v>1559040</v>
      </c>
      <c r="V398" s="460"/>
      <c r="W398" s="800"/>
      <c r="X398" s="834"/>
      <c r="Y398" s="832"/>
      <c r="Z398" s="25">
        <f t="shared" si="129"/>
        <v>0</v>
      </c>
    </row>
    <row r="399" spans="1:26" ht="16.5" customHeight="1">
      <c r="A399" s="784">
        <f t="shared" si="123"/>
        <v>43</v>
      </c>
      <c r="B399" s="302" t="s">
        <v>1270</v>
      </c>
      <c r="C399" s="25">
        <f t="shared" si="124"/>
        <v>787864</v>
      </c>
      <c r="D399" s="785">
        <f t="shared" si="130"/>
        <v>121151.07856271535</v>
      </c>
      <c r="E399" s="785">
        <f t="shared" si="130"/>
        <v>38336.036980760589</v>
      </c>
      <c r="F399" s="785">
        <f t="shared" si="130"/>
        <v>82657.13613114474</v>
      </c>
      <c r="G399" s="785">
        <f t="shared" si="130"/>
        <v>6606.7703897104457</v>
      </c>
      <c r="H399" s="785">
        <f t="shared" si="130"/>
        <v>120294.47642690522</v>
      </c>
      <c r="I399" s="785">
        <f t="shared" si="130"/>
        <v>30895.022749160016</v>
      </c>
      <c r="J399" s="369">
        <f t="shared" si="130"/>
        <v>0</v>
      </c>
      <c r="K399" s="25">
        <f t="shared" si="125"/>
        <v>1187803.5212403962</v>
      </c>
      <c r="L399" s="785">
        <v>308</v>
      </c>
      <c r="M399" s="785">
        <f t="shared" si="127"/>
        <v>3856.5049390921954</v>
      </c>
      <c r="N399" s="685">
        <v>4980</v>
      </c>
      <c r="O399" s="685"/>
      <c r="P399" s="189" t="s">
        <v>659</v>
      </c>
      <c r="Q399" s="800">
        <v>40839</v>
      </c>
      <c r="R399" s="801"/>
      <c r="S399" s="310">
        <v>22</v>
      </c>
      <c r="T399" s="832">
        <v>35812</v>
      </c>
      <c r="U399" s="25">
        <f t="shared" si="128"/>
        <v>787864</v>
      </c>
      <c r="V399" s="460"/>
      <c r="W399" s="800"/>
      <c r="X399" s="834"/>
      <c r="Y399" s="832"/>
      <c r="Z399" s="25">
        <f t="shared" si="129"/>
        <v>0</v>
      </c>
    </row>
    <row r="400" spans="1:26" ht="16.5" customHeight="1">
      <c r="A400" s="784">
        <f t="shared" si="123"/>
        <v>44</v>
      </c>
      <c r="B400" s="302" t="s">
        <v>1271</v>
      </c>
      <c r="C400" s="25">
        <f t="shared" si="124"/>
        <v>2283008</v>
      </c>
      <c r="D400" s="785">
        <f t="shared" si="130"/>
        <v>199033.91478160379</v>
      </c>
      <c r="E400" s="785">
        <f t="shared" si="130"/>
        <v>62980.632182678106</v>
      </c>
      <c r="F400" s="785">
        <f t="shared" si="130"/>
        <v>135793.86650116634</v>
      </c>
      <c r="G400" s="785">
        <f t="shared" si="130"/>
        <v>10853.979925952875</v>
      </c>
      <c r="H400" s="785">
        <f t="shared" si="130"/>
        <v>197626.63984420142</v>
      </c>
      <c r="I400" s="785">
        <f t="shared" si="130"/>
        <v>50756.108802191455</v>
      </c>
      <c r="J400" s="369">
        <f t="shared" si="130"/>
        <v>0</v>
      </c>
      <c r="K400" s="25">
        <f t="shared" si="125"/>
        <v>2940052.1420377945</v>
      </c>
      <c r="L400" s="785">
        <v>506</v>
      </c>
      <c r="M400" s="785">
        <f t="shared" si="127"/>
        <v>5810.3797273474202</v>
      </c>
      <c r="N400" s="685">
        <v>6680</v>
      </c>
      <c r="O400" s="685"/>
      <c r="P400" s="189" t="s">
        <v>518</v>
      </c>
      <c r="Q400" s="800">
        <v>40839</v>
      </c>
      <c r="R400" s="801"/>
      <c r="S400" s="310">
        <v>52</v>
      </c>
      <c r="T400" s="832">
        <v>43904</v>
      </c>
      <c r="U400" s="25">
        <f t="shared" si="128"/>
        <v>2283008</v>
      </c>
      <c r="V400" s="460"/>
      <c r="W400" s="800"/>
      <c r="X400" s="834"/>
      <c r="Y400" s="832"/>
      <c r="Z400" s="25">
        <f t="shared" si="129"/>
        <v>0</v>
      </c>
    </row>
    <row r="401" spans="1:26" ht="16.5" customHeight="1">
      <c r="A401" s="784">
        <f t="shared" si="123"/>
        <v>45</v>
      </c>
      <c r="B401" s="302" t="s">
        <v>1272</v>
      </c>
      <c r="C401" s="25">
        <f t="shared" si="124"/>
        <v>1215739</v>
      </c>
      <c r="D401" s="785">
        <f t="shared" si="130"/>
        <v>155765.67243777687</v>
      </c>
      <c r="E401" s="785">
        <f t="shared" si="130"/>
        <v>49289.19040383504</v>
      </c>
      <c r="F401" s="785">
        <f t="shared" si="130"/>
        <v>106273.46074004323</v>
      </c>
      <c r="G401" s="785">
        <f t="shared" si="130"/>
        <v>8494.4190724848595</v>
      </c>
      <c r="H401" s="785">
        <f t="shared" si="130"/>
        <v>154664.32683459242</v>
      </c>
      <c r="I401" s="785">
        <f t="shared" si="130"/>
        <v>39722.172106062877</v>
      </c>
      <c r="J401" s="369">
        <f t="shared" si="130"/>
        <v>0</v>
      </c>
      <c r="K401" s="25">
        <f t="shared" si="125"/>
        <v>1729947.2415947956</v>
      </c>
      <c r="L401" s="785">
        <v>396</v>
      </c>
      <c r="M401" s="785">
        <f t="shared" si="127"/>
        <v>4368.5536403908982</v>
      </c>
      <c r="N401" s="685">
        <v>4400</v>
      </c>
      <c r="O401" s="685"/>
      <c r="P401" s="189" t="s">
        <v>587</v>
      </c>
      <c r="Q401" s="800">
        <v>40839</v>
      </c>
      <c r="R401" s="801"/>
      <c r="S401" s="310">
        <v>43</v>
      </c>
      <c r="T401" s="832">
        <v>28273</v>
      </c>
      <c r="U401" s="25">
        <f t="shared" si="128"/>
        <v>1215739</v>
      </c>
      <c r="V401" s="460"/>
      <c r="W401" s="800"/>
      <c r="X401" s="834"/>
      <c r="Y401" s="832"/>
      <c r="Z401" s="25">
        <f t="shared" si="129"/>
        <v>0</v>
      </c>
    </row>
    <row r="402" spans="1:26" ht="16.5" customHeight="1">
      <c r="A402" s="784">
        <f t="shared" si="123"/>
        <v>46</v>
      </c>
      <c r="B402" s="302" t="s">
        <v>1273</v>
      </c>
      <c r="C402" s="25">
        <f t="shared" si="124"/>
        <v>243250</v>
      </c>
      <c r="D402" s="785">
        <f t="shared" si="130"/>
        <v>110137.34414792305</v>
      </c>
      <c r="E402" s="785">
        <f t="shared" si="130"/>
        <v>34850.94270978235</v>
      </c>
      <c r="F402" s="785">
        <f t="shared" si="130"/>
        <v>75142.851028313395</v>
      </c>
      <c r="G402" s="785">
        <f t="shared" si="130"/>
        <v>6006.154899736769</v>
      </c>
      <c r="H402" s="785">
        <f t="shared" si="130"/>
        <v>109358.6149335502</v>
      </c>
      <c r="I402" s="785">
        <f t="shared" si="130"/>
        <v>28086.384317418197</v>
      </c>
      <c r="J402" s="369">
        <f t="shared" si="130"/>
        <v>0</v>
      </c>
      <c r="K402" s="25">
        <f t="shared" si="125"/>
        <v>606831.29203672393</v>
      </c>
      <c r="L402" s="785">
        <v>280</v>
      </c>
      <c r="M402" s="785">
        <f t="shared" si="127"/>
        <v>2167.2546144168714</v>
      </c>
      <c r="N402" s="685">
        <v>2700</v>
      </c>
      <c r="O402" s="685"/>
      <c r="P402" s="189" t="s">
        <v>425</v>
      </c>
      <c r="Q402" s="800">
        <v>40839</v>
      </c>
      <c r="R402" s="801"/>
      <c r="S402" s="310">
        <v>10</v>
      </c>
      <c r="T402" s="832">
        <v>24325</v>
      </c>
      <c r="U402" s="25">
        <f t="shared" si="128"/>
        <v>243250</v>
      </c>
      <c r="V402" s="460"/>
      <c r="W402" s="800"/>
      <c r="X402" s="834"/>
      <c r="Y402" s="832"/>
      <c r="Z402" s="25">
        <f t="shared" si="129"/>
        <v>0</v>
      </c>
    </row>
    <row r="403" spans="1:26" ht="16.5" customHeight="1">
      <c r="A403" s="784">
        <f t="shared" si="123"/>
        <v>47</v>
      </c>
      <c r="B403" s="302" t="s">
        <v>1274</v>
      </c>
      <c r="C403" s="25">
        <f t="shared" si="124"/>
        <v>3173916</v>
      </c>
      <c r="D403" s="785">
        <f t="shared" si="130"/>
        <v>64902.36351574037</v>
      </c>
      <c r="E403" s="785">
        <f t="shared" si="130"/>
        <v>20537.162668264602</v>
      </c>
      <c r="F403" s="785">
        <f t="shared" si="130"/>
        <v>44280.608641684681</v>
      </c>
      <c r="G403" s="785">
        <f t="shared" si="130"/>
        <v>3539.3412802020248</v>
      </c>
      <c r="H403" s="785">
        <f t="shared" si="130"/>
        <v>64443.469514413511</v>
      </c>
      <c r="I403" s="785">
        <f t="shared" si="130"/>
        <v>16550.905044192867</v>
      </c>
      <c r="J403" s="369">
        <f t="shared" si="130"/>
        <v>0</v>
      </c>
      <c r="K403" s="25">
        <f t="shared" si="125"/>
        <v>3388168.8506644978</v>
      </c>
      <c r="L403" s="785">
        <v>165</v>
      </c>
      <c r="M403" s="785">
        <f t="shared" si="127"/>
        <v>20534.356670693927</v>
      </c>
      <c r="N403" s="685">
        <v>25900</v>
      </c>
      <c r="O403" s="685"/>
      <c r="P403" s="40" t="s">
        <v>611</v>
      </c>
      <c r="Q403" s="800">
        <v>40840</v>
      </c>
      <c r="R403" s="801"/>
      <c r="S403" s="310">
        <v>86</v>
      </c>
      <c r="T403" s="832">
        <v>36906</v>
      </c>
      <c r="U403" s="25">
        <f t="shared" si="128"/>
        <v>3173916</v>
      </c>
      <c r="V403" s="460"/>
      <c r="W403" s="800"/>
      <c r="X403" s="834"/>
      <c r="Y403" s="832"/>
      <c r="Z403" s="25">
        <f t="shared" si="129"/>
        <v>0</v>
      </c>
    </row>
    <row r="404" spans="1:26" ht="16.5" customHeight="1">
      <c r="A404" s="784">
        <f t="shared" si="123"/>
        <v>48</v>
      </c>
      <c r="B404" s="302" t="s">
        <v>1276</v>
      </c>
      <c r="C404" s="25">
        <f t="shared" si="124"/>
        <v>7697228</v>
      </c>
      <c r="D404" s="785">
        <f t="shared" si="130"/>
        <v>224601.51253022879</v>
      </c>
      <c r="E404" s="785">
        <f t="shared" si="130"/>
        <v>71071.029597449015</v>
      </c>
      <c r="F404" s="785">
        <f t="shared" si="130"/>
        <v>153237.7426327391</v>
      </c>
      <c r="G404" s="785">
        <f t="shared" si="130"/>
        <v>12248.265884820339</v>
      </c>
      <c r="H404" s="785">
        <f t="shared" si="130"/>
        <v>223013.4611680613</v>
      </c>
      <c r="I404" s="785">
        <f t="shared" si="130"/>
        <v>57276.162304449252</v>
      </c>
      <c r="J404" s="369">
        <f t="shared" si="130"/>
        <v>0</v>
      </c>
      <c r="K404" s="25">
        <f t="shared" si="125"/>
        <v>8438675.1741177477</v>
      </c>
      <c r="L404" s="785">
        <v>571</v>
      </c>
      <c r="M404" s="785">
        <f t="shared" si="127"/>
        <v>14778.765628927755</v>
      </c>
      <c r="N404" s="685">
        <v>21300</v>
      </c>
      <c r="O404" s="685"/>
      <c r="P404" s="40" t="s">
        <v>616</v>
      </c>
      <c r="Q404" s="800">
        <v>40840</v>
      </c>
      <c r="R404" s="801"/>
      <c r="S404" s="310">
        <v>326</v>
      </c>
      <c r="T404" s="832">
        <v>23611.12883435583</v>
      </c>
      <c r="U404" s="25">
        <f t="shared" si="128"/>
        <v>7697228</v>
      </c>
      <c r="V404" s="460"/>
      <c r="W404" s="800"/>
      <c r="X404" s="834"/>
      <c r="Y404" s="832"/>
      <c r="Z404" s="25">
        <f t="shared" si="129"/>
        <v>0</v>
      </c>
    </row>
    <row r="405" spans="1:26" ht="16.5" customHeight="1">
      <c r="A405" s="784">
        <f t="shared" si="123"/>
        <v>49</v>
      </c>
      <c r="B405" s="302" t="s">
        <v>1289</v>
      </c>
      <c r="C405" s="25">
        <f t="shared" si="124"/>
        <v>1237650</v>
      </c>
      <c r="D405" s="785">
        <f t="shared" si="130"/>
        <v>59002.148650673058</v>
      </c>
      <c r="E405" s="785">
        <f t="shared" si="130"/>
        <v>18670.147880240547</v>
      </c>
      <c r="F405" s="785">
        <f t="shared" si="130"/>
        <v>40255.098765167888</v>
      </c>
      <c r="G405" s="785">
        <f t="shared" si="130"/>
        <v>3217.5829820018407</v>
      </c>
      <c r="H405" s="785">
        <f t="shared" si="130"/>
        <v>58584.972285830459</v>
      </c>
      <c r="I405" s="785">
        <f t="shared" si="130"/>
        <v>15046.277312902605</v>
      </c>
      <c r="J405" s="369">
        <f t="shared" si="130"/>
        <v>0</v>
      </c>
      <c r="K405" s="25">
        <f t="shared" si="125"/>
        <v>1432425.2278768162</v>
      </c>
      <c r="L405" s="785">
        <v>150</v>
      </c>
      <c r="M405" s="785">
        <f t="shared" si="127"/>
        <v>9549.5015191787752</v>
      </c>
      <c r="N405" s="685">
        <v>10397</v>
      </c>
      <c r="O405" s="685"/>
      <c r="P405" s="40" t="s">
        <v>672</v>
      </c>
      <c r="Q405" s="800">
        <v>40855</v>
      </c>
      <c r="R405" s="801"/>
      <c r="S405" s="310">
        <f>L405/2</f>
        <v>75</v>
      </c>
      <c r="T405" s="832">
        <v>16502</v>
      </c>
      <c r="U405" s="25">
        <f t="shared" si="128"/>
        <v>1237650</v>
      </c>
      <c r="V405" s="460"/>
      <c r="W405" s="800"/>
      <c r="X405" s="834"/>
      <c r="Y405" s="832"/>
      <c r="Z405" s="25">
        <f t="shared" si="129"/>
        <v>0</v>
      </c>
    </row>
    <row r="406" spans="1:26" ht="16.5" customHeight="1">
      <c r="A406" s="784">
        <f t="shared" si="123"/>
        <v>50</v>
      </c>
      <c r="B406" s="302" t="s">
        <v>1290</v>
      </c>
      <c r="C406" s="25">
        <f t="shared" si="124"/>
        <v>284460</v>
      </c>
      <c r="D406" s="785">
        <f t="shared" si="130"/>
        <v>12980.472703148074</v>
      </c>
      <c r="E406" s="785">
        <f t="shared" si="130"/>
        <v>4107.43253365292</v>
      </c>
      <c r="F406" s="785">
        <f t="shared" si="130"/>
        <v>8856.1217283369351</v>
      </c>
      <c r="G406" s="785">
        <f t="shared" si="130"/>
        <v>707.86825604040496</v>
      </c>
      <c r="H406" s="785">
        <f t="shared" si="130"/>
        <v>12888.693902882702</v>
      </c>
      <c r="I406" s="785">
        <f t="shared" si="130"/>
        <v>3310.1810088385732</v>
      </c>
      <c r="J406" s="369">
        <f t="shared" si="130"/>
        <v>0</v>
      </c>
      <c r="K406" s="25">
        <f t="shared" si="125"/>
        <v>327309.77013289963</v>
      </c>
      <c r="L406" s="785">
        <v>33</v>
      </c>
      <c r="M406" s="785">
        <f t="shared" si="127"/>
        <v>9918.4778828151411</v>
      </c>
      <c r="N406" s="685">
        <v>12869</v>
      </c>
      <c r="O406" s="685"/>
      <c r="P406" s="189" t="s">
        <v>530</v>
      </c>
      <c r="Q406" s="800">
        <v>40855</v>
      </c>
      <c r="R406" s="801"/>
      <c r="S406" s="310">
        <f>L406</f>
        <v>33</v>
      </c>
      <c r="T406" s="832">
        <v>8620</v>
      </c>
      <c r="U406" s="25">
        <f t="shared" si="128"/>
        <v>284460</v>
      </c>
      <c r="V406" s="460"/>
      <c r="W406" s="800"/>
      <c r="X406" s="834"/>
      <c r="Y406" s="832"/>
      <c r="Z406" s="25">
        <f t="shared" si="129"/>
        <v>0</v>
      </c>
    </row>
    <row r="407" spans="1:26" ht="16.5" customHeight="1">
      <c r="A407" s="784">
        <f t="shared" si="123"/>
        <v>51</v>
      </c>
      <c r="B407" s="302" t="s">
        <v>1283</v>
      </c>
      <c r="C407" s="25">
        <f t="shared" si="124"/>
        <v>227568</v>
      </c>
      <c r="D407" s="785">
        <f t="shared" si="130"/>
        <v>8653.6484687653829</v>
      </c>
      <c r="E407" s="785">
        <f t="shared" si="130"/>
        <v>2738.2883557686137</v>
      </c>
      <c r="F407" s="785">
        <f t="shared" si="130"/>
        <v>5904.081152224624</v>
      </c>
      <c r="G407" s="785">
        <f t="shared" si="130"/>
        <v>471.91217069360329</v>
      </c>
      <c r="H407" s="785">
        <f t="shared" si="130"/>
        <v>8592.4626019218013</v>
      </c>
      <c r="I407" s="785">
        <f t="shared" si="130"/>
        <v>2206.7873392257152</v>
      </c>
      <c r="J407" s="369">
        <f t="shared" si="130"/>
        <v>0</v>
      </c>
      <c r="K407" s="25">
        <f t="shared" si="125"/>
        <v>256134.18008859971</v>
      </c>
      <c r="L407" s="785">
        <v>22</v>
      </c>
      <c r="M407" s="785">
        <f t="shared" si="127"/>
        <v>11642.462731299987</v>
      </c>
      <c r="N407" s="685">
        <v>14450</v>
      </c>
      <c r="O407" s="685"/>
      <c r="P407" s="189" t="s">
        <v>601</v>
      </c>
      <c r="Q407" s="800">
        <v>40855</v>
      </c>
      <c r="R407" s="801"/>
      <c r="S407" s="310">
        <f>L407</f>
        <v>22</v>
      </c>
      <c r="T407" s="832">
        <v>10344</v>
      </c>
      <c r="U407" s="25">
        <f t="shared" si="128"/>
        <v>227568</v>
      </c>
      <c r="V407" s="460"/>
      <c r="W407" s="800"/>
      <c r="X407" s="834"/>
      <c r="Y407" s="832"/>
      <c r="Z407" s="25">
        <f t="shared" si="129"/>
        <v>0</v>
      </c>
    </row>
    <row r="408" spans="1:26" ht="16.5" customHeight="1">
      <c r="A408" s="784">
        <f t="shared" si="123"/>
        <v>52</v>
      </c>
      <c r="B408" s="302" t="s">
        <v>1282</v>
      </c>
      <c r="C408" s="25">
        <f t="shared" si="124"/>
        <v>379280</v>
      </c>
      <c r="D408" s="785">
        <f t="shared" si="130"/>
        <v>17307.296937530766</v>
      </c>
      <c r="E408" s="785">
        <f t="shared" si="130"/>
        <v>5476.5767115372273</v>
      </c>
      <c r="F408" s="785">
        <f t="shared" si="130"/>
        <v>11808.162304449248</v>
      </c>
      <c r="G408" s="785">
        <f t="shared" si="130"/>
        <v>943.82434138720657</v>
      </c>
      <c r="H408" s="785">
        <f t="shared" si="130"/>
        <v>17184.925203843603</v>
      </c>
      <c r="I408" s="785">
        <f t="shared" si="130"/>
        <v>4413.5746784514304</v>
      </c>
      <c r="J408" s="369">
        <f t="shared" si="130"/>
        <v>0</v>
      </c>
      <c r="K408" s="25">
        <f t="shared" si="125"/>
        <v>436413.36017719941</v>
      </c>
      <c r="L408" s="785">
        <v>44</v>
      </c>
      <c r="M408" s="785">
        <f t="shared" si="127"/>
        <v>9918.4854585727135</v>
      </c>
      <c r="N408" s="685">
        <v>11420</v>
      </c>
      <c r="O408" s="685"/>
      <c r="P408" s="189" t="s">
        <v>530</v>
      </c>
      <c r="Q408" s="800">
        <v>40855</v>
      </c>
      <c r="R408" s="801"/>
      <c r="S408" s="310">
        <f>L408</f>
        <v>44</v>
      </c>
      <c r="T408" s="832">
        <v>8620</v>
      </c>
      <c r="U408" s="25">
        <f t="shared" si="128"/>
        <v>379280</v>
      </c>
      <c r="V408" s="460"/>
      <c r="W408" s="800"/>
      <c r="X408" s="834"/>
      <c r="Y408" s="832"/>
      <c r="Z408" s="25">
        <f t="shared" si="129"/>
        <v>0</v>
      </c>
    </row>
    <row r="409" spans="1:26" ht="16.5" customHeight="1">
      <c r="A409" s="784">
        <f t="shared" si="123"/>
        <v>53</v>
      </c>
      <c r="B409" s="302" t="s">
        <v>1284</v>
      </c>
      <c r="C409" s="25">
        <f t="shared" si="124"/>
        <v>314309</v>
      </c>
      <c r="D409" s="785">
        <f t="shared" si="130"/>
        <v>12193.777387805765</v>
      </c>
      <c r="E409" s="785">
        <f t="shared" si="130"/>
        <v>3858.4972285830463</v>
      </c>
      <c r="F409" s="785">
        <f t="shared" si="130"/>
        <v>8319.3870781346977</v>
      </c>
      <c r="G409" s="785">
        <f t="shared" ref="D409:J445" si="131">IF($L$599&lt;&gt;0,G$599/$L$599*$L409,0)</f>
        <v>664.96714961371367</v>
      </c>
      <c r="H409" s="785">
        <f t="shared" si="131"/>
        <v>12107.560939071629</v>
      </c>
      <c r="I409" s="785">
        <f t="shared" si="131"/>
        <v>3109.5639779998714</v>
      </c>
      <c r="J409" s="369">
        <f t="shared" si="131"/>
        <v>0</v>
      </c>
      <c r="K409" s="25">
        <f t="shared" si="125"/>
        <v>354561.75376120867</v>
      </c>
      <c r="L409" s="785">
        <v>31</v>
      </c>
      <c r="M409" s="785">
        <f t="shared" si="127"/>
        <v>11437.475927780924</v>
      </c>
      <c r="N409" s="685">
        <v>13881</v>
      </c>
      <c r="O409" s="685"/>
      <c r="P409" s="40" t="s">
        <v>665</v>
      </c>
      <c r="Q409" s="800">
        <v>40855</v>
      </c>
      <c r="R409" s="801"/>
      <c r="S409" s="310">
        <f>L409/2</f>
        <v>15.5</v>
      </c>
      <c r="T409" s="832">
        <v>20278</v>
      </c>
      <c r="U409" s="25">
        <f t="shared" si="128"/>
        <v>314309</v>
      </c>
      <c r="V409" s="460"/>
      <c r="W409" s="800"/>
      <c r="X409" s="834"/>
      <c r="Y409" s="832"/>
      <c r="Z409" s="25">
        <f t="shared" si="129"/>
        <v>0</v>
      </c>
    </row>
    <row r="410" spans="1:26" ht="16.5" customHeight="1">
      <c r="A410" s="784">
        <f t="shared" si="123"/>
        <v>54</v>
      </c>
      <c r="B410" s="302" t="s">
        <v>1288</v>
      </c>
      <c r="C410" s="25">
        <f t="shared" si="124"/>
        <v>451360</v>
      </c>
      <c r="D410" s="785">
        <f t="shared" si="131"/>
        <v>12587.12504547692</v>
      </c>
      <c r="E410" s="785">
        <f t="shared" si="131"/>
        <v>3982.9648811179832</v>
      </c>
      <c r="F410" s="785">
        <f t="shared" si="131"/>
        <v>8587.7544032358164</v>
      </c>
      <c r="G410" s="785">
        <f t="shared" si="131"/>
        <v>686.41770282705932</v>
      </c>
      <c r="H410" s="785">
        <f t="shared" si="131"/>
        <v>12498.127420977165</v>
      </c>
      <c r="I410" s="785">
        <f t="shared" si="131"/>
        <v>3209.8724934192223</v>
      </c>
      <c r="J410" s="369">
        <f t="shared" si="131"/>
        <v>0</v>
      </c>
      <c r="K410" s="25">
        <f t="shared" si="125"/>
        <v>492911.26194705418</v>
      </c>
      <c r="L410" s="785">
        <v>32</v>
      </c>
      <c r="M410" s="785">
        <f t="shared" si="127"/>
        <v>15403.476935845443</v>
      </c>
      <c r="N410" s="685">
        <v>17372</v>
      </c>
      <c r="O410" s="685"/>
      <c r="P410" s="40" t="s">
        <v>674</v>
      </c>
      <c r="Q410" s="800">
        <v>40855</v>
      </c>
      <c r="R410" s="801"/>
      <c r="S410" s="310">
        <f>L410</f>
        <v>32</v>
      </c>
      <c r="T410" s="832">
        <v>14105</v>
      </c>
      <c r="U410" s="25">
        <f t="shared" si="128"/>
        <v>451360</v>
      </c>
      <c r="V410" s="460"/>
      <c r="W410" s="800"/>
      <c r="X410" s="834"/>
      <c r="Y410" s="832"/>
      <c r="Z410" s="25">
        <f t="shared" si="129"/>
        <v>0</v>
      </c>
    </row>
    <row r="411" spans="1:26" ht="16.5" customHeight="1">
      <c r="A411" s="784">
        <f t="shared" si="123"/>
        <v>55</v>
      </c>
      <c r="B411" s="302" t="s">
        <v>1285</v>
      </c>
      <c r="C411" s="25">
        <f t="shared" si="124"/>
        <v>17368</v>
      </c>
      <c r="D411" s="785">
        <f t="shared" si="131"/>
        <v>393.34765767115374</v>
      </c>
      <c r="E411" s="785">
        <f t="shared" si="131"/>
        <v>124.46765253493697</v>
      </c>
      <c r="F411" s="785">
        <f t="shared" si="131"/>
        <v>268.36732510111926</v>
      </c>
      <c r="G411" s="785">
        <f t="shared" si="131"/>
        <v>21.450553213345604</v>
      </c>
      <c r="H411" s="785">
        <f t="shared" si="131"/>
        <v>390.56648190553642</v>
      </c>
      <c r="I411" s="785">
        <f t="shared" si="131"/>
        <v>100.3085154193507</v>
      </c>
      <c r="J411" s="369">
        <f t="shared" si="131"/>
        <v>0</v>
      </c>
      <c r="K411" s="25">
        <f t="shared" si="125"/>
        <v>18665.508185845447</v>
      </c>
      <c r="L411" s="785">
        <v>1</v>
      </c>
      <c r="M411" s="785">
        <f t="shared" si="127"/>
        <v>18665.508185845447</v>
      </c>
      <c r="N411" s="685">
        <v>20981</v>
      </c>
      <c r="O411" s="685"/>
      <c r="P411" s="189" t="s">
        <v>576</v>
      </c>
      <c r="Q411" s="800">
        <v>40855</v>
      </c>
      <c r="R411" s="801"/>
      <c r="S411" s="310">
        <f>L411</f>
        <v>1</v>
      </c>
      <c r="T411" s="832">
        <v>17368</v>
      </c>
      <c r="U411" s="25">
        <f t="shared" si="128"/>
        <v>17368</v>
      </c>
      <c r="V411" s="460"/>
      <c r="W411" s="800"/>
      <c r="X411" s="834"/>
      <c r="Y411" s="832"/>
      <c r="Z411" s="25">
        <f t="shared" si="129"/>
        <v>0</v>
      </c>
    </row>
    <row r="412" spans="1:26" ht="16.5" customHeight="1">
      <c r="A412" s="784">
        <f t="shared" si="123"/>
        <v>56</v>
      </c>
      <c r="B412" s="302" t="s">
        <v>1291</v>
      </c>
      <c r="C412" s="25">
        <f t="shared" si="124"/>
        <v>367920</v>
      </c>
      <c r="D412" s="785">
        <f t="shared" si="131"/>
        <v>10620.38675712115</v>
      </c>
      <c r="E412" s="785">
        <f t="shared" si="131"/>
        <v>3360.6266184432984</v>
      </c>
      <c r="F412" s="785">
        <f t="shared" si="131"/>
        <v>7245.9177777302202</v>
      </c>
      <c r="G412" s="785">
        <f t="shared" si="131"/>
        <v>579.16493676033133</v>
      </c>
      <c r="H412" s="785">
        <f t="shared" si="131"/>
        <v>10545.295011449483</v>
      </c>
      <c r="I412" s="785">
        <f t="shared" si="131"/>
        <v>2708.3299163224688</v>
      </c>
      <c r="J412" s="369">
        <f t="shared" si="131"/>
        <v>0</v>
      </c>
      <c r="K412" s="25">
        <f t="shared" si="125"/>
        <v>402978.72101782693</v>
      </c>
      <c r="L412" s="785">
        <v>27</v>
      </c>
      <c r="M412" s="785">
        <f t="shared" si="127"/>
        <v>14925.137815475071</v>
      </c>
      <c r="N412" s="685">
        <v>16832</v>
      </c>
      <c r="O412" s="685"/>
      <c r="P412" s="189" t="s">
        <v>424</v>
      </c>
      <c r="Q412" s="800">
        <v>40855</v>
      </c>
      <c r="R412" s="801"/>
      <c r="S412" s="310">
        <v>10</v>
      </c>
      <c r="T412" s="832">
        <v>36792</v>
      </c>
      <c r="U412" s="25">
        <f t="shared" si="128"/>
        <v>367920</v>
      </c>
      <c r="V412" s="460"/>
      <c r="W412" s="800"/>
      <c r="X412" s="834"/>
      <c r="Y412" s="832"/>
      <c r="Z412" s="25">
        <f t="shared" si="129"/>
        <v>0</v>
      </c>
    </row>
    <row r="413" spans="1:26" ht="16.5" customHeight="1">
      <c r="A413" s="784">
        <f t="shared" si="123"/>
        <v>57</v>
      </c>
      <c r="B413" s="302" t="s">
        <v>771</v>
      </c>
      <c r="C413" s="25">
        <f t="shared" si="124"/>
        <v>74239</v>
      </c>
      <c r="D413" s="785">
        <f t="shared" si="131"/>
        <v>4326.8242343826914</v>
      </c>
      <c r="E413" s="785">
        <f t="shared" si="131"/>
        <v>1369.1441778843068</v>
      </c>
      <c r="F413" s="785">
        <f t="shared" si="131"/>
        <v>2952.040576112312</v>
      </c>
      <c r="G413" s="785">
        <f t="shared" si="131"/>
        <v>235.95608534680164</v>
      </c>
      <c r="H413" s="785">
        <f t="shared" si="131"/>
        <v>4296.2313009609006</v>
      </c>
      <c r="I413" s="785">
        <f t="shared" si="131"/>
        <v>1103.3936696128576</v>
      </c>
      <c r="J413" s="369">
        <f t="shared" si="131"/>
        <v>0</v>
      </c>
      <c r="K413" s="25">
        <f t="shared" si="125"/>
        <v>88521.590044299854</v>
      </c>
      <c r="L413" s="785">
        <v>11</v>
      </c>
      <c r="M413" s="785">
        <f t="shared" si="127"/>
        <v>8047.4172767545324</v>
      </c>
      <c r="N413" s="685">
        <v>10253</v>
      </c>
      <c r="O413" s="685"/>
      <c r="P413" s="189" t="s">
        <v>524</v>
      </c>
      <c r="Q413" s="800">
        <v>40855</v>
      </c>
      <c r="R413" s="801"/>
      <c r="S413" s="310">
        <f>L413/2</f>
        <v>5.5</v>
      </c>
      <c r="T413" s="832">
        <v>13498</v>
      </c>
      <c r="U413" s="25">
        <f t="shared" si="128"/>
        <v>74239</v>
      </c>
      <c r="V413" s="460"/>
      <c r="W413" s="800"/>
      <c r="X413" s="834"/>
      <c r="Y413" s="832"/>
      <c r="Z413" s="25">
        <f t="shared" si="129"/>
        <v>0</v>
      </c>
    </row>
    <row r="414" spans="1:26" ht="16.5" customHeight="1">
      <c r="A414" s="784">
        <f t="shared" si="123"/>
        <v>58</v>
      </c>
      <c r="B414" s="302" t="s">
        <v>769</v>
      </c>
      <c r="C414" s="25">
        <f t="shared" si="124"/>
        <v>2359786</v>
      </c>
      <c r="D414" s="785">
        <f t="shared" si="131"/>
        <v>112104.08243627881</v>
      </c>
      <c r="E414" s="785">
        <f t="shared" si="131"/>
        <v>35473.28097245704</v>
      </c>
      <c r="F414" s="785">
        <f t="shared" si="131"/>
        <v>76484.687653818997</v>
      </c>
      <c r="G414" s="785">
        <f t="shared" si="131"/>
        <v>6113.4076658034974</v>
      </c>
      <c r="H414" s="785">
        <f t="shared" si="131"/>
        <v>111311.44734307787</v>
      </c>
      <c r="I414" s="785">
        <f t="shared" si="131"/>
        <v>28587.926894514949</v>
      </c>
      <c r="J414" s="369">
        <f t="shared" si="131"/>
        <v>0</v>
      </c>
      <c r="K414" s="25">
        <f t="shared" si="125"/>
        <v>2729859.8329659514</v>
      </c>
      <c r="L414" s="785">
        <v>285</v>
      </c>
      <c r="M414" s="785">
        <f t="shared" si="127"/>
        <v>9578.4555542664966</v>
      </c>
      <c r="N414" s="685">
        <v>10595</v>
      </c>
      <c r="O414" s="685"/>
      <c r="P414" s="40" t="s">
        <v>672</v>
      </c>
      <c r="Q414" s="800">
        <v>40855</v>
      </c>
      <c r="R414" s="801"/>
      <c r="S414" s="310">
        <v>143</v>
      </c>
      <c r="T414" s="832">
        <v>16502</v>
      </c>
      <c r="U414" s="25">
        <f t="shared" si="128"/>
        <v>2359786</v>
      </c>
      <c r="V414" s="460"/>
      <c r="W414" s="800"/>
      <c r="X414" s="834"/>
      <c r="Y414" s="832"/>
      <c r="Z414" s="25">
        <f t="shared" si="129"/>
        <v>0</v>
      </c>
    </row>
    <row r="415" spans="1:26" ht="16.5" customHeight="1">
      <c r="A415" s="784">
        <f t="shared" si="123"/>
        <v>59</v>
      </c>
      <c r="B415" s="302" t="s">
        <v>778</v>
      </c>
      <c r="C415" s="25">
        <f t="shared" si="124"/>
        <v>27594</v>
      </c>
      <c r="D415" s="785">
        <f t="shared" si="131"/>
        <v>1180.0429730134613</v>
      </c>
      <c r="E415" s="785">
        <f t="shared" si="131"/>
        <v>373.40295760481092</v>
      </c>
      <c r="F415" s="785">
        <f t="shared" si="131"/>
        <v>805.10197530335779</v>
      </c>
      <c r="G415" s="785">
        <f t="shared" si="131"/>
        <v>64.351659640036814</v>
      </c>
      <c r="H415" s="785">
        <f t="shared" si="131"/>
        <v>1171.6994457166093</v>
      </c>
      <c r="I415" s="785">
        <f t="shared" si="131"/>
        <v>300.92554625805212</v>
      </c>
      <c r="J415" s="369">
        <f t="shared" si="131"/>
        <v>0</v>
      </c>
      <c r="K415" s="25">
        <f t="shared" si="125"/>
        <v>31488.524557536326</v>
      </c>
      <c r="L415" s="785">
        <v>3</v>
      </c>
      <c r="M415" s="785">
        <f t="shared" si="127"/>
        <v>10496.174852512109</v>
      </c>
      <c r="N415" s="685">
        <v>12179</v>
      </c>
      <c r="O415" s="685"/>
      <c r="P415" s="40" t="s">
        <v>634</v>
      </c>
      <c r="Q415" s="800">
        <v>40855</v>
      </c>
      <c r="R415" s="801"/>
      <c r="S415" s="310">
        <f>L415/2</f>
        <v>1.5</v>
      </c>
      <c r="T415" s="832">
        <v>18396</v>
      </c>
      <c r="U415" s="25">
        <f t="shared" si="128"/>
        <v>27594</v>
      </c>
      <c r="V415" s="460"/>
      <c r="W415" s="800"/>
      <c r="X415" s="834"/>
      <c r="Y415" s="832"/>
      <c r="Z415" s="25">
        <f t="shared" si="129"/>
        <v>0</v>
      </c>
    </row>
    <row r="416" spans="1:26" ht="16.5" customHeight="1">
      <c r="A416" s="784">
        <f t="shared" si="123"/>
        <v>60</v>
      </c>
      <c r="B416" s="302" t="s">
        <v>773</v>
      </c>
      <c r="C416" s="25">
        <f t="shared" si="124"/>
        <v>486989</v>
      </c>
      <c r="D416" s="785">
        <f t="shared" si="131"/>
        <v>14553.863333832689</v>
      </c>
      <c r="E416" s="785">
        <f t="shared" si="131"/>
        <v>4605.3031437926684</v>
      </c>
      <c r="F416" s="785">
        <f t="shared" si="131"/>
        <v>9929.5910287414135</v>
      </c>
      <c r="G416" s="785">
        <f t="shared" si="131"/>
        <v>793.6704688937873</v>
      </c>
      <c r="H416" s="785">
        <f t="shared" si="131"/>
        <v>14450.959830504848</v>
      </c>
      <c r="I416" s="785">
        <f t="shared" si="131"/>
        <v>3711.4150705159759</v>
      </c>
      <c r="J416" s="369">
        <f t="shared" si="131"/>
        <v>0</v>
      </c>
      <c r="K416" s="25">
        <f t="shared" si="125"/>
        <v>535032.80287628132</v>
      </c>
      <c r="L416" s="785">
        <v>37</v>
      </c>
      <c r="M416" s="785">
        <f t="shared" si="127"/>
        <v>14460.34602368328</v>
      </c>
      <c r="N416" s="685">
        <v>15618</v>
      </c>
      <c r="O416" s="685"/>
      <c r="P416" s="460" t="s">
        <v>666</v>
      </c>
      <c r="Q416" s="800">
        <v>40855</v>
      </c>
      <c r="R416" s="801"/>
      <c r="S416" s="310">
        <v>19</v>
      </c>
      <c r="T416" s="832">
        <v>25631</v>
      </c>
      <c r="U416" s="25">
        <f t="shared" si="128"/>
        <v>486989</v>
      </c>
      <c r="V416" s="460"/>
      <c r="W416" s="800"/>
      <c r="X416" s="834"/>
      <c r="Y416" s="832"/>
      <c r="Z416" s="25">
        <f t="shared" si="129"/>
        <v>0</v>
      </c>
    </row>
    <row r="417" spans="1:26" ht="16.5" customHeight="1">
      <c r="A417" s="784">
        <f t="shared" si="123"/>
        <v>61</v>
      </c>
      <c r="B417" s="302" t="s">
        <v>1286</v>
      </c>
      <c r="C417" s="25">
        <f t="shared" si="124"/>
        <v>488390</v>
      </c>
      <c r="D417" s="785">
        <f t="shared" si="131"/>
        <v>13767.168018490382</v>
      </c>
      <c r="E417" s="785">
        <f t="shared" si="131"/>
        <v>4356.3678387227937</v>
      </c>
      <c r="F417" s="785">
        <f t="shared" si="131"/>
        <v>9392.8563785391743</v>
      </c>
      <c r="G417" s="785">
        <f t="shared" si="131"/>
        <v>750.76936246709613</v>
      </c>
      <c r="H417" s="785">
        <f t="shared" si="131"/>
        <v>13669.826866693775</v>
      </c>
      <c r="I417" s="785">
        <f t="shared" si="131"/>
        <v>3510.7980396772746</v>
      </c>
      <c r="J417" s="369">
        <f t="shared" si="131"/>
        <v>0</v>
      </c>
      <c r="K417" s="25">
        <f t="shared" si="125"/>
        <v>533836.78650459053</v>
      </c>
      <c r="L417" s="785">
        <v>35</v>
      </c>
      <c r="M417" s="785">
        <f t="shared" si="127"/>
        <v>15252.479614416872</v>
      </c>
      <c r="N417" s="685">
        <v>16534</v>
      </c>
      <c r="O417" s="685"/>
      <c r="P417" s="189" t="s">
        <v>572</v>
      </c>
      <c r="Q417" s="800">
        <v>40855</v>
      </c>
      <c r="R417" s="801"/>
      <c r="S417" s="310">
        <f>L417</f>
        <v>35</v>
      </c>
      <c r="T417" s="832">
        <v>13954</v>
      </c>
      <c r="U417" s="25">
        <f t="shared" si="128"/>
        <v>488390</v>
      </c>
      <c r="V417" s="460"/>
      <c r="W417" s="800"/>
      <c r="X417" s="834"/>
      <c r="Y417" s="832"/>
      <c r="Z417" s="25">
        <f t="shared" si="129"/>
        <v>0</v>
      </c>
    </row>
    <row r="418" spans="1:26" ht="16.5" customHeight="1">
      <c r="A418" s="784">
        <f t="shared" si="123"/>
        <v>62</v>
      </c>
      <c r="B418" s="302" t="s">
        <v>1278</v>
      </c>
      <c r="C418" s="25">
        <f t="shared" si="124"/>
        <v>563882</v>
      </c>
      <c r="D418" s="785">
        <f t="shared" si="131"/>
        <v>17307.296937530766</v>
      </c>
      <c r="E418" s="785">
        <f t="shared" si="131"/>
        <v>5476.5767115372273</v>
      </c>
      <c r="F418" s="785">
        <f t="shared" si="131"/>
        <v>11808.162304449248</v>
      </c>
      <c r="G418" s="785">
        <f t="shared" si="131"/>
        <v>943.82434138720657</v>
      </c>
      <c r="H418" s="785">
        <f t="shared" si="131"/>
        <v>17184.925203843603</v>
      </c>
      <c r="I418" s="785">
        <f t="shared" si="131"/>
        <v>4413.5746784514304</v>
      </c>
      <c r="J418" s="369">
        <f t="shared" si="131"/>
        <v>0</v>
      </c>
      <c r="K418" s="25">
        <f t="shared" si="125"/>
        <v>621015.36017719947</v>
      </c>
      <c r="L418" s="785">
        <v>44</v>
      </c>
      <c r="M418" s="785">
        <f t="shared" si="127"/>
        <v>14113.985458572715</v>
      </c>
      <c r="N418" s="685">
        <v>14880</v>
      </c>
      <c r="O418" s="685"/>
      <c r="P418" s="40" t="s">
        <v>666</v>
      </c>
      <c r="Q418" s="800">
        <v>40855</v>
      </c>
      <c r="R418" s="801"/>
      <c r="S418" s="310">
        <f>L418/2</f>
        <v>22</v>
      </c>
      <c r="T418" s="832">
        <v>25631</v>
      </c>
      <c r="U418" s="25">
        <f t="shared" si="128"/>
        <v>563882</v>
      </c>
      <c r="V418" s="460"/>
      <c r="W418" s="800"/>
      <c r="X418" s="834"/>
      <c r="Y418" s="832"/>
      <c r="Z418" s="25">
        <f t="shared" si="129"/>
        <v>0</v>
      </c>
    </row>
    <row r="419" spans="1:26" ht="16.5" customHeight="1">
      <c r="A419" s="784">
        <f t="shared" si="123"/>
        <v>63</v>
      </c>
      <c r="B419" s="302" t="s">
        <v>1313</v>
      </c>
      <c r="C419" s="25">
        <f t="shared" si="124"/>
        <v>169648</v>
      </c>
      <c r="D419" s="785">
        <f t="shared" si="131"/>
        <v>6293.5625227384598</v>
      </c>
      <c r="E419" s="785">
        <f t="shared" si="131"/>
        <v>1991.4824405589916</v>
      </c>
      <c r="F419" s="785">
        <f t="shared" si="131"/>
        <v>4293.8772016179082</v>
      </c>
      <c r="G419" s="785">
        <f t="shared" si="131"/>
        <v>343.20885141352966</v>
      </c>
      <c r="H419" s="785">
        <f t="shared" si="131"/>
        <v>6249.0637104885827</v>
      </c>
      <c r="I419" s="785">
        <f t="shared" si="131"/>
        <v>1604.9362467096112</v>
      </c>
      <c r="J419" s="369">
        <f t="shared" si="131"/>
        <v>0</v>
      </c>
      <c r="K419" s="25">
        <f t="shared" si="125"/>
        <v>190423.13097352709</v>
      </c>
      <c r="L419" s="785">
        <v>16</v>
      </c>
      <c r="M419" s="785">
        <f t="shared" si="127"/>
        <v>11901.445685845443</v>
      </c>
      <c r="N419" s="685">
        <v>12847</v>
      </c>
      <c r="O419" s="685"/>
      <c r="P419" s="189" t="s">
        <v>542</v>
      </c>
      <c r="Q419" s="800">
        <v>40855</v>
      </c>
      <c r="R419" s="801"/>
      <c r="S419" s="310">
        <v>16</v>
      </c>
      <c r="T419" s="832">
        <v>10603</v>
      </c>
      <c r="U419" s="25">
        <f t="shared" si="128"/>
        <v>169648</v>
      </c>
      <c r="V419" s="460"/>
      <c r="W419" s="800"/>
      <c r="X419" s="834"/>
      <c r="Y419" s="832"/>
      <c r="Z419" s="25">
        <f t="shared" si="129"/>
        <v>0</v>
      </c>
    </row>
    <row r="420" spans="1:26" ht="16.5" customHeight="1">
      <c r="A420" s="784">
        <f t="shared" si="123"/>
        <v>64</v>
      </c>
      <c r="B420" s="302" t="s">
        <v>1287</v>
      </c>
      <c r="C420" s="25">
        <f t="shared" si="124"/>
        <v>23688</v>
      </c>
      <c r="D420" s="785">
        <f t="shared" si="131"/>
        <v>786.69531534230748</v>
      </c>
      <c r="E420" s="785">
        <f t="shared" si="131"/>
        <v>248.93530506987395</v>
      </c>
      <c r="F420" s="785">
        <f t="shared" si="131"/>
        <v>536.73465020223853</v>
      </c>
      <c r="G420" s="785">
        <f t="shared" si="131"/>
        <v>42.901106426691207</v>
      </c>
      <c r="H420" s="785">
        <f t="shared" si="131"/>
        <v>781.13296381107284</v>
      </c>
      <c r="I420" s="785">
        <f t="shared" si="131"/>
        <v>200.6170308387014</v>
      </c>
      <c r="J420" s="369">
        <f t="shared" si="131"/>
        <v>0</v>
      </c>
      <c r="K420" s="25">
        <f t="shared" si="125"/>
        <v>26284.016371690886</v>
      </c>
      <c r="L420" s="785">
        <v>2</v>
      </c>
      <c r="M420" s="785">
        <f t="shared" si="127"/>
        <v>13142.008185845443</v>
      </c>
      <c r="N420" s="685">
        <v>15669</v>
      </c>
      <c r="O420" s="685"/>
      <c r="P420" s="40" t="s">
        <v>647</v>
      </c>
      <c r="Q420" s="800">
        <v>40855</v>
      </c>
      <c r="R420" s="801"/>
      <c r="S420" s="310">
        <f>L420/2</f>
        <v>1</v>
      </c>
      <c r="T420" s="832">
        <v>23688</v>
      </c>
      <c r="U420" s="25">
        <f t="shared" si="128"/>
        <v>23688</v>
      </c>
      <c r="V420" s="460"/>
      <c r="W420" s="800"/>
      <c r="X420" s="834"/>
      <c r="Y420" s="832"/>
      <c r="Z420" s="25">
        <f t="shared" si="129"/>
        <v>0</v>
      </c>
    </row>
    <row r="421" spans="1:26" ht="16.5" customHeight="1">
      <c r="A421" s="784">
        <f t="shared" si="123"/>
        <v>65</v>
      </c>
      <c r="B421" s="302" t="s">
        <v>1278</v>
      </c>
      <c r="C421" s="25">
        <f t="shared" si="124"/>
        <v>167030</v>
      </c>
      <c r="D421" s="785">
        <f t="shared" si="131"/>
        <v>7866.9531534230746</v>
      </c>
      <c r="E421" s="785">
        <f t="shared" si="131"/>
        <v>2489.3530506987395</v>
      </c>
      <c r="F421" s="785">
        <f t="shared" si="131"/>
        <v>5367.3465020223848</v>
      </c>
      <c r="G421" s="785">
        <f t="shared" si="131"/>
        <v>429.01106426691206</v>
      </c>
      <c r="H421" s="785">
        <f t="shared" si="131"/>
        <v>7811.3296381107284</v>
      </c>
      <c r="I421" s="785">
        <f t="shared" si="131"/>
        <v>2006.1703083870138</v>
      </c>
      <c r="J421" s="369">
        <f t="shared" si="131"/>
        <v>0</v>
      </c>
      <c r="K421" s="25">
        <f t="shared" si="125"/>
        <v>192999.16371690884</v>
      </c>
      <c r="L421" s="785">
        <v>20</v>
      </c>
      <c r="M421" s="785">
        <f t="shared" si="127"/>
        <v>9649.9581858454421</v>
      </c>
      <c r="N421" s="685">
        <v>14880</v>
      </c>
      <c r="O421" s="685"/>
      <c r="P421" s="40" t="s">
        <v>650</v>
      </c>
      <c r="Q421" s="800">
        <v>40857</v>
      </c>
      <c r="R421" s="801"/>
      <c r="S421" s="310">
        <v>10</v>
      </c>
      <c r="T421" s="832">
        <v>16703</v>
      </c>
      <c r="U421" s="25">
        <f t="shared" si="128"/>
        <v>167030</v>
      </c>
      <c r="V421" s="460"/>
      <c r="W421" s="800"/>
      <c r="X421" s="834"/>
      <c r="Y421" s="832"/>
      <c r="Z421" s="25">
        <f t="shared" si="129"/>
        <v>0</v>
      </c>
    </row>
    <row r="422" spans="1:26" ht="16.5" customHeight="1">
      <c r="A422" s="784">
        <f t="shared" ref="A422:A485" si="132">IF(B422&lt;&gt;"",A421+1,"")</f>
        <v>66</v>
      </c>
      <c r="B422" s="302" t="s">
        <v>1279</v>
      </c>
      <c r="C422" s="25">
        <f t="shared" ref="C422:C485" si="133">U422</f>
        <v>1632592</v>
      </c>
      <c r="D422" s="785">
        <f t="shared" si="131"/>
        <v>36974.679821088452</v>
      </c>
      <c r="E422" s="785">
        <f t="shared" si="131"/>
        <v>11699.959338284076</v>
      </c>
      <c r="F422" s="785">
        <f t="shared" si="131"/>
        <v>25226.528559505212</v>
      </c>
      <c r="G422" s="785">
        <f t="shared" si="131"/>
        <v>2016.3520020544868</v>
      </c>
      <c r="H422" s="785">
        <f t="shared" si="131"/>
        <v>36713.24929912042</v>
      </c>
      <c r="I422" s="785">
        <f t="shared" si="131"/>
        <v>9429.0004494189652</v>
      </c>
      <c r="J422" s="369">
        <f t="shared" si="131"/>
        <v>0</v>
      </c>
      <c r="K422" s="25">
        <f t="shared" ref="K422:K485" si="134">SUM(C422:I422)-1</f>
        <v>1754650.7694694716</v>
      </c>
      <c r="L422" s="785">
        <v>94</v>
      </c>
      <c r="M422" s="785">
        <f t="shared" si="127"/>
        <v>18666.497547547569</v>
      </c>
      <c r="N422" s="685">
        <v>20820</v>
      </c>
      <c r="O422" s="685"/>
      <c r="P422" s="189" t="s">
        <v>576</v>
      </c>
      <c r="Q422" s="800">
        <v>40857</v>
      </c>
      <c r="R422" s="801"/>
      <c r="S422" s="310">
        <f>L422</f>
        <v>94</v>
      </c>
      <c r="T422" s="832">
        <v>17368</v>
      </c>
      <c r="U422" s="25">
        <f t="shared" si="128"/>
        <v>1632592</v>
      </c>
      <c r="V422" s="460"/>
      <c r="W422" s="800"/>
      <c r="X422" s="834"/>
      <c r="Y422" s="832"/>
      <c r="Z422" s="25">
        <f t="shared" si="129"/>
        <v>0</v>
      </c>
    </row>
    <row r="423" spans="1:26" ht="16.5" customHeight="1">
      <c r="A423" s="784">
        <f t="shared" si="132"/>
        <v>67</v>
      </c>
      <c r="B423" s="302" t="s">
        <v>1280</v>
      </c>
      <c r="C423" s="25">
        <f t="shared" si="133"/>
        <v>1176124</v>
      </c>
      <c r="D423" s="785">
        <f t="shared" si="131"/>
        <v>22814.164144926915</v>
      </c>
      <c r="E423" s="785">
        <f t="shared" si="131"/>
        <v>7219.1238470263443</v>
      </c>
      <c r="F423" s="785">
        <f t="shared" si="131"/>
        <v>15565.304855864917</v>
      </c>
      <c r="G423" s="785">
        <f t="shared" si="131"/>
        <v>1244.132086374045</v>
      </c>
      <c r="H423" s="785">
        <f t="shared" si="131"/>
        <v>22652.855950521112</v>
      </c>
      <c r="I423" s="785">
        <f t="shared" si="131"/>
        <v>5817.8938943223402</v>
      </c>
      <c r="J423" s="369">
        <f t="shared" si="131"/>
        <v>0</v>
      </c>
      <c r="K423" s="25">
        <f t="shared" si="134"/>
        <v>1251436.4747790359</v>
      </c>
      <c r="L423" s="785">
        <v>58</v>
      </c>
      <c r="M423" s="785">
        <f t="shared" ref="M423:M486" si="135">IF(L423&lt;&gt;"",K423/L423,"")</f>
        <v>21576.490944466135</v>
      </c>
      <c r="N423" s="685">
        <v>26203</v>
      </c>
      <c r="O423" s="685"/>
      <c r="P423" s="40" t="s">
        <v>665</v>
      </c>
      <c r="Q423" s="800">
        <v>40857</v>
      </c>
      <c r="R423" s="801"/>
      <c r="S423" s="310">
        <f>L423</f>
        <v>58</v>
      </c>
      <c r="T423" s="832">
        <v>20278</v>
      </c>
      <c r="U423" s="25">
        <f t="shared" ref="U423:U486" si="136">ROUND(S423*T423,0)</f>
        <v>1176124</v>
      </c>
      <c r="V423" s="460"/>
      <c r="W423" s="800"/>
      <c r="X423" s="834"/>
      <c r="Y423" s="832"/>
      <c r="Z423" s="25">
        <f t="shared" ref="Z423:Z486" si="137">ROUND(X423*Y423,0)</f>
        <v>0</v>
      </c>
    </row>
    <row r="424" spans="1:26" ht="16.5" customHeight="1">
      <c r="A424" s="784">
        <f t="shared" si="132"/>
        <v>68</v>
      </c>
      <c r="B424" s="302" t="s">
        <v>1281</v>
      </c>
      <c r="C424" s="25">
        <f t="shared" si="133"/>
        <v>34480</v>
      </c>
      <c r="D424" s="785">
        <f t="shared" si="131"/>
        <v>1573.390630684615</v>
      </c>
      <c r="E424" s="785">
        <f t="shared" si="131"/>
        <v>497.8706101397479</v>
      </c>
      <c r="F424" s="785">
        <f t="shared" si="131"/>
        <v>1073.4693004044771</v>
      </c>
      <c r="G424" s="785">
        <f t="shared" si="131"/>
        <v>85.802212853382414</v>
      </c>
      <c r="H424" s="785">
        <f t="shared" si="131"/>
        <v>1562.2659276221457</v>
      </c>
      <c r="I424" s="785">
        <f t="shared" si="131"/>
        <v>401.23406167740279</v>
      </c>
      <c r="J424" s="369">
        <f t="shared" si="131"/>
        <v>0</v>
      </c>
      <c r="K424" s="25">
        <f t="shared" si="134"/>
        <v>39673.032743381773</v>
      </c>
      <c r="L424" s="785">
        <v>4</v>
      </c>
      <c r="M424" s="785">
        <f t="shared" si="135"/>
        <v>9918.2581858454432</v>
      </c>
      <c r="N424" s="685">
        <v>11355</v>
      </c>
      <c r="O424" s="685"/>
      <c r="P424" s="189" t="s">
        <v>530</v>
      </c>
      <c r="Q424" s="800">
        <v>40857</v>
      </c>
      <c r="R424" s="801"/>
      <c r="S424" s="310">
        <f>L424</f>
        <v>4</v>
      </c>
      <c r="T424" s="832">
        <v>8620</v>
      </c>
      <c r="U424" s="25">
        <f t="shared" si="136"/>
        <v>34480</v>
      </c>
      <c r="V424" s="460"/>
      <c r="W424" s="800"/>
      <c r="X424" s="834"/>
      <c r="Y424" s="832"/>
      <c r="Z424" s="25">
        <f t="shared" si="137"/>
        <v>0</v>
      </c>
    </row>
    <row r="425" spans="1:26" ht="16.5" customHeight="1">
      <c r="A425" s="784">
        <f t="shared" si="132"/>
        <v>69</v>
      </c>
      <c r="B425" s="302" t="s">
        <v>1282</v>
      </c>
      <c r="C425" s="25">
        <f t="shared" si="133"/>
        <v>8620</v>
      </c>
      <c r="D425" s="785">
        <f t="shared" si="131"/>
        <v>393.34765767115374</v>
      </c>
      <c r="E425" s="785">
        <f t="shared" si="131"/>
        <v>124.46765253493697</v>
      </c>
      <c r="F425" s="785">
        <f t="shared" si="131"/>
        <v>268.36732510111926</v>
      </c>
      <c r="G425" s="785">
        <f t="shared" si="131"/>
        <v>21.450553213345604</v>
      </c>
      <c r="H425" s="785">
        <f t="shared" si="131"/>
        <v>390.56648190553642</v>
      </c>
      <c r="I425" s="785">
        <f t="shared" si="131"/>
        <v>100.3085154193507</v>
      </c>
      <c r="J425" s="369">
        <f t="shared" si="131"/>
        <v>0</v>
      </c>
      <c r="K425" s="25">
        <f t="shared" si="134"/>
        <v>9917.5081858454432</v>
      </c>
      <c r="L425" s="785">
        <v>1</v>
      </c>
      <c r="M425" s="785">
        <f t="shared" si="135"/>
        <v>9917.5081858454432</v>
      </c>
      <c r="N425" s="685">
        <v>11420</v>
      </c>
      <c r="O425" s="685"/>
      <c r="P425" s="189" t="s">
        <v>530</v>
      </c>
      <c r="Q425" s="800">
        <v>40857</v>
      </c>
      <c r="R425" s="801"/>
      <c r="S425" s="310">
        <f>L425</f>
        <v>1</v>
      </c>
      <c r="T425" s="832">
        <v>8620</v>
      </c>
      <c r="U425" s="25">
        <f t="shared" si="136"/>
        <v>8620</v>
      </c>
      <c r="V425" s="460"/>
      <c r="W425" s="800"/>
      <c r="X425" s="834"/>
      <c r="Y425" s="832"/>
      <c r="Z425" s="25">
        <f t="shared" si="137"/>
        <v>0</v>
      </c>
    </row>
    <row r="426" spans="1:26" ht="16.5" customHeight="1">
      <c r="A426" s="784">
        <f t="shared" si="132"/>
        <v>70</v>
      </c>
      <c r="B426" s="302" t="s">
        <v>1283</v>
      </c>
      <c r="C426" s="25">
        <f t="shared" si="133"/>
        <v>61488</v>
      </c>
      <c r="D426" s="785">
        <f t="shared" si="131"/>
        <v>1966.7382883557686</v>
      </c>
      <c r="E426" s="785">
        <f t="shared" si="131"/>
        <v>622.33826267468487</v>
      </c>
      <c r="F426" s="785">
        <f t="shared" si="131"/>
        <v>1341.8366255055962</v>
      </c>
      <c r="G426" s="785">
        <f t="shared" si="131"/>
        <v>107.25276606672801</v>
      </c>
      <c r="H426" s="785">
        <f t="shared" si="131"/>
        <v>1952.8324095276821</v>
      </c>
      <c r="I426" s="785">
        <f t="shared" si="131"/>
        <v>501.54257709675346</v>
      </c>
      <c r="J426" s="369">
        <f t="shared" si="131"/>
        <v>0</v>
      </c>
      <c r="K426" s="25">
        <f t="shared" si="134"/>
        <v>67979.540929227209</v>
      </c>
      <c r="L426" s="785">
        <v>5</v>
      </c>
      <c r="M426" s="785">
        <f t="shared" si="135"/>
        <v>13595.908185845441</v>
      </c>
      <c r="N426" s="685">
        <v>14450</v>
      </c>
      <c r="O426" s="685"/>
      <c r="P426" s="189" t="s">
        <v>661</v>
      </c>
      <c r="Q426" s="800">
        <v>40857</v>
      </c>
      <c r="R426" s="801"/>
      <c r="S426" s="310">
        <f>L426/2</f>
        <v>2.5</v>
      </c>
      <c r="T426" s="832">
        <v>24595</v>
      </c>
      <c r="U426" s="25">
        <f t="shared" si="136"/>
        <v>61488</v>
      </c>
      <c r="V426" s="460"/>
      <c r="W426" s="800"/>
      <c r="X426" s="834"/>
      <c r="Y426" s="832"/>
      <c r="Z426" s="25">
        <f t="shared" si="137"/>
        <v>0</v>
      </c>
    </row>
    <row r="427" spans="1:26" ht="16.5" customHeight="1">
      <c r="A427" s="784">
        <f t="shared" si="132"/>
        <v>71</v>
      </c>
      <c r="B427" s="302" t="s">
        <v>1284</v>
      </c>
      <c r="C427" s="25">
        <f t="shared" si="133"/>
        <v>811120</v>
      </c>
      <c r="D427" s="785">
        <f t="shared" si="131"/>
        <v>31467.812613692298</v>
      </c>
      <c r="E427" s="785">
        <f t="shared" si="131"/>
        <v>9957.4122027949579</v>
      </c>
      <c r="F427" s="785">
        <f t="shared" si="131"/>
        <v>21469.386008089539</v>
      </c>
      <c r="G427" s="785">
        <f t="shared" si="131"/>
        <v>1716.0442570676482</v>
      </c>
      <c r="H427" s="785">
        <f t="shared" si="131"/>
        <v>31245.318552442914</v>
      </c>
      <c r="I427" s="785">
        <f t="shared" si="131"/>
        <v>8024.6812335480554</v>
      </c>
      <c r="J427" s="369">
        <f t="shared" si="131"/>
        <v>0</v>
      </c>
      <c r="K427" s="25">
        <f t="shared" si="134"/>
        <v>914999.65486763534</v>
      </c>
      <c r="L427" s="785">
        <v>80</v>
      </c>
      <c r="M427" s="785">
        <f t="shared" si="135"/>
        <v>11437.495685845442</v>
      </c>
      <c r="N427" s="685">
        <v>13881</v>
      </c>
      <c r="O427" s="685"/>
      <c r="P427" s="40" t="s">
        <v>665</v>
      </c>
      <c r="Q427" s="800">
        <v>40857</v>
      </c>
      <c r="R427" s="801"/>
      <c r="S427" s="310">
        <f>L427/2</f>
        <v>40</v>
      </c>
      <c r="T427" s="832">
        <v>20278</v>
      </c>
      <c r="U427" s="25">
        <f t="shared" si="136"/>
        <v>811120</v>
      </c>
      <c r="V427" s="460"/>
      <c r="W427" s="800"/>
      <c r="X427" s="834"/>
      <c r="Y427" s="832"/>
      <c r="Z427" s="25">
        <f t="shared" si="137"/>
        <v>0</v>
      </c>
    </row>
    <row r="428" spans="1:26" ht="16.5" customHeight="1">
      <c r="A428" s="784">
        <f t="shared" si="132"/>
        <v>72</v>
      </c>
      <c r="B428" s="302" t="s">
        <v>1285</v>
      </c>
      <c r="C428" s="25">
        <f t="shared" si="133"/>
        <v>69472</v>
      </c>
      <c r="D428" s="785">
        <f t="shared" si="131"/>
        <v>1573.390630684615</v>
      </c>
      <c r="E428" s="785">
        <f t="shared" si="131"/>
        <v>497.8706101397479</v>
      </c>
      <c r="F428" s="785">
        <f t="shared" si="131"/>
        <v>1073.4693004044771</v>
      </c>
      <c r="G428" s="785">
        <f t="shared" si="131"/>
        <v>85.802212853382414</v>
      </c>
      <c r="H428" s="785">
        <f t="shared" si="131"/>
        <v>1562.2659276221457</v>
      </c>
      <c r="I428" s="785">
        <f t="shared" si="131"/>
        <v>401.23406167740279</v>
      </c>
      <c r="J428" s="369">
        <f t="shared" si="131"/>
        <v>0</v>
      </c>
      <c r="K428" s="25">
        <f t="shared" si="134"/>
        <v>74665.032743381787</v>
      </c>
      <c r="L428" s="785">
        <v>4</v>
      </c>
      <c r="M428" s="785">
        <f t="shared" si="135"/>
        <v>18666.258185845447</v>
      </c>
      <c r="N428" s="685">
        <v>20891</v>
      </c>
      <c r="O428" s="685"/>
      <c r="P428" s="189" t="s">
        <v>576</v>
      </c>
      <c r="Q428" s="800">
        <v>40857</v>
      </c>
      <c r="R428" s="801"/>
      <c r="S428" s="310">
        <f>L428</f>
        <v>4</v>
      </c>
      <c r="T428" s="832">
        <v>17368</v>
      </c>
      <c r="U428" s="25">
        <f t="shared" si="136"/>
        <v>69472</v>
      </c>
      <c r="V428" s="460"/>
      <c r="W428" s="800"/>
      <c r="X428" s="834"/>
      <c r="Y428" s="832"/>
      <c r="Z428" s="25">
        <f t="shared" si="137"/>
        <v>0</v>
      </c>
    </row>
    <row r="429" spans="1:26" ht="16.5" customHeight="1">
      <c r="A429" s="784">
        <f t="shared" si="132"/>
        <v>73</v>
      </c>
      <c r="B429" s="302" t="s">
        <v>1286</v>
      </c>
      <c r="C429" s="25">
        <f t="shared" si="133"/>
        <v>29457</v>
      </c>
      <c r="D429" s="785">
        <f t="shared" si="131"/>
        <v>1180.0429730134613</v>
      </c>
      <c r="E429" s="785">
        <f t="shared" si="131"/>
        <v>373.40295760481092</v>
      </c>
      <c r="F429" s="785">
        <f t="shared" si="131"/>
        <v>805.10197530335779</v>
      </c>
      <c r="G429" s="785">
        <f t="shared" si="131"/>
        <v>64.351659640036814</v>
      </c>
      <c r="H429" s="785">
        <f t="shared" si="131"/>
        <v>1171.6994457166093</v>
      </c>
      <c r="I429" s="785">
        <f t="shared" si="131"/>
        <v>300.92554625805212</v>
      </c>
      <c r="J429" s="369">
        <f t="shared" si="131"/>
        <v>0</v>
      </c>
      <c r="K429" s="25">
        <f t="shared" si="134"/>
        <v>33351.52455753633</v>
      </c>
      <c r="L429" s="785">
        <v>3</v>
      </c>
      <c r="M429" s="785">
        <f t="shared" si="135"/>
        <v>11117.174852512109</v>
      </c>
      <c r="N429" s="685">
        <v>16534</v>
      </c>
      <c r="O429" s="685"/>
      <c r="P429" s="189" t="s">
        <v>565</v>
      </c>
      <c r="Q429" s="800">
        <v>40857</v>
      </c>
      <c r="R429" s="801"/>
      <c r="S429" s="310">
        <v>1.5</v>
      </c>
      <c r="T429" s="832">
        <v>19638</v>
      </c>
      <c r="U429" s="25">
        <f t="shared" si="136"/>
        <v>29457</v>
      </c>
      <c r="V429" s="460"/>
      <c r="W429" s="800"/>
      <c r="X429" s="834"/>
      <c r="Y429" s="832"/>
      <c r="Z429" s="25">
        <f t="shared" si="137"/>
        <v>0</v>
      </c>
    </row>
    <row r="430" spans="1:26" ht="16.5" customHeight="1">
      <c r="A430" s="784">
        <f t="shared" si="132"/>
        <v>74</v>
      </c>
      <c r="B430" s="302" t="s">
        <v>1285</v>
      </c>
      <c r="C430" s="25">
        <f t="shared" si="133"/>
        <v>69472</v>
      </c>
      <c r="D430" s="785">
        <f t="shared" si="131"/>
        <v>1573.390630684615</v>
      </c>
      <c r="E430" s="785">
        <f t="shared" si="131"/>
        <v>497.8706101397479</v>
      </c>
      <c r="F430" s="785">
        <f t="shared" si="131"/>
        <v>1073.4693004044771</v>
      </c>
      <c r="G430" s="785">
        <f t="shared" si="131"/>
        <v>85.802212853382414</v>
      </c>
      <c r="H430" s="785">
        <f t="shared" si="131"/>
        <v>1562.2659276221457</v>
      </c>
      <c r="I430" s="785">
        <f t="shared" si="131"/>
        <v>401.23406167740279</v>
      </c>
      <c r="J430" s="369">
        <f t="shared" si="131"/>
        <v>0</v>
      </c>
      <c r="K430" s="25">
        <f t="shared" si="134"/>
        <v>74665.032743381787</v>
      </c>
      <c r="L430" s="785">
        <v>4</v>
      </c>
      <c r="M430" s="785">
        <f t="shared" si="135"/>
        <v>18666.258185845447</v>
      </c>
      <c r="N430" s="685">
        <v>20981</v>
      </c>
      <c r="O430" s="685"/>
      <c r="P430" s="189" t="s">
        <v>576</v>
      </c>
      <c r="Q430" s="800">
        <v>40857</v>
      </c>
      <c r="R430" s="801"/>
      <c r="S430" s="310">
        <f>L430</f>
        <v>4</v>
      </c>
      <c r="T430" s="832">
        <v>17368</v>
      </c>
      <c r="U430" s="25">
        <f t="shared" si="136"/>
        <v>69472</v>
      </c>
      <c r="V430" s="460"/>
      <c r="W430" s="800"/>
      <c r="X430" s="834"/>
      <c r="Y430" s="832"/>
      <c r="Z430" s="25">
        <f t="shared" si="137"/>
        <v>0</v>
      </c>
    </row>
    <row r="431" spans="1:26" ht="16.5" customHeight="1">
      <c r="A431" s="784">
        <f t="shared" si="132"/>
        <v>75</v>
      </c>
      <c r="B431" s="302" t="s">
        <v>1313</v>
      </c>
      <c r="C431" s="25">
        <f t="shared" si="133"/>
        <v>27594</v>
      </c>
      <c r="D431" s="785">
        <f t="shared" si="131"/>
        <v>1180.0429730134613</v>
      </c>
      <c r="E431" s="785">
        <f t="shared" si="131"/>
        <v>373.40295760481092</v>
      </c>
      <c r="F431" s="785">
        <f t="shared" si="131"/>
        <v>805.10197530335779</v>
      </c>
      <c r="G431" s="785">
        <f t="shared" si="131"/>
        <v>64.351659640036814</v>
      </c>
      <c r="H431" s="785">
        <f t="shared" si="131"/>
        <v>1171.6994457166093</v>
      </c>
      <c r="I431" s="785">
        <f t="shared" si="131"/>
        <v>300.92554625805212</v>
      </c>
      <c r="J431" s="369">
        <f t="shared" si="131"/>
        <v>0</v>
      </c>
      <c r="K431" s="25">
        <f t="shared" si="134"/>
        <v>31488.524557536326</v>
      </c>
      <c r="L431" s="785">
        <v>3</v>
      </c>
      <c r="M431" s="785">
        <f t="shared" si="135"/>
        <v>10496.174852512109</v>
      </c>
      <c r="N431" s="685">
        <v>12847</v>
      </c>
      <c r="O431" s="685"/>
      <c r="P431" s="40" t="s">
        <v>634</v>
      </c>
      <c r="Q431" s="800">
        <v>40857</v>
      </c>
      <c r="R431" s="801"/>
      <c r="S431" s="310">
        <f>L431/2</f>
        <v>1.5</v>
      </c>
      <c r="T431" s="832">
        <v>18396</v>
      </c>
      <c r="U431" s="25">
        <f t="shared" si="136"/>
        <v>27594</v>
      </c>
      <c r="V431" s="460"/>
      <c r="W431" s="800"/>
      <c r="X431" s="834"/>
      <c r="Y431" s="832"/>
      <c r="Z431" s="25">
        <f t="shared" si="137"/>
        <v>0</v>
      </c>
    </row>
    <row r="432" spans="1:26" ht="16.5" customHeight="1">
      <c r="A432" s="784">
        <f t="shared" si="132"/>
        <v>76</v>
      </c>
      <c r="B432" s="302" t="s">
        <v>1315</v>
      </c>
      <c r="C432" s="25">
        <f t="shared" si="133"/>
        <v>84630</v>
      </c>
      <c r="D432" s="785">
        <f t="shared" si="131"/>
        <v>2360.0859460269226</v>
      </c>
      <c r="E432" s="785">
        <f t="shared" si="131"/>
        <v>746.80591520962184</v>
      </c>
      <c r="F432" s="785">
        <f t="shared" si="131"/>
        <v>1610.2039506067156</v>
      </c>
      <c r="G432" s="785">
        <f t="shared" si="131"/>
        <v>128.70331928007363</v>
      </c>
      <c r="H432" s="785">
        <f t="shared" si="131"/>
        <v>2343.3988914332185</v>
      </c>
      <c r="I432" s="785">
        <f t="shared" si="131"/>
        <v>601.85109251610425</v>
      </c>
      <c r="J432" s="369">
        <f t="shared" si="131"/>
        <v>0</v>
      </c>
      <c r="K432" s="25">
        <f t="shared" si="134"/>
        <v>92420.049115072659</v>
      </c>
      <c r="L432" s="785">
        <v>6</v>
      </c>
      <c r="M432" s="785">
        <f t="shared" si="135"/>
        <v>15403.341519178777</v>
      </c>
      <c r="N432" s="685">
        <v>17321</v>
      </c>
      <c r="O432" s="685"/>
      <c r="P432" s="40" t="s">
        <v>674</v>
      </c>
      <c r="Q432" s="800">
        <v>40857</v>
      </c>
      <c r="R432" s="801"/>
      <c r="S432" s="310">
        <f>L432</f>
        <v>6</v>
      </c>
      <c r="T432" s="832">
        <v>14105</v>
      </c>
      <c r="U432" s="25">
        <f t="shared" si="136"/>
        <v>84630</v>
      </c>
      <c r="V432" s="460"/>
      <c r="W432" s="800"/>
      <c r="X432" s="834"/>
      <c r="Y432" s="832"/>
      <c r="Z432" s="25">
        <f t="shared" si="137"/>
        <v>0</v>
      </c>
    </row>
    <row r="433" spans="1:26" ht="16.5" customHeight="1">
      <c r="A433" s="784">
        <f t="shared" si="132"/>
        <v>77</v>
      </c>
      <c r="B433" s="302" t="s">
        <v>1287</v>
      </c>
      <c r="C433" s="25">
        <f t="shared" si="133"/>
        <v>538251</v>
      </c>
      <c r="D433" s="785">
        <f t="shared" si="131"/>
        <v>16520.601622188457</v>
      </c>
      <c r="E433" s="785">
        <f t="shared" si="131"/>
        <v>5227.6414064673527</v>
      </c>
      <c r="F433" s="785">
        <f t="shared" si="131"/>
        <v>11271.427654247009</v>
      </c>
      <c r="G433" s="785">
        <f t="shared" si="131"/>
        <v>900.9232349605154</v>
      </c>
      <c r="H433" s="785">
        <f t="shared" si="131"/>
        <v>16403.79224003253</v>
      </c>
      <c r="I433" s="785">
        <f t="shared" si="131"/>
        <v>4212.9576476127295</v>
      </c>
      <c r="J433" s="369">
        <f t="shared" si="131"/>
        <v>0</v>
      </c>
      <c r="K433" s="25">
        <f t="shared" si="134"/>
        <v>592787.34380550869</v>
      </c>
      <c r="L433" s="785">
        <v>42</v>
      </c>
      <c r="M433" s="785">
        <f t="shared" si="135"/>
        <v>14113.984376321636</v>
      </c>
      <c r="N433" s="685">
        <v>15669</v>
      </c>
      <c r="O433" s="685"/>
      <c r="P433" s="460" t="s">
        <v>666</v>
      </c>
      <c r="Q433" s="800">
        <v>40857</v>
      </c>
      <c r="R433" s="801"/>
      <c r="S433" s="310">
        <f>L433/2</f>
        <v>21</v>
      </c>
      <c r="T433" s="832">
        <v>25631</v>
      </c>
      <c r="U433" s="25">
        <f t="shared" si="136"/>
        <v>538251</v>
      </c>
      <c r="V433" s="460"/>
      <c r="W433" s="800"/>
      <c r="X433" s="834"/>
      <c r="Y433" s="832"/>
      <c r="Z433" s="25">
        <f t="shared" si="137"/>
        <v>0</v>
      </c>
    </row>
    <row r="434" spans="1:26" ht="16.5" customHeight="1">
      <c r="A434" s="784">
        <f t="shared" si="132"/>
        <v>78</v>
      </c>
      <c r="B434" s="302" t="s">
        <v>1288</v>
      </c>
      <c r="C434" s="25">
        <f t="shared" si="133"/>
        <v>620620</v>
      </c>
      <c r="D434" s="785">
        <f t="shared" si="131"/>
        <v>16913.949279859611</v>
      </c>
      <c r="E434" s="785">
        <f t="shared" si="131"/>
        <v>5352.1090590022895</v>
      </c>
      <c r="F434" s="785">
        <f t="shared" si="131"/>
        <v>11539.794979348128</v>
      </c>
      <c r="G434" s="785">
        <f t="shared" si="131"/>
        <v>922.37378817386093</v>
      </c>
      <c r="H434" s="785">
        <f t="shared" si="131"/>
        <v>16794.358721938064</v>
      </c>
      <c r="I434" s="785">
        <f t="shared" si="131"/>
        <v>4313.2661630320799</v>
      </c>
      <c r="J434" s="369">
        <f t="shared" si="131"/>
        <v>0</v>
      </c>
      <c r="K434" s="25">
        <f t="shared" si="134"/>
        <v>676454.85199135402</v>
      </c>
      <c r="L434" s="785">
        <v>43</v>
      </c>
      <c r="M434" s="785">
        <f t="shared" si="135"/>
        <v>15731.508185845443</v>
      </c>
      <c r="N434" s="685">
        <v>17372</v>
      </c>
      <c r="O434" s="685"/>
      <c r="P434" s="40" t="s">
        <v>674</v>
      </c>
      <c r="Q434" s="800">
        <v>40857</v>
      </c>
      <c r="R434" s="801"/>
      <c r="S434" s="310">
        <v>44</v>
      </c>
      <c r="T434" s="832">
        <v>14105</v>
      </c>
      <c r="U434" s="25">
        <f t="shared" si="136"/>
        <v>620620</v>
      </c>
      <c r="V434" s="460"/>
      <c r="W434" s="800"/>
      <c r="X434" s="834"/>
      <c r="Y434" s="832"/>
      <c r="Z434" s="25">
        <f t="shared" si="137"/>
        <v>0</v>
      </c>
    </row>
    <row r="435" spans="1:26" ht="16.5" customHeight="1">
      <c r="A435" s="784">
        <f t="shared" si="132"/>
        <v>79</v>
      </c>
      <c r="B435" s="302" t="s">
        <v>1316</v>
      </c>
      <c r="C435" s="25">
        <f t="shared" si="133"/>
        <v>9278250</v>
      </c>
      <c r="D435" s="785">
        <f t="shared" si="131"/>
        <v>437402.59533032298</v>
      </c>
      <c r="E435" s="785">
        <f t="shared" si="131"/>
        <v>138408.02961884992</v>
      </c>
      <c r="F435" s="785">
        <f t="shared" si="131"/>
        <v>298424.46551244461</v>
      </c>
      <c r="G435" s="785">
        <f t="shared" si="131"/>
        <v>23853.01517324031</v>
      </c>
      <c r="H435" s="785">
        <f t="shared" si="131"/>
        <v>434309.92787895649</v>
      </c>
      <c r="I435" s="785">
        <f t="shared" si="131"/>
        <v>111543.06914631798</v>
      </c>
      <c r="J435" s="369">
        <f t="shared" si="131"/>
        <v>0</v>
      </c>
      <c r="K435" s="25">
        <f t="shared" si="134"/>
        <v>10722190.102660133</v>
      </c>
      <c r="L435" s="785">
        <v>1112</v>
      </c>
      <c r="M435" s="785">
        <f t="shared" si="135"/>
        <v>9642.2572865648672</v>
      </c>
      <c r="N435" s="685">
        <v>13869</v>
      </c>
      <c r="O435" s="685"/>
      <c r="P435" s="40" t="s">
        <v>676</v>
      </c>
      <c r="Q435" s="800">
        <v>40857</v>
      </c>
      <c r="R435" s="801"/>
      <c r="S435" s="310">
        <v>695</v>
      </c>
      <c r="T435" s="832">
        <v>13350</v>
      </c>
      <c r="U435" s="25">
        <f t="shared" si="136"/>
        <v>9278250</v>
      </c>
      <c r="V435" s="460"/>
      <c r="W435" s="800"/>
      <c r="X435" s="834"/>
      <c r="Y435" s="832"/>
      <c r="Z435" s="25">
        <f t="shared" si="137"/>
        <v>0</v>
      </c>
    </row>
    <row r="436" spans="1:26" ht="16.5" customHeight="1">
      <c r="A436" s="784">
        <f t="shared" si="132"/>
        <v>80</v>
      </c>
      <c r="B436" s="302" t="s">
        <v>1317</v>
      </c>
      <c r="C436" s="25">
        <f t="shared" si="133"/>
        <v>8343750</v>
      </c>
      <c r="D436" s="785">
        <f t="shared" si="131"/>
        <v>393347.65767115372</v>
      </c>
      <c r="E436" s="785">
        <f t="shared" si="131"/>
        <v>124467.65253493698</v>
      </c>
      <c r="F436" s="785">
        <f t="shared" si="131"/>
        <v>268367.32510111929</v>
      </c>
      <c r="G436" s="785">
        <f t="shared" si="131"/>
        <v>21450.553213345604</v>
      </c>
      <c r="H436" s="785">
        <f t="shared" si="131"/>
        <v>390566.48190553644</v>
      </c>
      <c r="I436" s="785">
        <f t="shared" si="131"/>
        <v>100308.5154193507</v>
      </c>
      <c r="J436" s="369">
        <f t="shared" si="131"/>
        <v>0</v>
      </c>
      <c r="K436" s="25">
        <f t="shared" si="134"/>
        <v>9642257.1858454421</v>
      </c>
      <c r="L436" s="785">
        <v>1000</v>
      </c>
      <c r="M436" s="785">
        <f t="shared" si="135"/>
        <v>9642.257185845443</v>
      </c>
      <c r="N436" s="685">
        <v>14230</v>
      </c>
      <c r="O436" s="685"/>
      <c r="P436" s="40" t="s">
        <v>676</v>
      </c>
      <c r="Q436" s="800">
        <v>40857</v>
      </c>
      <c r="R436" s="801"/>
      <c r="S436" s="310">
        <v>625</v>
      </c>
      <c r="T436" s="832">
        <v>13350</v>
      </c>
      <c r="U436" s="25">
        <f t="shared" si="136"/>
        <v>8343750</v>
      </c>
      <c r="V436" s="460"/>
      <c r="W436" s="800"/>
      <c r="X436" s="834"/>
      <c r="Y436" s="832"/>
      <c r="Z436" s="25">
        <f t="shared" si="137"/>
        <v>0</v>
      </c>
    </row>
    <row r="437" spans="1:26" ht="16.5" customHeight="1">
      <c r="A437" s="784">
        <f t="shared" si="132"/>
        <v>81</v>
      </c>
      <c r="B437" s="302" t="s">
        <v>1318</v>
      </c>
      <c r="C437" s="25">
        <f t="shared" si="133"/>
        <v>139505</v>
      </c>
      <c r="D437" s="785">
        <f t="shared" si="131"/>
        <v>9833.691441778843</v>
      </c>
      <c r="E437" s="785">
        <f t="shared" si="131"/>
        <v>3111.6913133734242</v>
      </c>
      <c r="F437" s="785">
        <f t="shared" si="131"/>
        <v>6709.1831275279819</v>
      </c>
      <c r="G437" s="785">
        <f t="shared" si="131"/>
        <v>536.26383033364004</v>
      </c>
      <c r="H437" s="785">
        <f t="shared" si="131"/>
        <v>9764.1620476384105</v>
      </c>
      <c r="I437" s="785">
        <f t="shared" si="131"/>
        <v>2507.7128854837674</v>
      </c>
      <c r="J437" s="369">
        <f t="shared" si="131"/>
        <v>0</v>
      </c>
      <c r="K437" s="25">
        <f t="shared" si="134"/>
        <v>171966.70464613606</v>
      </c>
      <c r="L437" s="785">
        <v>25</v>
      </c>
      <c r="M437" s="785">
        <f t="shared" si="135"/>
        <v>6878.6681858454422</v>
      </c>
      <c r="N437" s="685">
        <v>9024</v>
      </c>
      <c r="O437" s="685"/>
      <c r="P437" s="302" t="s">
        <v>405</v>
      </c>
      <c r="Q437" s="800">
        <v>40857</v>
      </c>
      <c r="R437" s="801"/>
      <c r="S437" s="310">
        <v>5</v>
      </c>
      <c r="T437" s="832">
        <v>27901</v>
      </c>
      <c r="U437" s="25">
        <f t="shared" si="136"/>
        <v>139505</v>
      </c>
      <c r="V437" s="460"/>
      <c r="W437" s="800"/>
      <c r="X437" s="834"/>
      <c r="Y437" s="832"/>
      <c r="Z437" s="25">
        <f t="shared" si="137"/>
        <v>0</v>
      </c>
    </row>
    <row r="438" spans="1:26" ht="16.5" customHeight="1">
      <c r="A438" s="784">
        <f t="shared" si="132"/>
        <v>82</v>
      </c>
      <c r="B438" s="302" t="s">
        <v>1319</v>
      </c>
      <c r="C438" s="25">
        <f t="shared" si="133"/>
        <v>4449</v>
      </c>
      <c r="D438" s="785">
        <f t="shared" si="131"/>
        <v>786.69531534230748</v>
      </c>
      <c r="E438" s="785">
        <f t="shared" si="131"/>
        <v>248.93530506987395</v>
      </c>
      <c r="F438" s="785">
        <f t="shared" si="131"/>
        <v>536.73465020223853</v>
      </c>
      <c r="G438" s="785">
        <f t="shared" si="131"/>
        <v>42.901106426691207</v>
      </c>
      <c r="H438" s="785">
        <f t="shared" si="131"/>
        <v>781.13296381107284</v>
      </c>
      <c r="I438" s="785">
        <f t="shared" si="131"/>
        <v>200.6170308387014</v>
      </c>
      <c r="J438" s="369">
        <f t="shared" si="131"/>
        <v>0</v>
      </c>
      <c r="K438" s="25">
        <f t="shared" si="134"/>
        <v>7045.0163716908855</v>
      </c>
      <c r="L438" s="785">
        <v>2</v>
      </c>
      <c r="M438" s="785">
        <f t="shared" si="135"/>
        <v>3522.5081858454428</v>
      </c>
      <c r="N438" s="685">
        <v>4181</v>
      </c>
      <c r="O438" s="685"/>
      <c r="P438" s="189" t="s">
        <v>410</v>
      </c>
      <c r="Q438" s="800">
        <v>40857</v>
      </c>
      <c r="R438" s="801"/>
      <c r="S438" s="310">
        <v>1</v>
      </c>
      <c r="T438" s="832">
        <v>4449</v>
      </c>
      <c r="U438" s="25">
        <f t="shared" si="136"/>
        <v>4449</v>
      </c>
      <c r="V438" s="460"/>
      <c r="W438" s="800"/>
      <c r="X438" s="834"/>
      <c r="Y438" s="832"/>
      <c r="Z438" s="25">
        <f t="shared" si="137"/>
        <v>0</v>
      </c>
    </row>
    <row r="439" spans="1:26" ht="16.5" customHeight="1">
      <c r="A439" s="784">
        <f t="shared" si="132"/>
        <v>83</v>
      </c>
      <c r="B439" s="302" t="s">
        <v>769</v>
      </c>
      <c r="C439" s="25">
        <f t="shared" si="133"/>
        <v>1724459</v>
      </c>
      <c r="D439" s="785">
        <f t="shared" si="131"/>
        <v>82209.660453271135</v>
      </c>
      <c r="E439" s="785">
        <f t="shared" si="131"/>
        <v>26013.739379801827</v>
      </c>
      <c r="F439" s="785">
        <f t="shared" si="131"/>
        <v>56088.770946133925</v>
      </c>
      <c r="G439" s="785">
        <f t="shared" si="131"/>
        <v>4483.1656215892308</v>
      </c>
      <c r="H439" s="785">
        <f t="shared" si="131"/>
        <v>81628.394718257114</v>
      </c>
      <c r="I439" s="785">
        <f t="shared" si="131"/>
        <v>20964.479722644297</v>
      </c>
      <c r="J439" s="369">
        <f t="shared" si="131"/>
        <v>0</v>
      </c>
      <c r="K439" s="25">
        <f t="shared" si="134"/>
        <v>1995846.2108416972</v>
      </c>
      <c r="L439" s="785">
        <v>209</v>
      </c>
      <c r="M439" s="785">
        <f t="shared" si="135"/>
        <v>9549.5034011564458</v>
      </c>
      <c r="N439" s="685">
        <v>10595</v>
      </c>
      <c r="O439" s="685"/>
      <c r="P439" s="40" t="s">
        <v>672</v>
      </c>
      <c r="Q439" s="800">
        <v>40862</v>
      </c>
      <c r="R439" s="801"/>
      <c r="S439" s="310">
        <f>L439/2</f>
        <v>104.5</v>
      </c>
      <c r="T439" s="832">
        <v>16502</v>
      </c>
      <c r="U439" s="25">
        <f t="shared" si="136"/>
        <v>1724459</v>
      </c>
      <c r="V439" s="460"/>
      <c r="W439" s="800"/>
      <c r="X439" s="834"/>
      <c r="Y439" s="832"/>
      <c r="Z439" s="25">
        <f t="shared" si="137"/>
        <v>0</v>
      </c>
    </row>
    <row r="440" spans="1:26" ht="16.5" customHeight="1">
      <c r="A440" s="784">
        <f t="shared" si="132"/>
        <v>84</v>
      </c>
      <c r="B440" s="302" t="s">
        <v>1293</v>
      </c>
      <c r="C440" s="25">
        <f t="shared" si="133"/>
        <v>1988805</v>
      </c>
      <c r="D440" s="785">
        <f t="shared" si="131"/>
        <v>55462.019731632674</v>
      </c>
      <c r="E440" s="785">
        <f t="shared" si="131"/>
        <v>17549.939007426114</v>
      </c>
      <c r="F440" s="785">
        <f t="shared" si="131"/>
        <v>37839.792839257818</v>
      </c>
      <c r="G440" s="785">
        <f t="shared" si="131"/>
        <v>3024.5280030817303</v>
      </c>
      <c r="H440" s="785">
        <f t="shared" si="131"/>
        <v>55069.873948680637</v>
      </c>
      <c r="I440" s="785">
        <f t="shared" si="131"/>
        <v>14143.500674128449</v>
      </c>
      <c r="J440" s="369">
        <f t="shared" si="131"/>
        <v>0</v>
      </c>
      <c r="K440" s="25">
        <f t="shared" si="134"/>
        <v>2171893.6542042075</v>
      </c>
      <c r="L440" s="785">
        <v>141</v>
      </c>
      <c r="M440" s="785">
        <f t="shared" si="135"/>
        <v>15403.501093646861</v>
      </c>
      <c r="N440" s="685">
        <v>17966</v>
      </c>
      <c r="O440" s="685"/>
      <c r="P440" s="40" t="s">
        <v>674</v>
      </c>
      <c r="Q440" s="800">
        <v>40862</v>
      </c>
      <c r="R440" s="801"/>
      <c r="S440" s="310">
        <f>L440</f>
        <v>141</v>
      </c>
      <c r="T440" s="832">
        <v>14105</v>
      </c>
      <c r="U440" s="25">
        <f t="shared" si="136"/>
        <v>1988805</v>
      </c>
      <c r="V440" s="460"/>
      <c r="W440" s="800"/>
      <c r="X440" s="834"/>
      <c r="Y440" s="832"/>
      <c r="Z440" s="25">
        <f t="shared" si="137"/>
        <v>0</v>
      </c>
    </row>
    <row r="441" spans="1:26" ht="16.5" customHeight="1">
      <c r="A441" s="784">
        <f t="shared" si="132"/>
        <v>85</v>
      </c>
      <c r="B441" s="302" t="s">
        <v>1294</v>
      </c>
      <c r="C441" s="25">
        <f t="shared" si="133"/>
        <v>3528372</v>
      </c>
      <c r="D441" s="785">
        <f t="shared" si="131"/>
        <v>136884.98486956151</v>
      </c>
      <c r="E441" s="785">
        <f t="shared" si="131"/>
        <v>43314.743082158064</v>
      </c>
      <c r="F441" s="785">
        <f t="shared" si="131"/>
        <v>93391.829135189502</v>
      </c>
      <c r="G441" s="785">
        <f t="shared" si="131"/>
        <v>7464.7925182442705</v>
      </c>
      <c r="H441" s="785">
        <f t="shared" si="131"/>
        <v>135917.13570312667</v>
      </c>
      <c r="I441" s="785">
        <f t="shared" si="131"/>
        <v>34907.363365934041</v>
      </c>
      <c r="J441" s="369">
        <f t="shared" si="131"/>
        <v>0</v>
      </c>
      <c r="K441" s="25">
        <f t="shared" si="134"/>
        <v>3980251.8486742144</v>
      </c>
      <c r="L441" s="785">
        <v>348</v>
      </c>
      <c r="M441" s="785">
        <f t="shared" si="135"/>
        <v>11437.505312282225</v>
      </c>
      <c r="N441" s="685">
        <v>14535</v>
      </c>
      <c r="O441" s="685"/>
      <c r="P441" s="40" t="s">
        <v>665</v>
      </c>
      <c r="Q441" s="800">
        <v>40862</v>
      </c>
      <c r="R441" s="801"/>
      <c r="S441" s="310">
        <f>L441/2</f>
        <v>174</v>
      </c>
      <c r="T441" s="832">
        <v>20278</v>
      </c>
      <c r="U441" s="25">
        <f t="shared" si="136"/>
        <v>3528372</v>
      </c>
      <c r="V441" s="460"/>
      <c r="W441" s="800"/>
      <c r="X441" s="834"/>
      <c r="Y441" s="832"/>
      <c r="Z441" s="25">
        <f t="shared" si="137"/>
        <v>0</v>
      </c>
    </row>
    <row r="442" spans="1:26" ht="16.5" customHeight="1">
      <c r="A442" s="784">
        <f t="shared" si="132"/>
        <v>86</v>
      </c>
      <c r="B442" s="302" t="s">
        <v>770</v>
      </c>
      <c r="C442" s="25">
        <f t="shared" si="133"/>
        <v>327560</v>
      </c>
      <c r="D442" s="785">
        <f t="shared" si="131"/>
        <v>14947.210991503842</v>
      </c>
      <c r="E442" s="785">
        <f t="shared" si="131"/>
        <v>4729.7707963276052</v>
      </c>
      <c r="F442" s="785">
        <f t="shared" si="131"/>
        <v>10197.958353842532</v>
      </c>
      <c r="G442" s="785">
        <f t="shared" si="131"/>
        <v>815.12102210713294</v>
      </c>
      <c r="H442" s="785">
        <f t="shared" si="131"/>
        <v>14841.526312410384</v>
      </c>
      <c r="I442" s="785">
        <f t="shared" si="131"/>
        <v>3811.7235859353264</v>
      </c>
      <c r="J442" s="369">
        <f t="shared" si="131"/>
        <v>0</v>
      </c>
      <c r="K442" s="25">
        <f t="shared" si="134"/>
        <v>376902.31106212683</v>
      </c>
      <c r="L442" s="785">
        <v>38</v>
      </c>
      <c r="M442" s="785">
        <f t="shared" si="135"/>
        <v>9918.4818700559699</v>
      </c>
      <c r="N442" s="685">
        <v>11321</v>
      </c>
      <c r="O442" s="685"/>
      <c r="P442" s="189" t="s">
        <v>530</v>
      </c>
      <c r="Q442" s="800">
        <v>40862</v>
      </c>
      <c r="R442" s="801"/>
      <c r="S442" s="310">
        <f>L442</f>
        <v>38</v>
      </c>
      <c r="T442" s="832">
        <v>8620</v>
      </c>
      <c r="U442" s="25">
        <f t="shared" si="136"/>
        <v>327560</v>
      </c>
      <c r="V442" s="460"/>
      <c r="W442" s="800"/>
      <c r="X442" s="834"/>
      <c r="Y442" s="832"/>
      <c r="Z442" s="25">
        <f t="shared" si="137"/>
        <v>0</v>
      </c>
    </row>
    <row r="443" spans="1:26" ht="16.5" customHeight="1">
      <c r="A443" s="784">
        <f t="shared" si="132"/>
        <v>87</v>
      </c>
      <c r="B443" s="302" t="s">
        <v>1295</v>
      </c>
      <c r="C443" s="25">
        <f t="shared" si="133"/>
        <v>169260</v>
      </c>
      <c r="D443" s="785">
        <f t="shared" si="131"/>
        <v>9440.3437841076902</v>
      </c>
      <c r="E443" s="785">
        <f t="shared" si="131"/>
        <v>2987.2236608384874</v>
      </c>
      <c r="F443" s="785">
        <f t="shared" si="131"/>
        <v>6440.8158024268623</v>
      </c>
      <c r="G443" s="785">
        <f t="shared" si="131"/>
        <v>514.81327712029452</v>
      </c>
      <c r="H443" s="785">
        <f t="shared" si="131"/>
        <v>9373.5955657328741</v>
      </c>
      <c r="I443" s="785">
        <f t="shared" si="131"/>
        <v>2407.404370064417</v>
      </c>
      <c r="J443" s="369">
        <f t="shared" si="131"/>
        <v>0</v>
      </c>
      <c r="K443" s="25">
        <f t="shared" si="134"/>
        <v>200423.19646029061</v>
      </c>
      <c r="L443" s="785">
        <v>24</v>
      </c>
      <c r="M443" s="785">
        <f t="shared" si="135"/>
        <v>8350.9665191787753</v>
      </c>
      <c r="N443" s="685">
        <v>10267</v>
      </c>
      <c r="O443" s="685"/>
      <c r="P443" s="40" t="s">
        <v>674</v>
      </c>
      <c r="Q443" s="800">
        <v>40862</v>
      </c>
      <c r="R443" s="801"/>
      <c r="S443" s="310">
        <v>12</v>
      </c>
      <c r="T443" s="832">
        <v>14105</v>
      </c>
      <c r="U443" s="25">
        <f t="shared" si="136"/>
        <v>169260</v>
      </c>
      <c r="V443" s="460"/>
      <c r="W443" s="800"/>
      <c r="X443" s="834"/>
      <c r="Y443" s="832"/>
      <c r="Z443" s="25">
        <f t="shared" si="137"/>
        <v>0</v>
      </c>
    </row>
    <row r="444" spans="1:26" ht="16.5" customHeight="1">
      <c r="A444" s="784">
        <f t="shared" si="132"/>
        <v>88</v>
      </c>
      <c r="B444" s="302" t="s">
        <v>1034</v>
      </c>
      <c r="C444" s="25">
        <f t="shared" si="133"/>
        <v>10139</v>
      </c>
      <c r="D444" s="785">
        <f t="shared" si="131"/>
        <v>393.34765767115374</v>
      </c>
      <c r="E444" s="785">
        <f t="shared" si="131"/>
        <v>124.46765253493697</v>
      </c>
      <c r="F444" s="785">
        <f t="shared" si="131"/>
        <v>268.36732510111926</v>
      </c>
      <c r="G444" s="785">
        <f t="shared" si="131"/>
        <v>21.450553213345604</v>
      </c>
      <c r="H444" s="785">
        <f t="shared" si="131"/>
        <v>390.56648190553642</v>
      </c>
      <c r="I444" s="785">
        <f t="shared" si="131"/>
        <v>100.3085154193507</v>
      </c>
      <c r="J444" s="369">
        <f t="shared" si="131"/>
        <v>0</v>
      </c>
      <c r="K444" s="25">
        <f t="shared" si="134"/>
        <v>11436.508185845443</v>
      </c>
      <c r="L444" s="785">
        <v>1</v>
      </c>
      <c r="M444" s="785">
        <f t="shared" si="135"/>
        <v>11436.508185845443</v>
      </c>
      <c r="N444" s="685">
        <v>13099</v>
      </c>
      <c r="O444" s="685"/>
      <c r="P444" s="40" t="s">
        <v>665</v>
      </c>
      <c r="Q444" s="800">
        <v>40862</v>
      </c>
      <c r="R444" s="801"/>
      <c r="S444" s="310">
        <f>L444/2</f>
        <v>0.5</v>
      </c>
      <c r="T444" s="832">
        <v>20278</v>
      </c>
      <c r="U444" s="25">
        <f t="shared" si="136"/>
        <v>10139</v>
      </c>
      <c r="V444" s="460"/>
      <c r="W444" s="800"/>
      <c r="X444" s="834"/>
      <c r="Y444" s="832"/>
      <c r="Z444" s="25">
        <f t="shared" si="137"/>
        <v>0</v>
      </c>
    </row>
    <row r="445" spans="1:26" ht="16.5" customHeight="1">
      <c r="A445" s="784">
        <f t="shared" si="132"/>
        <v>89</v>
      </c>
      <c r="B445" s="302" t="s">
        <v>772</v>
      </c>
      <c r="C445" s="25">
        <f t="shared" si="133"/>
        <v>27594</v>
      </c>
      <c r="D445" s="785">
        <f t="shared" si="131"/>
        <v>1180.0429730134613</v>
      </c>
      <c r="E445" s="785">
        <f t="shared" si="131"/>
        <v>373.40295760481092</v>
      </c>
      <c r="F445" s="785">
        <f t="shared" si="131"/>
        <v>805.10197530335779</v>
      </c>
      <c r="G445" s="785">
        <f t="shared" si="131"/>
        <v>64.351659640036814</v>
      </c>
      <c r="H445" s="785">
        <f t="shared" si="131"/>
        <v>1171.6994457166093</v>
      </c>
      <c r="I445" s="785">
        <f t="shared" si="131"/>
        <v>300.92554625805212</v>
      </c>
      <c r="J445" s="369">
        <f t="shared" ref="D445:J482" si="138">IF($L$599&lt;&gt;0,J$599/$L$599*$L445,0)</f>
        <v>0</v>
      </c>
      <c r="K445" s="25">
        <f t="shared" si="134"/>
        <v>31488.524557536326</v>
      </c>
      <c r="L445" s="785">
        <v>3</v>
      </c>
      <c r="M445" s="785">
        <f t="shared" si="135"/>
        <v>10496.174852512109</v>
      </c>
      <c r="N445" s="685">
        <v>12564</v>
      </c>
      <c r="O445" s="685"/>
      <c r="P445" s="40" t="s">
        <v>634</v>
      </c>
      <c r="Q445" s="800">
        <v>40862</v>
      </c>
      <c r="R445" s="801"/>
      <c r="S445" s="310">
        <f>L445/2</f>
        <v>1.5</v>
      </c>
      <c r="T445" s="832">
        <v>18396</v>
      </c>
      <c r="U445" s="25">
        <f t="shared" si="136"/>
        <v>27594</v>
      </c>
      <c r="V445" s="460"/>
      <c r="W445" s="800"/>
      <c r="X445" s="834"/>
      <c r="Y445" s="832"/>
      <c r="Z445" s="25">
        <f t="shared" si="137"/>
        <v>0</v>
      </c>
    </row>
    <row r="446" spans="1:26" ht="16.5" customHeight="1">
      <c r="A446" s="784">
        <f t="shared" si="132"/>
        <v>90</v>
      </c>
      <c r="B446" s="302" t="s">
        <v>775</v>
      </c>
      <c r="C446" s="25">
        <f t="shared" si="133"/>
        <v>29457</v>
      </c>
      <c r="D446" s="785">
        <f t="shared" si="138"/>
        <v>1180.0429730134613</v>
      </c>
      <c r="E446" s="785">
        <f t="shared" si="138"/>
        <v>373.40295760481092</v>
      </c>
      <c r="F446" s="785">
        <f t="shared" si="138"/>
        <v>805.10197530335779</v>
      </c>
      <c r="G446" s="785">
        <f t="shared" si="138"/>
        <v>64.351659640036814</v>
      </c>
      <c r="H446" s="785">
        <f t="shared" si="138"/>
        <v>1171.6994457166093</v>
      </c>
      <c r="I446" s="785">
        <f t="shared" si="138"/>
        <v>300.92554625805212</v>
      </c>
      <c r="J446" s="369">
        <f t="shared" si="138"/>
        <v>0</v>
      </c>
      <c r="K446" s="25">
        <f t="shared" si="134"/>
        <v>33351.52455753633</v>
      </c>
      <c r="L446" s="785">
        <v>3</v>
      </c>
      <c r="M446" s="785">
        <f t="shared" si="135"/>
        <v>11117.174852512109</v>
      </c>
      <c r="N446" s="685">
        <v>16284</v>
      </c>
      <c r="O446" s="685"/>
      <c r="P446" s="189" t="s">
        <v>565</v>
      </c>
      <c r="Q446" s="800">
        <v>40862</v>
      </c>
      <c r="R446" s="801"/>
      <c r="S446" s="310">
        <v>1.5</v>
      </c>
      <c r="T446" s="832">
        <v>19638</v>
      </c>
      <c r="U446" s="25">
        <f t="shared" si="136"/>
        <v>29457</v>
      </c>
      <c r="V446" s="460"/>
      <c r="W446" s="800"/>
      <c r="X446" s="834"/>
      <c r="Y446" s="832"/>
      <c r="Z446" s="25">
        <f t="shared" si="137"/>
        <v>0</v>
      </c>
    </row>
    <row r="447" spans="1:26" ht="16.5" customHeight="1">
      <c r="A447" s="784">
        <f t="shared" si="132"/>
        <v>91</v>
      </c>
      <c r="B447" s="302" t="s">
        <v>771</v>
      </c>
      <c r="C447" s="25">
        <f t="shared" si="133"/>
        <v>33745</v>
      </c>
      <c r="D447" s="785">
        <f t="shared" si="138"/>
        <v>1966.7382883557686</v>
      </c>
      <c r="E447" s="785">
        <f t="shared" si="138"/>
        <v>622.33826267468487</v>
      </c>
      <c r="F447" s="785">
        <f t="shared" si="138"/>
        <v>1341.8366255055962</v>
      </c>
      <c r="G447" s="785">
        <f t="shared" si="138"/>
        <v>107.25276606672801</v>
      </c>
      <c r="H447" s="785">
        <f t="shared" si="138"/>
        <v>1952.8324095276821</v>
      </c>
      <c r="I447" s="785">
        <f t="shared" si="138"/>
        <v>501.54257709675346</v>
      </c>
      <c r="J447" s="369">
        <f t="shared" si="138"/>
        <v>0</v>
      </c>
      <c r="K447" s="25">
        <f t="shared" si="134"/>
        <v>40236.540929227209</v>
      </c>
      <c r="L447" s="785">
        <v>5</v>
      </c>
      <c r="M447" s="785">
        <f t="shared" si="135"/>
        <v>8047.3081858454416</v>
      </c>
      <c r="N447" s="685">
        <v>10253</v>
      </c>
      <c r="O447" s="685"/>
      <c r="P447" s="189" t="s">
        <v>524</v>
      </c>
      <c r="Q447" s="800">
        <v>40862</v>
      </c>
      <c r="R447" s="801"/>
      <c r="S447" s="310">
        <f>L447/2</f>
        <v>2.5</v>
      </c>
      <c r="T447" s="832">
        <v>13498</v>
      </c>
      <c r="U447" s="25">
        <f t="shared" si="136"/>
        <v>33745</v>
      </c>
      <c r="V447" s="460"/>
      <c r="W447" s="800"/>
      <c r="X447" s="834"/>
      <c r="Y447" s="832"/>
      <c r="Z447" s="25">
        <f t="shared" si="137"/>
        <v>0</v>
      </c>
    </row>
    <row r="448" spans="1:26" ht="16.5" customHeight="1">
      <c r="A448" s="784">
        <f t="shared" si="132"/>
        <v>92</v>
      </c>
      <c r="B448" s="302" t="s">
        <v>1321</v>
      </c>
      <c r="C448" s="25">
        <f t="shared" si="133"/>
        <v>26996</v>
      </c>
      <c r="D448" s="785">
        <f t="shared" si="138"/>
        <v>1573.390630684615</v>
      </c>
      <c r="E448" s="785">
        <f t="shared" si="138"/>
        <v>497.8706101397479</v>
      </c>
      <c r="F448" s="785">
        <f t="shared" si="138"/>
        <v>1073.4693004044771</v>
      </c>
      <c r="G448" s="785">
        <f t="shared" si="138"/>
        <v>85.802212853382414</v>
      </c>
      <c r="H448" s="785">
        <f t="shared" si="138"/>
        <v>1562.2659276221457</v>
      </c>
      <c r="I448" s="785">
        <f t="shared" si="138"/>
        <v>401.23406167740279</v>
      </c>
      <c r="J448" s="369">
        <f t="shared" si="138"/>
        <v>0</v>
      </c>
      <c r="K448" s="25">
        <f t="shared" si="134"/>
        <v>32189.032743381769</v>
      </c>
      <c r="L448" s="785">
        <v>4</v>
      </c>
      <c r="M448" s="785">
        <f t="shared" si="135"/>
        <v>8047.2581858454423</v>
      </c>
      <c r="N448" s="685">
        <v>10026</v>
      </c>
      <c r="O448" s="685"/>
      <c r="P448" s="189" t="s">
        <v>524</v>
      </c>
      <c r="Q448" s="800">
        <v>40862</v>
      </c>
      <c r="R448" s="801"/>
      <c r="S448" s="310">
        <f>L448/2</f>
        <v>2</v>
      </c>
      <c r="T448" s="832">
        <v>13498</v>
      </c>
      <c r="U448" s="25">
        <f t="shared" si="136"/>
        <v>26996</v>
      </c>
      <c r="V448" s="460"/>
      <c r="W448" s="800"/>
      <c r="X448" s="834"/>
      <c r="Y448" s="832"/>
      <c r="Z448" s="25">
        <f t="shared" si="137"/>
        <v>0</v>
      </c>
    </row>
    <row r="449" spans="1:26" ht="16.5" customHeight="1">
      <c r="A449" s="784">
        <f t="shared" si="132"/>
        <v>93</v>
      </c>
      <c r="B449" s="302" t="s">
        <v>1055</v>
      </c>
      <c r="C449" s="25">
        <f t="shared" si="133"/>
        <v>4449</v>
      </c>
      <c r="D449" s="785">
        <f t="shared" si="138"/>
        <v>393.34765767115374</v>
      </c>
      <c r="E449" s="785">
        <f t="shared" si="138"/>
        <v>124.46765253493697</v>
      </c>
      <c r="F449" s="785">
        <f t="shared" si="138"/>
        <v>268.36732510111926</v>
      </c>
      <c r="G449" s="785">
        <f t="shared" si="138"/>
        <v>21.450553213345604</v>
      </c>
      <c r="H449" s="785">
        <f t="shared" si="138"/>
        <v>390.56648190553642</v>
      </c>
      <c r="I449" s="785">
        <f t="shared" si="138"/>
        <v>100.3085154193507</v>
      </c>
      <c r="J449" s="369">
        <f t="shared" si="138"/>
        <v>0</v>
      </c>
      <c r="K449" s="25">
        <f t="shared" si="134"/>
        <v>5746.5081858454423</v>
      </c>
      <c r="L449" s="785">
        <v>1</v>
      </c>
      <c r="M449" s="785">
        <f t="shared" si="135"/>
        <v>5746.5081858454423</v>
      </c>
      <c r="N449" s="685">
        <v>7285</v>
      </c>
      <c r="O449" s="685"/>
      <c r="P449" s="189" t="s">
        <v>410</v>
      </c>
      <c r="Q449" s="800">
        <v>40862</v>
      </c>
      <c r="R449" s="801"/>
      <c r="S449" s="310">
        <f>L449</f>
        <v>1</v>
      </c>
      <c r="T449" s="832">
        <v>4449</v>
      </c>
      <c r="U449" s="25">
        <f t="shared" si="136"/>
        <v>4449</v>
      </c>
      <c r="V449" s="460"/>
      <c r="W449" s="800"/>
      <c r="X449" s="834"/>
      <c r="Y449" s="832"/>
      <c r="Z449" s="25">
        <f t="shared" si="137"/>
        <v>0</v>
      </c>
    </row>
    <row r="450" spans="1:26" ht="16.5" customHeight="1">
      <c r="A450" s="784">
        <f t="shared" si="132"/>
        <v>94</v>
      </c>
      <c r="B450" s="302" t="s">
        <v>780</v>
      </c>
      <c r="C450" s="25">
        <f t="shared" si="133"/>
        <v>15086</v>
      </c>
      <c r="D450" s="785">
        <f t="shared" si="138"/>
        <v>1573.390630684615</v>
      </c>
      <c r="E450" s="785">
        <f t="shared" si="138"/>
        <v>497.8706101397479</v>
      </c>
      <c r="F450" s="785">
        <f t="shared" si="138"/>
        <v>1073.4693004044771</v>
      </c>
      <c r="G450" s="785">
        <f t="shared" si="138"/>
        <v>85.802212853382414</v>
      </c>
      <c r="H450" s="785">
        <f t="shared" si="138"/>
        <v>1562.2659276221457</v>
      </c>
      <c r="I450" s="785">
        <f t="shared" si="138"/>
        <v>401.23406167740279</v>
      </c>
      <c r="J450" s="369">
        <f t="shared" si="138"/>
        <v>0</v>
      </c>
      <c r="K450" s="25">
        <f t="shared" si="134"/>
        <v>20279.032743381769</v>
      </c>
      <c r="L450" s="785">
        <v>4</v>
      </c>
      <c r="M450" s="785">
        <f t="shared" si="135"/>
        <v>5069.7581858454423</v>
      </c>
      <c r="N450" s="685">
        <v>5210</v>
      </c>
      <c r="O450" s="685"/>
      <c r="P450" s="189" t="s">
        <v>602</v>
      </c>
      <c r="Q450" s="800">
        <v>40862</v>
      </c>
      <c r="R450" s="801"/>
      <c r="S450" s="310">
        <v>2</v>
      </c>
      <c r="T450" s="832">
        <v>7543</v>
      </c>
      <c r="U450" s="25">
        <f t="shared" si="136"/>
        <v>15086</v>
      </c>
      <c r="V450" s="460"/>
      <c r="W450" s="800"/>
      <c r="X450" s="834"/>
      <c r="Y450" s="832"/>
      <c r="Z450" s="25">
        <f t="shared" si="137"/>
        <v>0</v>
      </c>
    </row>
    <row r="451" spans="1:26" ht="16.5" customHeight="1">
      <c r="A451" s="784">
        <f t="shared" si="132"/>
        <v>95</v>
      </c>
      <c r="B451" s="302" t="s">
        <v>948</v>
      </c>
      <c r="C451" s="25">
        <f t="shared" si="133"/>
        <v>17796</v>
      </c>
      <c r="D451" s="785">
        <f t="shared" si="138"/>
        <v>1573.390630684615</v>
      </c>
      <c r="E451" s="785">
        <f t="shared" si="138"/>
        <v>497.8706101397479</v>
      </c>
      <c r="F451" s="785">
        <f t="shared" si="138"/>
        <v>1073.4693004044771</v>
      </c>
      <c r="G451" s="785">
        <f t="shared" si="138"/>
        <v>85.802212853382414</v>
      </c>
      <c r="H451" s="785">
        <f t="shared" si="138"/>
        <v>1562.2659276221457</v>
      </c>
      <c r="I451" s="785">
        <f t="shared" si="138"/>
        <v>401.23406167740279</v>
      </c>
      <c r="J451" s="369">
        <f t="shared" si="138"/>
        <v>0</v>
      </c>
      <c r="K451" s="25">
        <f t="shared" si="134"/>
        <v>22989.032743381769</v>
      </c>
      <c r="L451" s="785">
        <v>4</v>
      </c>
      <c r="M451" s="785">
        <f t="shared" si="135"/>
        <v>5747.2581858454423</v>
      </c>
      <c r="N451" s="685">
        <v>7094</v>
      </c>
      <c r="O451" s="685"/>
      <c r="P451" s="189" t="s">
        <v>410</v>
      </c>
      <c r="Q451" s="800">
        <v>40862</v>
      </c>
      <c r="R451" s="801"/>
      <c r="S451" s="310">
        <f>L451</f>
        <v>4</v>
      </c>
      <c r="T451" s="832">
        <v>4449</v>
      </c>
      <c r="U451" s="25">
        <f t="shared" si="136"/>
        <v>17796</v>
      </c>
      <c r="V451" s="460"/>
      <c r="W451" s="800"/>
      <c r="X451" s="834"/>
      <c r="Y451" s="832"/>
      <c r="Z451" s="25">
        <f t="shared" si="137"/>
        <v>0</v>
      </c>
    </row>
    <row r="452" spans="1:26" ht="16.5" customHeight="1">
      <c r="A452" s="784">
        <f t="shared" si="132"/>
        <v>96</v>
      </c>
      <c r="B452" s="302" t="s">
        <v>781</v>
      </c>
      <c r="C452" s="25">
        <f t="shared" si="133"/>
        <v>8898</v>
      </c>
      <c r="D452" s="785">
        <f t="shared" si="138"/>
        <v>786.69531534230748</v>
      </c>
      <c r="E452" s="785">
        <f t="shared" si="138"/>
        <v>248.93530506987395</v>
      </c>
      <c r="F452" s="785">
        <f t="shared" si="138"/>
        <v>536.73465020223853</v>
      </c>
      <c r="G452" s="785">
        <f t="shared" si="138"/>
        <v>42.901106426691207</v>
      </c>
      <c r="H452" s="785">
        <f t="shared" si="138"/>
        <v>781.13296381107284</v>
      </c>
      <c r="I452" s="785">
        <f t="shared" si="138"/>
        <v>200.6170308387014</v>
      </c>
      <c r="J452" s="369">
        <f t="shared" si="138"/>
        <v>0</v>
      </c>
      <c r="K452" s="25">
        <f t="shared" si="134"/>
        <v>11494.016371690885</v>
      </c>
      <c r="L452" s="785">
        <v>2</v>
      </c>
      <c r="M452" s="785">
        <f t="shared" si="135"/>
        <v>5747.0081858454423</v>
      </c>
      <c r="N452" s="685">
        <v>7348</v>
      </c>
      <c r="O452" s="685"/>
      <c r="P452" s="189" t="s">
        <v>410</v>
      </c>
      <c r="Q452" s="800">
        <v>40862</v>
      </c>
      <c r="R452" s="801"/>
      <c r="S452" s="310">
        <f>L452</f>
        <v>2</v>
      </c>
      <c r="T452" s="832">
        <v>4449</v>
      </c>
      <c r="U452" s="25">
        <f t="shared" si="136"/>
        <v>8898</v>
      </c>
      <c r="V452" s="460"/>
      <c r="W452" s="800"/>
      <c r="X452" s="834"/>
      <c r="Y452" s="832"/>
      <c r="Z452" s="25">
        <f t="shared" si="137"/>
        <v>0</v>
      </c>
    </row>
    <row r="453" spans="1:26" ht="16.5" customHeight="1">
      <c r="A453" s="784">
        <f t="shared" si="132"/>
        <v>97</v>
      </c>
      <c r="B453" s="302" t="s">
        <v>950</v>
      </c>
      <c r="C453" s="25">
        <f t="shared" si="133"/>
        <v>1527848</v>
      </c>
      <c r="D453" s="785">
        <f t="shared" si="138"/>
        <v>86929.832345324976</v>
      </c>
      <c r="E453" s="785">
        <f t="shared" si="138"/>
        <v>27507.35121022107</v>
      </c>
      <c r="F453" s="785">
        <f t="shared" si="138"/>
        <v>59309.178847347357</v>
      </c>
      <c r="G453" s="785">
        <f t="shared" si="138"/>
        <v>4740.5722601493781</v>
      </c>
      <c r="H453" s="785">
        <f t="shared" si="138"/>
        <v>86315.192501123543</v>
      </c>
      <c r="I453" s="785">
        <f t="shared" si="138"/>
        <v>22168.181907676506</v>
      </c>
      <c r="J453" s="369">
        <f t="shared" si="138"/>
        <v>0</v>
      </c>
      <c r="K453" s="25">
        <f t="shared" si="134"/>
        <v>1814817.3090718428</v>
      </c>
      <c r="L453" s="785">
        <v>221</v>
      </c>
      <c r="M453" s="785">
        <f t="shared" si="135"/>
        <v>8211.8430274744023</v>
      </c>
      <c r="N453" s="685">
        <v>9594</v>
      </c>
      <c r="O453" s="685"/>
      <c r="P453" s="40" t="s">
        <v>662</v>
      </c>
      <c r="Q453" s="800">
        <v>40862</v>
      </c>
      <c r="R453" s="801"/>
      <c r="S453" s="310">
        <v>56</v>
      </c>
      <c r="T453" s="832">
        <v>27283</v>
      </c>
      <c r="U453" s="25">
        <f t="shared" si="136"/>
        <v>1527848</v>
      </c>
      <c r="V453" s="460"/>
      <c r="W453" s="800"/>
      <c r="X453" s="834"/>
      <c r="Y453" s="832"/>
      <c r="Z453" s="25">
        <f t="shared" si="137"/>
        <v>0</v>
      </c>
    </row>
    <row r="454" spans="1:26" ht="16.5" customHeight="1">
      <c r="A454" s="784">
        <f t="shared" si="132"/>
        <v>98</v>
      </c>
      <c r="B454" s="302" t="s">
        <v>782</v>
      </c>
      <c r="C454" s="25">
        <f t="shared" si="133"/>
        <v>794561</v>
      </c>
      <c r="D454" s="785">
        <f t="shared" si="138"/>
        <v>24387.55477561153</v>
      </c>
      <c r="E454" s="785">
        <f t="shared" si="138"/>
        <v>7716.9944571660926</v>
      </c>
      <c r="F454" s="785">
        <f t="shared" si="138"/>
        <v>16638.774156269395</v>
      </c>
      <c r="G454" s="785">
        <f t="shared" si="138"/>
        <v>1329.9342992274273</v>
      </c>
      <c r="H454" s="785">
        <f t="shared" si="138"/>
        <v>24215.121878143258</v>
      </c>
      <c r="I454" s="785">
        <f t="shared" si="138"/>
        <v>6219.1279559997429</v>
      </c>
      <c r="J454" s="369">
        <f t="shared" si="138"/>
        <v>0</v>
      </c>
      <c r="K454" s="25">
        <f t="shared" si="134"/>
        <v>875067.50752241735</v>
      </c>
      <c r="L454" s="785">
        <v>62</v>
      </c>
      <c r="M454" s="785">
        <f t="shared" si="135"/>
        <v>14113.992056813184</v>
      </c>
      <c r="N454" s="685">
        <v>15136</v>
      </c>
      <c r="O454" s="685"/>
      <c r="P454" s="460" t="s">
        <v>666</v>
      </c>
      <c r="Q454" s="800">
        <v>40862</v>
      </c>
      <c r="R454" s="801"/>
      <c r="S454" s="310">
        <f>L454/2</f>
        <v>31</v>
      </c>
      <c r="T454" s="832">
        <v>25631</v>
      </c>
      <c r="U454" s="25">
        <f t="shared" si="136"/>
        <v>794561</v>
      </c>
      <c r="V454" s="460"/>
      <c r="W454" s="800"/>
      <c r="X454" s="834"/>
      <c r="Y454" s="832"/>
      <c r="Z454" s="25">
        <f t="shared" si="137"/>
        <v>0</v>
      </c>
    </row>
    <row r="455" spans="1:26" ht="16.5" customHeight="1">
      <c r="A455" s="784">
        <f t="shared" si="132"/>
        <v>99</v>
      </c>
      <c r="B455" s="302" t="s">
        <v>946</v>
      </c>
      <c r="C455" s="25">
        <f t="shared" si="133"/>
        <v>851236</v>
      </c>
      <c r="D455" s="785">
        <f t="shared" si="138"/>
        <v>54675.324416290372</v>
      </c>
      <c r="E455" s="785">
        <f t="shared" si="138"/>
        <v>17301.00370235624</v>
      </c>
      <c r="F455" s="785">
        <f t="shared" si="138"/>
        <v>37303.058189055577</v>
      </c>
      <c r="G455" s="785">
        <f t="shared" si="138"/>
        <v>2981.6268966550388</v>
      </c>
      <c r="H455" s="785">
        <f t="shared" si="138"/>
        <v>54288.740984869561</v>
      </c>
      <c r="I455" s="785">
        <f t="shared" si="138"/>
        <v>13942.883643289748</v>
      </c>
      <c r="J455" s="369">
        <f t="shared" si="138"/>
        <v>0</v>
      </c>
      <c r="K455" s="25">
        <f t="shared" si="134"/>
        <v>1031727.6378325166</v>
      </c>
      <c r="L455" s="785">
        <v>139</v>
      </c>
      <c r="M455" s="785">
        <f t="shared" si="135"/>
        <v>7422.5009916008385</v>
      </c>
      <c r="N455" s="685">
        <v>8450</v>
      </c>
      <c r="O455" s="685"/>
      <c r="P455" s="189" t="s">
        <v>408</v>
      </c>
      <c r="Q455" s="800">
        <v>40862</v>
      </c>
      <c r="R455" s="801"/>
      <c r="S455" s="310">
        <v>139</v>
      </c>
      <c r="T455" s="832">
        <v>6124</v>
      </c>
      <c r="U455" s="25">
        <f t="shared" si="136"/>
        <v>851236</v>
      </c>
      <c r="V455" s="460"/>
      <c r="W455" s="800"/>
      <c r="X455" s="834"/>
      <c r="Y455" s="832"/>
      <c r="Z455" s="25">
        <f t="shared" si="137"/>
        <v>0</v>
      </c>
    </row>
    <row r="456" spans="1:26" ht="16.5" customHeight="1">
      <c r="A456" s="784">
        <f t="shared" si="132"/>
        <v>100</v>
      </c>
      <c r="B456" s="302" t="s">
        <v>769</v>
      </c>
      <c r="C456" s="25">
        <f t="shared" si="133"/>
        <v>2574312</v>
      </c>
      <c r="D456" s="785">
        <f t="shared" si="138"/>
        <v>122724.46919339997</v>
      </c>
      <c r="E456" s="785">
        <f t="shared" si="138"/>
        <v>38833.907590900337</v>
      </c>
      <c r="F456" s="785">
        <f t="shared" si="138"/>
        <v>83730.605431549207</v>
      </c>
      <c r="G456" s="785">
        <f t="shared" si="138"/>
        <v>6692.5726025638287</v>
      </c>
      <c r="H456" s="785">
        <f t="shared" si="138"/>
        <v>121856.74235452736</v>
      </c>
      <c r="I456" s="785">
        <f t="shared" si="138"/>
        <v>31296.256810837418</v>
      </c>
      <c r="J456" s="369">
        <f t="shared" si="138"/>
        <v>0</v>
      </c>
      <c r="K456" s="25">
        <f t="shared" si="134"/>
        <v>2979445.5539837787</v>
      </c>
      <c r="L456" s="785">
        <v>312</v>
      </c>
      <c r="M456" s="785">
        <f t="shared" si="135"/>
        <v>9549.50498071724</v>
      </c>
      <c r="N456" s="685">
        <v>10595</v>
      </c>
      <c r="O456" s="685"/>
      <c r="P456" s="40" t="s">
        <v>672</v>
      </c>
      <c r="Q456" s="800">
        <v>40862</v>
      </c>
      <c r="R456" s="801"/>
      <c r="S456" s="310">
        <f>L456/2</f>
        <v>156</v>
      </c>
      <c r="T456" s="832">
        <v>16502</v>
      </c>
      <c r="U456" s="25">
        <f t="shared" si="136"/>
        <v>2574312</v>
      </c>
      <c r="V456" s="460"/>
      <c r="W456" s="800"/>
      <c r="X456" s="834"/>
      <c r="Y456" s="832"/>
      <c r="Z456" s="25">
        <f t="shared" si="137"/>
        <v>0</v>
      </c>
    </row>
    <row r="457" spans="1:26" ht="16.5" customHeight="1">
      <c r="A457" s="784">
        <f t="shared" si="132"/>
        <v>101</v>
      </c>
      <c r="B457" s="302" t="s">
        <v>1322</v>
      </c>
      <c r="C457" s="25">
        <f t="shared" si="133"/>
        <v>124128</v>
      </c>
      <c r="D457" s="785">
        <f t="shared" si="138"/>
        <v>4720.1718920538451</v>
      </c>
      <c r="E457" s="785">
        <f t="shared" si="138"/>
        <v>1493.6118304192437</v>
      </c>
      <c r="F457" s="785">
        <f t="shared" si="138"/>
        <v>3220.4079012134312</v>
      </c>
      <c r="G457" s="785">
        <f t="shared" si="138"/>
        <v>257.40663856014726</v>
      </c>
      <c r="H457" s="785">
        <f t="shared" si="138"/>
        <v>4686.797782866437</v>
      </c>
      <c r="I457" s="785">
        <f t="shared" si="138"/>
        <v>1203.7021850322085</v>
      </c>
      <c r="J457" s="369">
        <f t="shared" si="138"/>
        <v>0</v>
      </c>
      <c r="K457" s="25">
        <f t="shared" si="134"/>
        <v>139709.09823014532</v>
      </c>
      <c r="L457" s="785">
        <v>12</v>
      </c>
      <c r="M457" s="785">
        <f t="shared" si="135"/>
        <v>11642.424852512109</v>
      </c>
      <c r="N457" s="685">
        <v>14836</v>
      </c>
      <c r="O457" s="685"/>
      <c r="P457" s="189" t="s">
        <v>601</v>
      </c>
      <c r="Q457" s="800">
        <v>40862</v>
      </c>
      <c r="R457" s="801"/>
      <c r="S457" s="310">
        <f>L457</f>
        <v>12</v>
      </c>
      <c r="T457" s="832">
        <v>10344</v>
      </c>
      <c r="U457" s="25">
        <f t="shared" si="136"/>
        <v>124128</v>
      </c>
      <c r="V457" s="460"/>
      <c r="W457" s="800"/>
      <c r="X457" s="834"/>
      <c r="Y457" s="832"/>
      <c r="Z457" s="25">
        <f t="shared" si="137"/>
        <v>0</v>
      </c>
    </row>
    <row r="458" spans="1:26" ht="16.5" customHeight="1">
      <c r="A458" s="784">
        <f t="shared" si="132"/>
        <v>102</v>
      </c>
      <c r="B458" s="302" t="s">
        <v>773</v>
      </c>
      <c r="C458" s="25">
        <f t="shared" si="133"/>
        <v>2533285</v>
      </c>
      <c r="D458" s="785">
        <f t="shared" si="138"/>
        <v>81029.617480257672</v>
      </c>
      <c r="E458" s="785">
        <f t="shared" si="138"/>
        <v>25640.336422197015</v>
      </c>
      <c r="F458" s="785">
        <f t="shared" si="138"/>
        <v>55283.668970830571</v>
      </c>
      <c r="G458" s="785">
        <f t="shared" si="138"/>
        <v>4418.813961949194</v>
      </c>
      <c r="H458" s="785">
        <f t="shared" si="138"/>
        <v>80456.695272540499</v>
      </c>
      <c r="I458" s="785">
        <f t="shared" si="138"/>
        <v>20663.554176386242</v>
      </c>
      <c r="J458" s="369">
        <f t="shared" si="138"/>
        <v>0</v>
      </c>
      <c r="K458" s="25">
        <f t="shared" si="134"/>
        <v>2800776.6862841616</v>
      </c>
      <c r="L458" s="785">
        <v>206</v>
      </c>
      <c r="M458" s="785">
        <f t="shared" si="135"/>
        <v>13596.003331476513</v>
      </c>
      <c r="N458" s="685">
        <v>15618</v>
      </c>
      <c r="O458" s="685"/>
      <c r="P458" s="189" t="s">
        <v>661</v>
      </c>
      <c r="Q458" s="800">
        <v>40862</v>
      </c>
      <c r="R458" s="801"/>
      <c r="S458" s="310">
        <f>L458/2</f>
        <v>103</v>
      </c>
      <c r="T458" s="832">
        <v>24595</v>
      </c>
      <c r="U458" s="25">
        <f t="shared" si="136"/>
        <v>2533285</v>
      </c>
      <c r="V458" s="460"/>
      <c r="W458" s="800"/>
      <c r="X458" s="834"/>
      <c r="Y458" s="832"/>
      <c r="Z458" s="25">
        <f t="shared" si="137"/>
        <v>0</v>
      </c>
    </row>
    <row r="459" spans="1:26" ht="16.5" customHeight="1">
      <c r="A459" s="784">
        <f t="shared" si="132"/>
        <v>103</v>
      </c>
      <c r="B459" s="302" t="s">
        <v>1323</v>
      </c>
      <c r="C459" s="25">
        <f t="shared" si="133"/>
        <v>627930</v>
      </c>
      <c r="D459" s="785">
        <f t="shared" si="138"/>
        <v>17700.644595201917</v>
      </c>
      <c r="E459" s="785">
        <f t="shared" si="138"/>
        <v>5601.0443640721642</v>
      </c>
      <c r="F459" s="785">
        <f t="shared" si="138"/>
        <v>12076.529629550367</v>
      </c>
      <c r="G459" s="785">
        <f t="shared" si="138"/>
        <v>965.27489460055222</v>
      </c>
      <c r="H459" s="785">
        <f t="shared" si="138"/>
        <v>17575.491685749141</v>
      </c>
      <c r="I459" s="785">
        <f t="shared" si="138"/>
        <v>4513.8831938707817</v>
      </c>
      <c r="J459" s="369">
        <f t="shared" si="138"/>
        <v>0</v>
      </c>
      <c r="K459" s="25">
        <f t="shared" si="134"/>
        <v>686361.86836304492</v>
      </c>
      <c r="L459" s="785">
        <v>45</v>
      </c>
      <c r="M459" s="785">
        <f t="shared" si="135"/>
        <v>15252.485963623221</v>
      </c>
      <c r="N459" s="685">
        <v>16215</v>
      </c>
      <c r="O459" s="685"/>
      <c r="P459" s="189" t="s">
        <v>572</v>
      </c>
      <c r="Q459" s="800">
        <v>40862</v>
      </c>
      <c r="R459" s="801"/>
      <c r="S459" s="310">
        <f>L459</f>
        <v>45</v>
      </c>
      <c r="T459" s="832">
        <v>13954</v>
      </c>
      <c r="U459" s="25">
        <f t="shared" si="136"/>
        <v>627930</v>
      </c>
      <c r="V459" s="460"/>
      <c r="W459" s="800"/>
      <c r="X459" s="834"/>
      <c r="Y459" s="832"/>
      <c r="Z459" s="25">
        <f t="shared" si="137"/>
        <v>0</v>
      </c>
    </row>
    <row r="460" spans="1:26" ht="16.5" customHeight="1">
      <c r="A460" s="784">
        <f t="shared" si="132"/>
        <v>104</v>
      </c>
      <c r="B460" s="302" t="s">
        <v>1324</v>
      </c>
      <c r="C460" s="25">
        <f t="shared" si="133"/>
        <v>597870</v>
      </c>
      <c r="D460" s="785">
        <f t="shared" si="138"/>
        <v>24780.902433282685</v>
      </c>
      <c r="E460" s="785">
        <f t="shared" si="138"/>
        <v>7841.4621097010295</v>
      </c>
      <c r="F460" s="785">
        <f t="shared" si="138"/>
        <v>16907.141481370512</v>
      </c>
      <c r="G460" s="785">
        <f t="shared" si="138"/>
        <v>1351.3848524407731</v>
      </c>
      <c r="H460" s="785">
        <f t="shared" si="138"/>
        <v>24605.688360048793</v>
      </c>
      <c r="I460" s="785">
        <f t="shared" si="138"/>
        <v>6319.4364714190942</v>
      </c>
      <c r="J460" s="369">
        <f t="shared" si="138"/>
        <v>0</v>
      </c>
      <c r="K460" s="25">
        <f t="shared" si="134"/>
        <v>679675.01570826292</v>
      </c>
      <c r="L460" s="785">
        <v>63</v>
      </c>
      <c r="M460" s="785">
        <f t="shared" si="135"/>
        <v>10788.49231282957</v>
      </c>
      <c r="N460" s="685">
        <v>12346</v>
      </c>
      <c r="O460" s="685"/>
      <c r="P460" s="40" t="s">
        <v>634</v>
      </c>
      <c r="Q460" s="800">
        <v>40862</v>
      </c>
      <c r="R460" s="801"/>
      <c r="S460" s="310">
        <v>32.5</v>
      </c>
      <c r="T460" s="832">
        <v>18396</v>
      </c>
      <c r="U460" s="25">
        <f t="shared" si="136"/>
        <v>597870</v>
      </c>
      <c r="V460" s="460"/>
      <c r="W460" s="800"/>
      <c r="X460" s="834"/>
      <c r="Y460" s="832"/>
      <c r="Z460" s="25">
        <f t="shared" si="137"/>
        <v>0</v>
      </c>
    </row>
    <row r="461" spans="1:26" ht="16.5" customHeight="1">
      <c r="A461" s="784">
        <f t="shared" si="132"/>
        <v>105</v>
      </c>
      <c r="B461" s="302" t="s">
        <v>1325</v>
      </c>
      <c r="C461" s="25">
        <f t="shared" si="133"/>
        <v>608340</v>
      </c>
      <c r="D461" s="785">
        <f t="shared" si="138"/>
        <v>23600.859460269225</v>
      </c>
      <c r="E461" s="785">
        <f t="shared" si="138"/>
        <v>7468.0591520962189</v>
      </c>
      <c r="F461" s="785">
        <f t="shared" si="138"/>
        <v>16102.039506067156</v>
      </c>
      <c r="G461" s="785">
        <f t="shared" si="138"/>
        <v>1287.0331928007363</v>
      </c>
      <c r="H461" s="785">
        <f t="shared" si="138"/>
        <v>23433.988914332185</v>
      </c>
      <c r="I461" s="785">
        <f t="shared" si="138"/>
        <v>6018.510925161042</v>
      </c>
      <c r="J461" s="369">
        <f t="shared" si="138"/>
        <v>0</v>
      </c>
      <c r="K461" s="25">
        <f t="shared" si="134"/>
        <v>686249.49115072656</v>
      </c>
      <c r="L461" s="785">
        <v>60</v>
      </c>
      <c r="M461" s="785">
        <f t="shared" si="135"/>
        <v>11437.491519178777</v>
      </c>
      <c r="N461" s="685">
        <v>13110</v>
      </c>
      <c r="O461" s="685"/>
      <c r="P461" s="40" t="s">
        <v>665</v>
      </c>
      <c r="Q461" s="800">
        <v>40862</v>
      </c>
      <c r="R461" s="801"/>
      <c r="S461" s="310">
        <f>L461/2</f>
        <v>30</v>
      </c>
      <c r="T461" s="832">
        <v>20278</v>
      </c>
      <c r="U461" s="25">
        <f t="shared" si="136"/>
        <v>608340</v>
      </c>
      <c r="V461" s="460"/>
      <c r="W461" s="800"/>
      <c r="X461" s="834"/>
      <c r="Y461" s="832"/>
      <c r="Z461" s="25">
        <f t="shared" si="137"/>
        <v>0</v>
      </c>
    </row>
    <row r="462" spans="1:26" ht="16.5" customHeight="1">
      <c r="A462" s="784">
        <f t="shared" si="132"/>
        <v>106</v>
      </c>
      <c r="B462" s="302" t="s">
        <v>1326</v>
      </c>
      <c r="C462" s="25">
        <f t="shared" si="133"/>
        <v>503311</v>
      </c>
      <c r="D462" s="785">
        <f t="shared" si="138"/>
        <v>23994.207117940379</v>
      </c>
      <c r="E462" s="785">
        <f t="shared" si="138"/>
        <v>7592.5268046311558</v>
      </c>
      <c r="F462" s="785">
        <f t="shared" si="138"/>
        <v>16370.406831168275</v>
      </c>
      <c r="G462" s="785">
        <f t="shared" si="138"/>
        <v>1308.4837460140818</v>
      </c>
      <c r="H462" s="785">
        <f t="shared" si="138"/>
        <v>23824.555396237723</v>
      </c>
      <c r="I462" s="785">
        <f t="shared" si="138"/>
        <v>6118.8194405803924</v>
      </c>
      <c r="J462" s="369">
        <f t="shared" si="138"/>
        <v>0</v>
      </c>
      <c r="K462" s="25">
        <f t="shared" si="134"/>
        <v>582518.99933657201</v>
      </c>
      <c r="L462" s="785">
        <v>61</v>
      </c>
      <c r="M462" s="785">
        <f t="shared" si="135"/>
        <v>9549.4917924028196</v>
      </c>
      <c r="N462" s="685">
        <v>10884</v>
      </c>
      <c r="O462" s="685"/>
      <c r="P462" s="40" t="s">
        <v>672</v>
      </c>
      <c r="Q462" s="800">
        <v>40862</v>
      </c>
      <c r="R462" s="801"/>
      <c r="S462" s="310">
        <f>L462/2</f>
        <v>30.5</v>
      </c>
      <c r="T462" s="832">
        <v>16502</v>
      </c>
      <c r="U462" s="25">
        <f t="shared" si="136"/>
        <v>503311</v>
      </c>
      <c r="V462" s="460"/>
      <c r="W462" s="800"/>
      <c r="X462" s="834"/>
      <c r="Y462" s="832"/>
      <c r="Z462" s="25">
        <f t="shared" si="137"/>
        <v>0</v>
      </c>
    </row>
    <row r="463" spans="1:26" ht="16.5" customHeight="1">
      <c r="A463" s="784">
        <f t="shared" si="132"/>
        <v>107</v>
      </c>
      <c r="B463" s="302" t="s">
        <v>1327</v>
      </c>
      <c r="C463" s="25">
        <f t="shared" si="133"/>
        <v>1767303</v>
      </c>
      <c r="D463" s="785">
        <f t="shared" si="138"/>
        <v>40908.15639779999</v>
      </c>
      <c r="E463" s="785">
        <f t="shared" si="138"/>
        <v>12944.635863633444</v>
      </c>
      <c r="F463" s="785">
        <f t="shared" si="138"/>
        <v>27910.201810516402</v>
      </c>
      <c r="G463" s="785">
        <f t="shared" si="138"/>
        <v>2230.8575341879427</v>
      </c>
      <c r="H463" s="785">
        <f t="shared" si="138"/>
        <v>40618.914118175788</v>
      </c>
      <c r="I463" s="785">
        <f t="shared" si="138"/>
        <v>10432.085603612473</v>
      </c>
      <c r="J463" s="369">
        <f t="shared" si="138"/>
        <v>0</v>
      </c>
      <c r="K463" s="25">
        <f t="shared" si="134"/>
        <v>1902346.8513279259</v>
      </c>
      <c r="L463" s="785">
        <v>104</v>
      </c>
      <c r="M463" s="785">
        <f t="shared" si="135"/>
        <v>18291.796647383904</v>
      </c>
      <c r="N463" s="685">
        <v>22061</v>
      </c>
      <c r="O463" s="685"/>
      <c r="P463" s="40" t="s">
        <v>664</v>
      </c>
      <c r="Q463" s="800">
        <v>40862</v>
      </c>
      <c r="R463" s="801"/>
      <c r="S463" s="310">
        <v>51</v>
      </c>
      <c r="T463" s="832">
        <v>34653</v>
      </c>
      <c r="U463" s="25">
        <f t="shared" si="136"/>
        <v>1767303</v>
      </c>
      <c r="V463" s="460"/>
      <c r="W463" s="800"/>
      <c r="X463" s="834"/>
      <c r="Y463" s="832"/>
      <c r="Z463" s="25">
        <f t="shared" si="137"/>
        <v>0</v>
      </c>
    </row>
    <row r="464" spans="1:26" ht="16.5" customHeight="1">
      <c r="A464" s="784">
        <f t="shared" si="132"/>
        <v>108</v>
      </c>
      <c r="B464" s="302" t="s">
        <v>1328</v>
      </c>
      <c r="C464" s="25">
        <f t="shared" si="133"/>
        <v>1036754</v>
      </c>
      <c r="D464" s="785">
        <f t="shared" si="138"/>
        <v>59788.843966015367</v>
      </c>
      <c r="E464" s="785">
        <f t="shared" si="138"/>
        <v>18919.083185310421</v>
      </c>
      <c r="F464" s="785">
        <f t="shared" si="138"/>
        <v>40791.833415370129</v>
      </c>
      <c r="G464" s="785">
        <f t="shared" si="138"/>
        <v>3260.4840884285318</v>
      </c>
      <c r="H464" s="785">
        <f t="shared" si="138"/>
        <v>59366.105249641536</v>
      </c>
      <c r="I464" s="785">
        <f t="shared" si="138"/>
        <v>15246.894343741305</v>
      </c>
      <c r="J464" s="369">
        <f t="shared" si="138"/>
        <v>0</v>
      </c>
      <c r="K464" s="25">
        <f t="shared" si="134"/>
        <v>1234126.2442485073</v>
      </c>
      <c r="L464" s="785">
        <v>152</v>
      </c>
      <c r="M464" s="785">
        <f t="shared" si="135"/>
        <v>8119.251606898074</v>
      </c>
      <c r="N464" s="685">
        <v>9449</v>
      </c>
      <c r="O464" s="685"/>
      <c r="P464" s="40" t="s">
        <v>662</v>
      </c>
      <c r="Q464" s="800">
        <v>40862</v>
      </c>
      <c r="R464" s="801"/>
      <c r="S464" s="310">
        <f>L464/4</f>
        <v>38</v>
      </c>
      <c r="T464" s="832">
        <v>27283</v>
      </c>
      <c r="U464" s="25">
        <f t="shared" si="136"/>
        <v>1036754</v>
      </c>
      <c r="V464" s="460"/>
      <c r="W464" s="800"/>
      <c r="X464" s="834"/>
      <c r="Y464" s="832"/>
      <c r="Z464" s="25">
        <f t="shared" si="137"/>
        <v>0</v>
      </c>
    </row>
    <row r="465" spans="1:26" ht="16.5" customHeight="1">
      <c r="A465" s="784">
        <f t="shared" si="132"/>
        <v>109</v>
      </c>
      <c r="B465" s="302" t="s">
        <v>1329</v>
      </c>
      <c r="C465" s="25">
        <f t="shared" si="133"/>
        <v>1947236</v>
      </c>
      <c r="D465" s="785">
        <f t="shared" si="138"/>
        <v>92436.699552721126</v>
      </c>
      <c r="E465" s="785">
        <f t="shared" si="138"/>
        <v>29249.898345710189</v>
      </c>
      <c r="F465" s="785">
        <f t="shared" si="138"/>
        <v>63066.32139876303</v>
      </c>
      <c r="G465" s="785">
        <f t="shared" si="138"/>
        <v>5040.8800051362168</v>
      </c>
      <c r="H465" s="785">
        <f t="shared" si="138"/>
        <v>91783.123247801064</v>
      </c>
      <c r="I465" s="785">
        <f t="shared" si="138"/>
        <v>23572.501123547416</v>
      </c>
      <c r="J465" s="369">
        <f t="shared" si="138"/>
        <v>0</v>
      </c>
      <c r="K465" s="25">
        <f t="shared" si="134"/>
        <v>2252384.4236736791</v>
      </c>
      <c r="L465" s="785">
        <v>235</v>
      </c>
      <c r="M465" s="785">
        <f t="shared" si="135"/>
        <v>9584.6145688241668</v>
      </c>
      <c r="N465" s="685">
        <v>10362</v>
      </c>
      <c r="O465" s="685"/>
      <c r="P465" s="40" t="s">
        <v>672</v>
      </c>
      <c r="Q465" s="800">
        <v>40862</v>
      </c>
      <c r="R465" s="801"/>
      <c r="S465" s="310">
        <v>118</v>
      </c>
      <c r="T465" s="832">
        <v>16502</v>
      </c>
      <c r="U465" s="25">
        <f t="shared" si="136"/>
        <v>1947236</v>
      </c>
      <c r="V465" s="460"/>
      <c r="W465" s="800"/>
      <c r="X465" s="834"/>
      <c r="Y465" s="832"/>
      <c r="Z465" s="25">
        <f t="shared" si="137"/>
        <v>0</v>
      </c>
    </row>
    <row r="466" spans="1:26" ht="16.5" customHeight="1">
      <c r="A466" s="784">
        <f t="shared" si="132"/>
        <v>110</v>
      </c>
      <c r="B466" s="302" t="s">
        <v>1330</v>
      </c>
      <c r="C466" s="25">
        <f t="shared" si="133"/>
        <v>658407</v>
      </c>
      <c r="D466" s="785">
        <f t="shared" si="138"/>
        <v>14947.210991503842</v>
      </c>
      <c r="E466" s="785">
        <f t="shared" si="138"/>
        <v>4729.7707963276052</v>
      </c>
      <c r="F466" s="785">
        <f t="shared" si="138"/>
        <v>10197.958353842532</v>
      </c>
      <c r="G466" s="785">
        <f t="shared" si="138"/>
        <v>815.12102210713294</v>
      </c>
      <c r="H466" s="785">
        <f t="shared" si="138"/>
        <v>14841.526312410384</v>
      </c>
      <c r="I466" s="785">
        <f t="shared" si="138"/>
        <v>3811.7235859353264</v>
      </c>
      <c r="J466" s="369">
        <f t="shared" si="138"/>
        <v>0</v>
      </c>
      <c r="K466" s="25">
        <f t="shared" si="134"/>
        <v>707749.31106212665</v>
      </c>
      <c r="L466" s="785">
        <v>38</v>
      </c>
      <c r="M466" s="785">
        <f t="shared" si="135"/>
        <v>18624.981870055966</v>
      </c>
      <c r="N466" s="685">
        <v>25864</v>
      </c>
      <c r="O466" s="685"/>
      <c r="P466" s="40" t="s">
        <v>664</v>
      </c>
      <c r="Q466" s="800">
        <v>40866</v>
      </c>
      <c r="R466" s="801"/>
      <c r="S466" s="310">
        <f>L466/2</f>
        <v>19</v>
      </c>
      <c r="T466" s="832">
        <v>34653</v>
      </c>
      <c r="U466" s="25">
        <f t="shared" si="136"/>
        <v>658407</v>
      </c>
      <c r="V466" s="460"/>
      <c r="W466" s="800"/>
      <c r="X466" s="834"/>
      <c r="Y466" s="832"/>
      <c r="Z466" s="25">
        <f t="shared" si="137"/>
        <v>0</v>
      </c>
    </row>
    <row r="467" spans="1:26" ht="16.5" customHeight="1">
      <c r="A467" s="784">
        <f t="shared" si="132"/>
        <v>111</v>
      </c>
      <c r="B467" s="302" t="s">
        <v>1332</v>
      </c>
      <c r="C467" s="25">
        <f t="shared" si="133"/>
        <v>112840</v>
      </c>
      <c r="D467" s="785">
        <f t="shared" si="138"/>
        <v>3146.7812613692299</v>
      </c>
      <c r="E467" s="785">
        <f t="shared" si="138"/>
        <v>995.74122027949579</v>
      </c>
      <c r="F467" s="785">
        <f t="shared" si="138"/>
        <v>2146.9386008089541</v>
      </c>
      <c r="G467" s="785">
        <f t="shared" si="138"/>
        <v>171.60442570676483</v>
      </c>
      <c r="H467" s="785">
        <f t="shared" si="138"/>
        <v>3124.5318552442914</v>
      </c>
      <c r="I467" s="785">
        <f t="shared" si="138"/>
        <v>802.46812335480558</v>
      </c>
      <c r="J467" s="369">
        <f t="shared" si="138"/>
        <v>0</v>
      </c>
      <c r="K467" s="25">
        <f t="shared" si="134"/>
        <v>123227.06548676355</v>
      </c>
      <c r="L467" s="785">
        <v>8</v>
      </c>
      <c r="M467" s="785">
        <f t="shared" si="135"/>
        <v>15403.383185845443</v>
      </c>
      <c r="N467" s="685">
        <v>17968</v>
      </c>
      <c r="O467" s="685"/>
      <c r="P467" s="40" t="s">
        <v>674</v>
      </c>
      <c r="Q467" s="800">
        <v>40866</v>
      </c>
      <c r="R467" s="801"/>
      <c r="S467" s="310">
        <f>L467</f>
        <v>8</v>
      </c>
      <c r="T467" s="832">
        <v>14105</v>
      </c>
      <c r="U467" s="25">
        <f t="shared" si="136"/>
        <v>112840</v>
      </c>
      <c r="V467" s="460"/>
      <c r="W467" s="800"/>
      <c r="X467" s="834"/>
      <c r="Y467" s="832"/>
      <c r="Z467" s="25">
        <f t="shared" si="137"/>
        <v>0</v>
      </c>
    </row>
    <row r="468" spans="1:26" ht="16.5" customHeight="1">
      <c r="A468" s="784">
        <f t="shared" si="132"/>
        <v>112</v>
      </c>
      <c r="B468" s="302" t="s">
        <v>1333</v>
      </c>
      <c r="C468" s="25">
        <f t="shared" si="133"/>
        <v>206880</v>
      </c>
      <c r="D468" s="785">
        <f t="shared" si="138"/>
        <v>9440.3437841076902</v>
      </c>
      <c r="E468" s="785">
        <f t="shared" si="138"/>
        <v>2987.2236608384874</v>
      </c>
      <c r="F468" s="785">
        <f t="shared" si="138"/>
        <v>6440.8158024268623</v>
      </c>
      <c r="G468" s="785">
        <f t="shared" si="138"/>
        <v>514.81327712029452</v>
      </c>
      <c r="H468" s="785">
        <f t="shared" si="138"/>
        <v>9373.5955657328741</v>
      </c>
      <c r="I468" s="785">
        <f t="shared" si="138"/>
        <v>2407.404370064417</v>
      </c>
      <c r="J468" s="369">
        <f t="shared" si="138"/>
        <v>0</v>
      </c>
      <c r="K468" s="25">
        <f t="shared" si="134"/>
        <v>238043.19646029061</v>
      </c>
      <c r="L468" s="785">
        <v>24</v>
      </c>
      <c r="M468" s="785">
        <f t="shared" si="135"/>
        <v>9918.4665191787753</v>
      </c>
      <c r="N468" s="685">
        <v>11987</v>
      </c>
      <c r="O468" s="685"/>
      <c r="P468" s="189" t="s">
        <v>530</v>
      </c>
      <c r="Q468" s="800">
        <v>40866</v>
      </c>
      <c r="R468" s="801"/>
      <c r="S468" s="310">
        <f>L468</f>
        <v>24</v>
      </c>
      <c r="T468" s="832">
        <v>8620</v>
      </c>
      <c r="U468" s="25">
        <f t="shared" si="136"/>
        <v>206880</v>
      </c>
      <c r="V468" s="460"/>
      <c r="W468" s="800"/>
      <c r="X468" s="834"/>
      <c r="Y468" s="832"/>
      <c r="Z468" s="25">
        <f t="shared" si="137"/>
        <v>0</v>
      </c>
    </row>
    <row r="469" spans="1:26" ht="16.5" customHeight="1">
      <c r="A469" s="784">
        <f t="shared" si="132"/>
        <v>113</v>
      </c>
      <c r="B469" s="302" t="s">
        <v>1334</v>
      </c>
      <c r="C469" s="25">
        <f t="shared" si="133"/>
        <v>169260</v>
      </c>
      <c r="D469" s="785">
        <f t="shared" si="138"/>
        <v>9440.3437841076902</v>
      </c>
      <c r="E469" s="785">
        <f t="shared" si="138"/>
        <v>2987.2236608384874</v>
      </c>
      <c r="F469" s="785">
        <f t="shared" si="138"/>
        <v>6440.8158024268623</v>
      </c>
      <c r="G469" s="785">
        <f t="shared" si="138"/>
        <v>514.81327712029452</v>
      </c>
      <c r="H469" s="785">
        <f t="shared" si="138"/>
        <v>9373.5955657328741</v>
      </c>
      <c r="I469" s="785">
        <f t="shared" si="138"/>
        <v>2407.404370064417</v>
      </c>
      <c r="J469" s="369">
        <f t="shared" si="138"/>
        <v>0</v>
      </c>
      <c r="K469" s="25">
        <f t="shared" si="134"/>
        <v>200423.19646029061</v>
      </c>
      <c r="L469" s="785">
        <v>24</v>
      </c>
      <c r="M469" s="785">
        <f t="shared" si="135"/>
        <v>8350.9665191787753</v>
      </c>
      <c r="N469" s="685">
        <v>16916</v>
      </c>
      <c r="O469" s="685"/>
      <c r="P469" s="40" t="s">
        <v>674</v>
      </c>
      <c r="Q469" s="800">
        <v>40866</v>
      </c>
      <c r="R469" s="801"/>
      <c r="S469" s="310">
        <f>L469/2</f>
        <v>12</v>
      </c>
      <c r="T469" s="832">
        <v>14105</v>
      </c>
      <c r="U469" s="25">
        <f t="shared" si="136"/>
        <v>169260</v>
      </c>
      <c r="V469" s="460"/>
      <c r="W469" s="800"/>
      <c r="X469" s="834"/>
      <c r="Y469" s="832"/>
      <c r="Z469" s="25">
        <f t="shared" si="137"/>
        <v>0</v>
      </c>
    </row>
    <row r="470" spans="1:26" ht="16.5" customHeight="1">
      <c r="A470" s="784">
        <f t="shared" si="132"/>
        <v>114</v>
      </c>
      <c r="B470" s="302" t="s">
        <v>1335</v>
      </c>
      <c r="C470" s="25">
        <f t="shared" si="133"/>
        <v>13954</v>
      </c>
      <c r="D470" s="785">
        <f t="shared" si="138"/>
        <v>786.69531534230748</v>
      </c>
      <c r="E470" s="785">
        <f t="shared" si="138"/>
        <v>248.93530506987395</v>
      </c>
      <c r="F470" s="785">
        <f t="shared" si="138"/>
        <v>536.73465020223853</v>
      </c>
      <c r="G470" s="785">
        <f t="shared" si="138"/>
        <v>42.901106426691207</v>
      </c>
      <c r="H470" s="785">
        <f t="shared" si="138"/>
        <v>781.13296381107284</v>
      </c>
      <c r="I470" s="785">
        <f t="shared" si="138"/>
        <v>200.6170308387014</v>
      </c>
      <c r="J470" s="369">
        <f t="shared" si="138"/>
        <v>0</v>
      </c>
      <c r="K470" s="25">
        <f t="shared" si="134"/>
        <v>16550.016371690886</v>
      </c>
      <c r="L470" s="785">
        <v>2</v>
      </c>
      <c r="M470" s="785">
        <f t="shared" si="135"/>
        <v>8275.0081858454432</v>
      </c>
      <c r="N470" s="685">
        <v>8709</v>
      </c>
      <c r="O470" s="685"/>
      <c r="P470" s="189" t="s">
        <v>572</v>
      </c>
      <c r="Q470" s="800">
        <v>40866</v>
      </c>
      <c r="R470" s="801"/>
      <c r="S470" s="310">
        <v>1</v>
      </c>
      <c r="T470" s="832">
        <v>13954</v>
      </c>
      <c r="U470" s="25">
        <f t="shared" si="136"/>
        <v>13954</v>
      </c>
      <c r="V470" s="460"/>
      <c r="W470" s="800"/>
      <c r="X470" s="834"/>
      <c r="Y470" s="832"/>
      <c r="Z470" s="25">
        <f t="shared" si="137"/>
        <v>0</v>
      </c>
    </row>
    <row r="471" spans="1:26" ht="16.5" customHeight="1">
      <c r="A471" s="784">
        <f t="shared" si="132"/>
        <v>115</v>
      </c>
      <c r="B471" s="302" t="s">
        <v>1336</v>
      </c>
      <c r="C471" s="25">
        <f t="shared" si="133"/>
        <v>307438</v>
      </c>
      <c r="D471" s="785">
        <f t="shared" si="138"/>
        <v>9833.691441778843</v>
      </c>
      <c r="E471" s="785">
        <f t="shared" si="138"/>
        <v>3111.6913133734242</v>
      </c>
      <c r="F471" s="785">
        <f t="shared" si="138"/>
        <v>6709.1831275279819</v>
      </c>
      <c r="G471" s="785">
        <f t="shared" si="138"/>
        <v>536.26383033364004</v>
      </c>
      <c r="H471" s="785">
        <f t="shared" si="138"/>
        <v>9764.1620476384105</v>
      </c>
      <c r="I471" s="785">
        <f t="shared" si="138"/>
        <v>2507.7128854837674</v>
      </c>
      <c r="J471" s="369">
        <f t="shared" si="138"/>
        <v>0</v>
      </c>
      <c r="K471" s="25">
        <f t="shared" si="134"/>
        <v>339899.70464613609</v>
      </c>
      <c r="L471" s="785">
        <v>25</v>
      </c>
      <c r="M471" s="785">
        <f t="shared" si="135"/>
        <v>13595.988185845443</v>
      </c>
      <c r="N471" s="685">
        <v>14798</v>
      </c>
      <c r="O471" s="685"/>
      <c r="P471" s="189" t="s">
        <v>661</v>
      </c>
      <c r="Q471" s="800">
        <v>40866</v>
      </c>
      <c r="R471" s="801"/>
      <c r="S471" s="310">
        <f>L471/2</f>
        <v>12.5</v>
      </c>
      <c r="T471" s="832">
        <v>24595</v>
      </c>
      <c r="U471" s="25">
        <f t="shared" si="136"/>
        <v>307438</v>
      </c>
      <c r="V471" s="460"/>
      <c r="W471" s="800"/>
      <c r="X471" s="834"/>
      <c r="Y471" s="832"/>
      <c r="Z471" s="25">
        <f t="shared" si="137"/>
        <v>0</v>
      </c>
    </row>
    <row r="472" spans="1:26" ht="16.5" customHeight="1">
      <c r="A472" s="784">
        <f t="shared" si="132"/>
        <v>116</v>
      </c>
      <c r="B472" s="302" t="s">
        <v>1337</v>
      </c>
      <c r="C472" s="25">
        <f t="shared" si="133"/>
        <v>2361880</v>
      </c>
      <c r="D472" s="785">
        <f t="shared" si="138"/>
        <v>107777.25820189613</v>
      </c>
      <c r="E472" s="785">
        <f t="shared" si="138"/>
        <v>34104.136794572732</v>
      </c>
      <c r="F472" s="785">
        <f t="shared" si="138"/>
        <v>73532.647077706672</v>
      </c>
      <c r="G472" s="785">
        <f t="shared" si="138"/>
        <v>5877.4515804566954</v>
      </c>
      <c r="H472" s="785">
        <f t="shared" si="138"/>
        <v>107015.21604211698</v>
      </c>
      <c r="I472" s="785">
        <f t="shared" si="138"/>
        <v>27484.53322490209</v>
      </c>
      <c r="J472" s="369">
        <f t="shared" si="138"/>
        <v>0</v>
      </c>
      <c r="K472" s="25">
        <f t="shared" si="134"/>
        <v>2717670.2429216513</v>
      </c>
      <c r="L472" s="785">
        <v>274</v>
      </c>
      <c r="M472" s="785">
        <f t="shared" si="135"/>
        <v>9918.5045362104065</v>
      </c>
      <c r="N472" s="685">
        <v>11849</v>
      </c>
      <c r="O472" s="685"/>
      <c r="P472" s="189" t="s">
        <v>530</v>
      </c>
      <c r="Q472" s="800">
        <v>40866</v>
      </c>
      <c r="R472" s="801"/>
      <c r="S472" s="310">
        <f>L472</f>
        <v>274</v>
      </c>
      <c r="T472" s="832">
        <v>8620</v>
      </c>
      <c r="U472" s="25">
        <f t="shared" si="136"/>
        <v>2361880</v>
      </c>
      <c r="V472" s="460"/>
      <c r="W472" s="800"/>
      <c r="X472" s="834"/>
      <c r="Y472" s="832"/>
      <c r="Z472" s="25">
        <f t="shared" si="137"/>
        <v>0</v>
      </c>
    </row>
    <row r="473" spans="1:26" ht="16.5" customHeight="1">
      <c r="A473" s="784">
        <f t="shared" si="132"/>
        <v>117</v>
      </c>
      <c r="B473" s="302" t="s">
        <v>1338</v>
      </c>
      <c r="C473" s="25">
        <f t="shared" si="133"/>
        <v>1060260</v>
      </c>
      <c r="D473" s="785">
        <f t="shared" si="138"/>
        <v>48381.761893551913</v>
      </c>
      <c r="E473" s="785">
        <f t="shared" si="138"/>
        <v>15309.521261797248</v>
      </c>
      <c r="F473" s="785">
        <f t="shared" si="138"/>
        <v>33009.18098743767</v>
      </c>
      <c r="G473" s="785">
        <f t="shared" si="138"/>
        <v>2638.4180452415094</v>
      </c>
      <c r="H473" s="785">
        <f t="shared" si="138"/>
        <v>48039.677274380978</v>
      </c>
      <c r="I473" s="785">
        <f t="shared" si="138"/>
        <v>12337.947396580135</v>
      </c>
      <c r="J473" s="369">
        <f t="shared" si="138"/>
        <v>0</v>
      </c>
      <c r="K473" s="25">
        <f t="shared" si="134"/>
        <v>1219975.5068589896</v>
      </c>
      <c r="L473" s="785">
        <v>123</v>
      </c>
      <c r="M473" s="785">
        <f t="shared" si="135"/>
        <v>9918.5000557641433</v>
      </c>
      <c r="N473" s="685">
        <v>11205</v>
      </c>
      <c r="O473" s="685"/>
      <c r="P473" s="189" t="s">
        <v>530</v>
      </c>
      <c r="Q473" s="800">
        <v>40866</v>
      </c>
      <c r="R473" s="801"/>
      <c r="S473" s="310">
        <f>L473</f>
        <v>123</v>
      </c>
      <c r="T473" s="832">
        <v>8620</v>
      </c>
      <c r="U473" s="25">
        <f t="shared" si="136"/>
        <v>1060260</v>
      </c>
      <c r="V473" s="460"/>
      <c r="W473" s="800"/>
      <c r="X473" s="834"/>
      <c r="Y473" s="832"/>
      <c r="Z473" s="25">
        <f t="shared" si="137"/>
        <v>0</v>
      </c>
    </row>
    <row r="474" spans="1:26" ht="16.5" customHeight="1">
      <c r="A474" s="784">
        <f t="shared" si="132"/>
        <v>118</v>
      </c>
      <c r="B474" s="302" t="s">
        <v>1339</v>
      </c>
      <c r="C474" s="25">
        <f t="shared" si="133"/>
        <v>17796</v>
      </c>
      <c r="D474" s="785">
        <f t="shared" si="138"/>
        <v>46415.02360519614</v>
      </c>
      <c r="E474" s="785">
        <f t="shared" si="138"/>
        <v>14687.182999122562</v>
      </c>
      <c r="F474" s="785">
        <f t="shared" si="138"/>
        <v>31667.344361932071</v>
      </c>
      <c r="G474" s="785">
        <f t="shared" si="138"/>
        <v>2531.1652791747811</v>
      </c>
      <c r="H474" s="785">
        <f t="shared" si="138"/>
        <v>46086.844864853294</v>
      </c>
      <c r="I474" s="785">
        <f t="shared" si="138"/>
        <v>11836.404819483383</v>
      </c>
      <c r="J474" s="369">
        <f t="shared" si="138"/>
        <v>0</v>
      </c>
      <c r="K474" s="25">
        <f t="shared" si="134"/>
        <v>171018.96592976223</v>
      </c>
      <c r="L474" s="785">
        <v>118</v>
      </c>
      <c r="M474" s="785">
        <f t="shared" si="135"/>
        <v>1449.3132705912053</v>
      </c>
      <c r="N474" s="685">
        <v>1087</v>
      </c>
      <c r="O474" s="685"/>
      <c r="P474" s="189" t="s">
        <v>410</v>
      </c>
      <c r="Q474" s="800">
        <v>40866</v>
      </c>
      <c r="R474" s="801"/>
      <c r="S474" s="310">
        <v>4</v>
      </c>
      <c r="T474" s="832">
        <v>4449</v>
      </c>
      <c r="U474" s="25">
        <f t="shared" si="136"/>
        <v>17796</v>
      </c>
      <c r="V474" s="460"/>
      <c r="W474" s="800"/>
      <c r="X474" s="834"/>
      <c r="Y474" s="832"/>
      <c r="Z474" s="25">
        <f t="shared" si="137"/>
        <v>0</v>
      </c>
    </row>
    <row r="475" spans="1:26" ht="16.5" customHeight="1">
      <c r="A475" s="784">
        <f t="shared" si="132"/>
        <v>119</v>
      </c>
      <c r="B475" s="302" t="s">
        <v>1340</v>
      </c>
      <c r="C475" s="25">
        <f t="shared" si="133"/>
        <v>35592</v>
      </c>
      <c r="D475" s="785">
        <f t="shared" si="138"/>
        <v>92830.04721039228</v>
      </c>
      <c r="E475" s="785">
        <f t="shared" si="138"/>
        <v>29374.365998245125</v>
      </c>
      <c r="F475" s="785">
        <f t="shared" si="138"/>
        <v>63334.688723864143</v>
      </c>
      <c r="G475" s="785">
        <f t="shared" si="138"/>
        <v>5062.3305583495621</v>
      </c>
      <c r="H475" s="785">
        <f t="shared" si="138"/>
        <v>92173.689729706588</v>
      </c>
      <c r="I475" s="785">
        <f t="shared" si="138"/>
        <v>23672.809638966766</v>
      </c>
      <c r="J475" s="369">
        <f t="shared" si="138"/>
        <v>0</v>
      </c>
      <c r="K475" s="25">
        <f t="shared" si="134"/>
        <v>342038.93185952445</v>
      </c>
      <c r="L475" s="785">
        <v>236</v>
      </c>
      <c r="M475" s="785">
        <f t="shared" si="135"/>
        <v>1449.3175078793408</v>
      </c>
      <c r="N475" s="685">
        <v>1025</v>
      </c>
      <c r="O475" s="685"/>
      <c r="P475" s="189" t="s">
        <v>410</v>
      </c>
      <c r="Q475" s="800">
        <v>40866</v>
      </c>
      <c r="R475" s="801"/>
      <c r="S475" s="310">
        <v>8</v>
      </c>
      <c r="T475" s="832">
        <v>4449</v>
      </c>
      <c r="U475" s="25">
        <f t="shared" si="136"/>
        <v>35592</v>
      </c>
      <c r="V475" s="460"/>
      <c r="W475" s="800"/>
      <c r="X475" s="834"/>
      <c r="Y475" s="832"/>
      <c r="Z475" s="25">
        <f t="shared" si="137"/>
        <v>0</v>
      </c>
    </row>
    <row r="476" spans="1:26" ht="16.5" customHeight="1">
      <c r="A476" s="784">
        <f t="shared" si="132"/>
        <v>120</v>
      </c>
      <c r="B476" s="302" t="s">
        <v>1341</v>
      </c>
      <c r="C476" s="25">
        <f t="shared" si="133"/>
        <v>13347</v>
      </c>
      <c r="D476" s="785">
        <f t="shared" si="138"/>
        <v>23600.859460269225</v>
      </c>
      <c r="E476" s="785">
        <f t="shared" si="138"/>
        <v>7468.0591520962189</v>
      </c>
      <c r="F476" s="785">
        <f t="shared" si="138"/>
        <v>16102.039506067156</v>
      </c>
      <c r="G476" s="785">
        <f t="shared" si="138"/>
        <v>1287.0331928007363</v>
      </c>
      <c r="H476" s="785">
        <f t="shared" si="138"/>
        <v>23433.988914332185</v>
      </c>
      <c r="I476" s="785">
        <f t="shared" si="138"/>
        <v>6018.510925161042</v>
      </c>
      <c r="J476" s="369">
        <f t="shared" si="138"/>
        <v>0</v>
      </c>
      <c r="K476" s="25">
        <f t="shared" si="134"/>
        <v>91256.491150726564</v>
      </c>
      <c r="L476" s="785">
        <v>60</v>
      </c>
      <c r="M476" s="785">
        <f t="shared" si="135"/>
        <v>1520.9415191787762</v>
      </c>
      <c r="N476" s="685">
        <v>1220</v>
      </c>
      <c r="O476" s="685"/>
      <c r="P476" s="189" t="s">
        <v>410</v>
      </c>
      <c r="Q476" s="800">
        <v>40866</v>
      </c>
      <c r="R476" s="801"/>
      <c r="S476" s="310">
        <f>L476/20</f>
        <v>3</v>
      </c>
      <c r="T476" s="832">
        <v>4449</v>
      </c>
      <c r="U476" s="25">
        <f t="shared" si="136"/>
        <v>13347</v>
      </c>
      <c r="V476" s="460"/>
      <c r="W476" s="800"/>
      <c r="X476" s="834"/>
      <c r="Y476" s="832"/>
      <c r="Z476" s="25">
        <f t="shared" si="137"/>
        <v>0</v>
      </c>
    </row>
    <row r="477" spans="1:26" ht="16.5" customHeight="1">
      <c r="A477" s="784">
        <f t="shared" si="132"/>
        <v>121</v>
      </c>
      <c r="B477" s="302" t="s">
        <v>1342</v>
      </c>
      <c r="C477" s="25">
        <f t="shared" si="133"/>
        <v>26694</v>
      </c>
      <c r="D477" s="785">
        <f t="shared" si="138"/>
        <v>47201.718920538449</v>
      </c>
      <c r="E477" s="785">
        <f t="shared" si="138"/>
        <v>14936.118304192438</v>
      </c>
      <c r="F477" s="785">
        <f t="shared" si="138"/>
        <v>32204.079012134313</v>
      </c>
      <c r="G477" s="785">
        <f t="shared" si="138"/>
        <v>2574.0663856014726</v>
      </c>
      <c r="H477" s="785">
        <f t="shared" si="138"/>
        <v>46867.97782866437</v>
      </c>
      <c r="I477" s="785">
        <f t="shared" si="138"/>
        <v>12037.021850322084</v>
      </c>
      <c r="J477" s="369">
        <f t="shared" si="138"/>
        <v>0</v>
      </c>
      <c r="K477" s="25">
        <f t="shared" si="134"/>
        <v>182513.98230145313</v>
      </c>
      <c r="L477" s="785">
        <v>120</v>
      </c>
      <c r="M477" s="785">
        <f t="shared" si="135"/>
        <v>1520.9498525121094</v>
      </c>
      <c r="N477" s="685">
        <v>1152</v>
      </c>
      <c r="O477" s="685"/>
      <c r="P477" s="189" t="s">
        <v>410</v>
      </c>
      <c r="Q477" s="800">
        <v>40866</v>
      </c>
      <c r="R477" s="801"/>
      <c r="S477" s="310">
        <f>L477/20</f>
        <v>6</v>
      </c>
      <c r="T477" s="832">
        <v>4449</v>
      </c>
      <c r="U477" s="25">
        <f t="shared" si="136"/>
        <v>26694</v>
      </c>
      <c r="V477" s="460"/>
      <c r="W477" s="800"/>
      <c r="X477" s="834"/>
      <c r="Y477" s="832"/>
      <c r="Z477" s="25">
        <f t="shared" si="137"/>
        <v>0</v>
      </c>
    </row>
    <row r="478" spans="1:26" ht="16.5" customHeight="1">
      <c r="A478" s="784">
        <f t="shared" si="132"/>
        <v>122</v>
      </c>
      <c r="B478" s="302" t="s">
        <v>1343</v>
      </c>
      <c r="C478" s="25">
        <f t="shared" si="133"/>
        <v>31143</v>
      </c>
      <c r="D478" s="785">
        <f t="shared" si="138"/>
        <v>29107.726667665378</v>
      </c>
      <c r="E478" s="785">
        <f t="shared" si="138"/>
        <v>9210.6062875853368</v>
      </c>
      <c r="F478" s="785">
        <f t="shared" si="138"/>
        <v>19859.182057482827</v>
      </c>
      <c r="G478" s="785">
        <f t="shared" si="138"/>
        <v>1587.3409377875746</v>
      </c>
      <c r="H478" s="785">
        <f t="shared" si="138"/>
        <v>28901.919661009695</v>
      </c>
      <c r="I478" s="785">
        <f t="shared" si="138"/>
        <v>7422.8301410319518</v>
      </c>
      <c r="J478" s="369">
        <f t="shared" si="138"/>
        <v>0</v>
      </c>
      <c r="K478" s="25">
        <f t="shared" si="134"/>
        <v>127231.60575256278</v>
      </c>
      <c r="L478" s="785">
        <v>74</v>
      </c>
      <c r="M478" s="785">
        <f t="shared" si="135"/>
        <v>1719.3460236832809</v>
      </c>
      <c r="N478" s="685">
        <v>1660</v>
      </c>
      <c r="O478" s="685"/>
      <c r="P478" s="189" t="s">
        <v>410</v>
      </c>
      <c r="Q478" s="800">
        <v>40866</v>
      </c>
      <c r="R478" s="801"/>
      <c r="S478" s="310">
        <v>7</v>
      </c>
      <c r="T478" s="832">
        <v>4449</v>
      </c>
      <c r="U478" s="25">
        <f t="shared" si="136"/>
        <v>31143</v>
      </c>
      <c r="V478" s="460"/>
      <c r="W478" s="800"/>
      <c r="X478" s="834"/>
      <c r="Y478" s="832"/>
      <c r="Z478" s="25">
        <f t="shared" si="137"/>
        <v>0</v>
      </c>
    </row>
    <row r="479" spans="1:26" ht="16.5" customHeight="1">
      <c r="A479" s="784">
        <f t="shared" si="132"/>
        <v>123</v>
      </c>
      <c r="B479" s="302" t="s">
        <v>1344</v>
      </c>
      <c r="C479" s="25">
        <f t="shared" si="133"/>
        <v>66735</v>
      </c>
      <c r="D479" s="785">
        <f t="shared" si="138"/>
        <v>58215.453335330756</v>
      </c>
      <c r="E479" s="785">
        <f t="shared" si="138"/>
        <v>18421.212575170674</v>
      </c>
      <c r="F479" s="785">
        <f t="shared" si="138"/>
        <v>39718.364114965654</v>
      </c>
      <c r="G479" s="785">
        <f t="shared" si="138"/>
        <v>3174.6818755751492</v>
      </c>
      <c r="H479" s="785">
        <f t="shared" si="138"/>
        <v>57803.83932201939</v>
      </c>
      <c r="I479" s="785">
        <f t="shared" si="138"/>
        <v>14845.660282063904</v>
      </c>
      <c r="J479" s="369">
        <f t="shared" si="138"/>
        <v>0</v>
      </c>
      <c r="K479" s="25">
        <f t="shared" si="134"/>
        <v>258913.21150512557</v>
      </c>
      <c r="L479" s="785">
        <v>148</v>
      </c>
      <c r="M479" s="785">
        <f t="shared" si="135"/>
        <v>1749.4135912508484</v>
      </c>
      <c r="N479" s="685">
        <v>1463</v>
      </c>
      <c r="O479" s="685"/>
      <c r="P479" s="189" t="s">
        <v>410</v>
      </c>
      <c r="Q479" s="800">
        <v>40866</v>
      </c>
      <c r="R479" s="801"/>
      <c r="S479" s="310">
        <v>15</v>
      </c>
      <c r="T479" s="832">
        <v>4449</v>
      </c>
      <c r="U479" s="25">
        <f t="shared" si="136"/>
        <v>66735</v>
      </c>
      <c r="V479" s="460"/>
      <c r="W479" s="800"/>
      <c r="X479" s="834"/>
      <c r="Y479" s="832"/>
      <c r="Z479" s="25">
        <f t="shared" si="137"/>
        <v>0</v>
      </c>
    </row>
    <row r="480" spans="1:26" ht="16.5" customHeight="1">
      <c r="A480" s="784">
        <f t="shared" si="132"/>
        <v>124</v>
      </c>
      <c r="B480" s="302" t="s">
        <v>1345</v>
      </c>
      <c r="C480" s="25">
        <f t="shared" si="133"/>
        <v>105602</v>
      </c>
      <c r="D480" s="785">
        <f t="shared" si="138"/>
        <v>53495.281443276908</v>
      </c>
      <c r="E480" s="785">
        <f t="shared" si="138"/>
        <v>16927.600744751428</v>
      </c>
      <c r="F480" s="785">
        <f t="shared" si="138"/>
        <v>36497.956213752223</v>
      </c>
      <c r="G480" s="785">
        <f t="shared" si="138"/>
        <v>2917.2752370150019</v>
      </c>
      <c r="H480" s="785">
        <f t="shared" si="138"/>
        <v>53117.041539152953</v>
      </c>
      <c r="I480" s="785">
        <f t="shared" si="138"/>
        <v>13641.958097031695</v>
      </c>
      <c r="J480" s="369">
        <f t="shared" si="138"/>
        <v>0</v>
      </c>
      <c r="K480" s="25">
        <f t="shared" si="134"/>
        <v>282198.11327498022</v>
      </c>
      <c r="L480" s="785">
        <v>136</v>
      </c>
      <c r="M480" s="785">
        <f t="shared" si="135"/>
        <v>2074.9861270219135</v>
      </c>
      <c r="N480" s="685">
        <v>1288</v>
      </c>
      <c r="O480" s="685"/>
      <c r="P480" s="189" t="s">
        <v>602</v>
      </c>
      <c r="Q480" s="800">
        <v>40866</v>
      </c>
      <c r="R480" s="801"/>
      <c r="S480" s="310">
        <v>14</v>
      </c>
      <c r="T480" s="832">
        <v>7543</v>
      </c>
      <c r="U480" s="25">
        <f t="shared" si="136"/>
        <v>105602</v>
      </c>
      <c r="V480" s="460"/>
      <c r="W480" s="800"/>
      <c r="X480" s="834"/>
      <c r="Y480" s="832"/>
      <c r="Z480" s="25">
        <f t="shared" si="137"/>
        <v>0</v>
      </c>
    </row>
    <row r="481" spans="1:26" ht="16.5" customHeight="1">
      <c r="A481" s="784">
        <f t="shared" si="132"/>
        <v>125</v>
      </c>
      <c r="B481" s="302" t="s">
        <v>1346</v>
      </c>
      <c r="C481" s="25">
        <f t="shared" si="133"/>
        <v>62286</v>
      </c>
      <c r="D481" s="785">
        <f t="shared" si="138"/>
        <v>106990.56288655382</v>
      </c>
      <c r="E481" s="785">
        <f t="shared" si="138"/>
        <v>33855.201489502855</v>
      </c>
      <c r="F481" s="785">
        <f t="shared" si="138"/>
        <v>72995.912427504445</v>
      </c>
      <c r="G481" s="785">
        <f t="shared" si="138"/>
        <v>5834.5504740300039</v>
      </c>
      <c r="H481" s="785">
        <f t="shared" si="138"/>
        <v>106234.08307830591</v>
      </c>
      <c r="I481" s="785">
        <f t="shared" si="138"/>
        <v>27283.916194063389</v>
      </c>
      <c r="J481" s="369">
        <f t="shared" si="138"/>
        <v>0</v>
      </c>
      <c r="K481" s="25">
        <f t="shared" si="134"/>
        <v>415479.22654996044</v>
      </c>
      <c r="L481" s="785">
        <v>272</v>
      </c>
      <c r="M481" s="785">
        <f t="shared" si="135"/>
        <v>1527.4971564336781</v>
      </c>
      <c r="N481" s="685">
        <v>1254</v>
      </c>
      <c r="O481" s="685"/>
      <c r="P481" s="189" t="s">
        <v>410</v>
      </c>
      <c r="Q481" s="800">
        <v>40866</v>
      </c>
      <c r="R481" s="801"/>
      <c r="S481" s="310">
        <v>14</v>
      </c>
      <c r="T481" s="832">
        <v>4449</v>
      </c>
      <c r="U481" s="25">
        <f t="shared" si="136"/>
        <v>62286</v>
      </c>
      <c r="V481" s="460"/>
      <c r="W481" s="800"/>
      <c r="X481" s="834"/>
      <c r="Y481" s="832"/>
      <c r="Z481" s="25">
        <f t="shared" si="137"/>
        <v>0</v>
      </c>
    </row>
    <row r="482" spans="1:26" ht="16.5" customHeight="1">
      <c r="A482" s="784">
        <f t="shared" si="132"/>
        <v>126</v>
      </c>
      <c r="B482" s="302" t="s">
        <v>1347</v>
      </c>
      <c r="C482" s="25">
        <f t="shared" si="133"/>
        <v>8898</v>
      </c>
      <c r="D482" s="785">
        <f t="shared" si="138"/>
        <v>7080.2578380807672</v>
      </c>
      <c r="E482" s="785">
        <f t="shared" si="138"/>
        <v>2240.4177456288653</v>
      </c>
      <c r="F482" s="785">
        <f t="shared" ref="D482:J518" si="139">IF($L$599&lt;&gt;0,F$599/$L$599*$L482,0)</f>
        <v>4830.6118518201465</v>
      </c>
      <c r="G482" s="785">
        <f t="shared" si="139"/>
        <v>386.10995784022089</v>
      </c>
      <c r="H482" s="785">
        <f t="shared" si="139"/>
        <v>7030.1966742996556</v>
      </c>
      <c r="I482" s="785">
        <f t="shared" si="139"/>
        <v>1805.5532775483125</v>
      </c>
      <c r="J482" s="369">
        <f t="shared" si="139"/>
        <v>0</v>
      </c>
      <c r="K482" s="25">
        <f t="shared" si="134"/>
        <v>32270.147345217971</v>
      </c>
      <c r="L482" s="785">
        <v>18</v>
      </c>
      <c r="M482" s="785">
        <f t="shared" si="135"/>
        <v>1792.7859636232206</v>
      </c>
      <c r="N482" s="685">
        <v>1581</v>
      </c>
      <c r="O482" s="685"/>
      <c r="P482" s="189" t="s">
        <v>410</v>
      </c>
      <c r="Q482" s="800">
        <v>40866</v>
      </c>
      <c r="R482" s="801"/>
      <c r="S482" s="310">
        <v>2</v>
      </c>
      <c r="T482" s="832">
        <v>4449</v>
      </c>
      <c r="U482" s="25">
        <f t="shared" si="136"/>
        <v>8898</v>
      </c>
      <c r="V482" s="460"/>
      <c r="W482" s="800"/>
      <c r="X482" s="834"/>
      <c r="Y482" s="832"/>
      <c r="Z482" s="25">
        <f t="shared" si="137"/>
        <v>0</v>
      </c>
    </row>
    <row r="483" spans="1:26" ht="16.5" customHeight="1">
      <c r="A483" s="784">
        <f t="shared" si="132"/>
        <v>127</v>
      </c>
      <c r="B483" s="302" t="s">
        <v>1348</v>
      </c>
      <c r="C483" s="25">
        <f t="shared" si="133"/>
        <v>8898</v>
      </c>
      <c r="D483" s="785">
        <f t="shared" si="139"/>
        <v>14160.515676161534</v>
      </c>
      <c r="E483" s="785">
        <f t="shared" si="139"/>
        <v>4480.8354912577306</v>
      </c>
      <c r="F483" s="785">
        <f t="shared" si="139"/>
        <v>9661.223703640293</v>
      </c>
      <c r="G483" s="785">
        <f t="shared" si="139"/>
        <v>772.21991568044177</v>
      </c>
      <c r="H483" s="785">
        <f t="shared" si="139"/>
        <v>14060.393348599311</v>
      </c>
      <c r="I483" s="785">
        <f t="shared" si="139"/>
        <v>3611.106555096625</v>
      </c>
      <c r="J483" s="369">
        <f t="shared" si="139"/>
        <v>0</v>
      </c>
      <c r="K483" s="25">
        <f t="shared" si="134"/>
        <v>55643.294690435934</v>
      </c>
      <c r="L483" s="785">
        <v>36</v>
      </c>
      <c r="M483" s="785">
        <f t="shared" si="135"/>
        <v>1545.6470747343315</v>
      </c>
      <c r="N483" s="685">
        <v>1384</v>
      </c>
      <c r="O483" s="685"/>
      <c r="P483" s="189" t="s">
        <v>410</v>
      </c>
      <c r="Q483" s="800">
        <v>40866</v>
      </c>
      <c r="R483" s="801"/>
      <c r="S483" s="310">
        <v>2</v>
      </c>
      <c r="T483" s="832">
        <v>4449</v>
      </c>
      <c r="U483" s="25">
        <f t="shared" si="136"/>
        <v>8898</v>
      </c>
      <c r="V483" s="460"/>
      <c r="W483" s="800"/>
      <c r="X483" s="834"/>
      <c r="Y483" s="832"/>
      <c r="Z483" s="25">
        <f t="shared" si="137"/>
        <v>0</v>
      </c>
    </row>
    <row r="484" spans="1:26" ht="16.5" customHeight="1">
      <c r="A484" s="784">
        <f t="shared" si="132"/>
        <v>128</v>
      </c>
      <c r="B484" s="302" t="s">
        <v>1340</v>
      </c>
      <c r="C484" s="25">
        <f t="shared" si="133"/>
        <v>13347</v>
      </c>
      <c r="D484" s="785">
        <f t="shared" si="139"/>
        <v>31074.464956021144</v>
      </c>
      <c r="E484" s="785">
        <f t="shared" si="139"/>
        <v>9832.9445502600211</v>
      </c>
      <c r="F484" s="785">
        <f t="shared" si="139"/>
        <v>21201.018682988422</v>
      </c>
      <c r="G484" s="785">
        <f t="shared" si="139"/>
        <v>1694.5937038543027</v>
      </c>
      <c r="H484" s="785">
        <f t="shared" si="139"/>
        <v>30854.752070537375</v>
      </c>
      <c r="I484" s="785">
        <f t="shared" si="139"/>
        <v>7924.3727181287049</v>
      </c>
      <c r="J484" s="369">
        <f t="shared" si="139"/>
        <v>0</v>
      </c>
      <c r="K484" s="25">
        <f t="shared" si="134"/>
        <v>115928.14668178998</v>
      </c>
      <c r="L484" s="785">
        <v>79</v>
      </c>
      <c r="M484" s="785">
        <f t="shared" si="135"/>
        <v>1467.4448947062021</v>
      </c>
      <c r="N484" s="685">
        <v>1025</v>
      </c>
      <c r="O484" s="685"/>
      <c r="P484" s="189" t="s">
        <v>410</v>
      </c>
      <c r="Q484" s="800">
        <v>40866</v>
      </c>
      <c r="R484" s="801"/>
      <c r="S484" s="310">
        <v>3</v>
      </c>
      <c r="T484" s="832">
        <v>4449</v>
      </c>
      <c r="U484" s="25">
        <f t="shared" si="136"/>
        <v>13347</v>
      </c>
      <c r="V484" s="460"/>
      <c r="W484" s="800"/>
      <c r="X484" s="834"/>
      <c r="Y484" s="832"/>
      <c r="Z484" s="25">
        <f t="shared" si="137"/>
        <v>0</v>
      </c>
    </row>
    <row r="485" spans="1:26" ht="16.5" customHeight="1">
      <c r="A485" s="784">
        <f t="shared" si="132"/>
        <v>129</v>
      </c>
      <c r="B485" s="302" t="s">
        <v>1349</v>
      </c>
      <c r="C485" s="25">
        <f t="shared" si="133"/>
        <v>35592</v>
      </c>
      <c r="D485" s="785">
        <f t="shared" si="139"/>
        <v>62148.929912042287</v>
      </c>
      <c r="E485" s="785">
        <f t="shared" si="139"/>
        <v>19665.889100520042</v>
      </c>
      <c r="F485" s="785">
        <f t="shared" si="139"/>
        <v>42402.037365976845</v>
      </c>
      <c r="G485" s="785">
        <f t="shared" si="139"/>
        <v>3389.1874077086054</v>
      </c>
      <c r="H485" s="785">
        <f t="shared" si="139"/>
        <v>61709.504141074751</v>
      </c>
      <c r="I485" s="785">
        <f t="shared" si="139"/>
        <v>15848.74543625741</v>
      </c>
      <c r="J485" s="369">
        <f t="shared" si="139"/>
        <v>0</v>
      </c>
      <c r="K485" s="25">
        <f t="shared" si="134"/>
        <v>240755.29336357996</v>
      </c>
      <c r="L485" s="785">
        <v>158</v>
      </c>
      <c r="M485" s="785">
        <f t="shared" si="135"/>
        <v>1523.7676795163288</v>
      </c>
      <c r="N485" s="685">
        <v>963</v>
      </c>
      <c r="O485" s="685"/>
      <c r="P485" s="189" t="s">
        <v>410</v>
      </c>
      <c r="Q485" s="800">
        <v>40866</v>
      </c>
      <c r="R485" s="801"/>
      <c r="S485" s="310">
        <v>8</v>
      </c>
      <c r="T485" s="832">
        <v>4449</v>
      </c>
      <c r="U485" s="25">
        <f t="shared" si="136"/>
        <v>35592</v>
      </c>
      <c r="V485" s="460"/>
      <c r="W485" s="800"/>
      <c r="X485" s="834"/>
      <c r="Y485" s="832"/>
      <c r="Z485" s="25">
        <f t="shared" si="137"/>
        <v>0</v>
      </c>
    </row>
    <row r="486" spans="1:26" ht="16.5" customHeight="1">
      <c r="A486" s="784">
        <f t="shared" ref="A486:A549" si="140">IF(B486&lt;&gt;"",A485+1,"")</f>
        <v>130</v>
      </c>
      <c r="B486" s="302" t="s">
        <v>1350</v>
      </c>
      <c r="C486" s="25">
        <f t="shared" ref="C486:C549" si="141">U486</f>
        <v>22245</v>
      </c>
      <c r="D486" s="785">
        <f t="shared" si="139"/>
        <v>32254.507929034608</v>
      </c>
      <c r="E486" s="785">
        <f t="shared" si="139"/>
        <v>10206.347507864832</v>
      </c>
      <c r="F486" s="785">
        <f t="shared" si="139"/>
        <v>22006.12065829178</v>
      </c>
      <c r="G486" s="785">
        <f t="shared" si="139"/>
        <v>1758.9453634943395</v>
      </c>
      <c r="H486" s="785">
        <f t="shared" si="139"/>
        <v>32026.451516253986</v>
      </c>
      <c r="I486" s="785">
        <f t="shared" si="139"/>
        <v>8225.2982643867581</v>
      </c>
      <c r="J486" s="369">
        <f t="shared" si="139"/>
        <v>0</v>
      </c>
      <c r="K486" s="25">
        <f t="shared" ref="K486:K549" si="142">SUM(C486:I486)-1</f>
        <v>128721.6712393263</v>
      </c>
      <c r="L486" s="785">
        <v>82</v>
      </c>
      <c r="M486" s="785">
        <f t="shared" si="135"/>
        <v>1569.7764785283696</v>
      </c>
      <c r="N486" s="685">
        <v>1228</v>
      </c>
      <c r="O486" s="685"/>
      <c r="P486" s="189" t="s">
        <v>410</v>
      </c>
      <c r="Q486" s="800">
        <v>40866</v>
      </c>
      <c r="R486" s="801"/>
      <c r="S486" s="310">
        <v>5</v>
      </c>
      <c r="T486" s="832">
        <v>4449</v>
      </c>
      <c r="U486" s="25">
        <f t="shared" si="136"/>
        <v>22245</v>
      </c>
      <c r="V486" s="460"/>
      <c r="W486" s="800"/>
      <c r="X486" s="834"/>
      <c r="Y486" s="832"/>
      <c r="Z486" s="25">
        <f t="shared" si="137"/>
        <v>0</v>
      </c>
    </row>
    <row r="487" spans="1:26" ht="16.5" customHeight="1">
      <c r="A487" s="784">
        <f t="shared" si="140"/>
        <v>131</v>
      </c>
      <c r="B487" s="302" t="s">
        <v>1351</v>
      </c>
      <c r="C487" s="25">
        <f t="shared" si="141"/>
        <v>48939</v>
      </c>
      <c r="D487" s="785">
        <f t="shared" si="139"/>
        <v>16127.253964517304</v>
      </c>
      <c r="E487" s="785">
        <f t="shared" si="139"/>
        <v>5103.1737539324158</v>
      </c>
      <c r="F487" s="785">
        <f t="shared" si="139"/>
        <v>11003.06032914589</v>
      </c>
      <c r="G487" s="785">
        <f t="shared" si="139"/>
        <v>879.47268174716976</v>
      </c>
      <c r="H487" s="785">
        <f t="shared" si="139"/>
        <v>16013.225758126993</v>
      </c>
      <c r="I487" s="785">
        <f t="shared" si="139"/>
        <v>4112.649132193379</v>
      </c>
      <c r="J487" s="369">
        <f t="shared" si="139"/>
        <v>0</v>
      </c>
      <c r="K487" s="25">
        <f t="shared" si="142"/>
        <v>102176.83561966315</v>
      </c>
      <c r="L487" s="785">
        <v>41</v>
      </c>
      <c r="M487" s="785">
        <f t="shared" ref="M487:M550" si="143">IF(L487&lt;&gt;"",K487/L487,"")</f>
        <v>2492.1179419430036</v>
      </c>
      <c r="N487" s="685">
        <v>2499</v>
      </c>
      <c r="O487" s="685"/>
      <c r="P487" s="189" t="s">
        <v>410</v>
      </c>
      <c r="Q487" s="800">
        <v>40866</v>
      </c>
      <c r="R487" s="801"/>
      <c r="S487" s="310">
        <v>11</v>
      </c>
      <c r="T487" s="832">
        <v>4449</v>
      </c>
      <c r="U487" s="25">
        <f t="shared" ref="U487:U550" si="144">ROUND(S487*T487,0)</f>
        <v>48939</v>
      </c>
      <c r="V487" s="460"/>
      <c r="W487" s="800"/>
      <c r="X487" s="834"/>
      <c r="Y487" s="832"/>
      <c r="Z487" s="25">
        <f t="shared" ref="Z487:Z550" si="145">ROUND(X487*Y487,0)</f>
        <v>0</v>
      </c>
    </row>
    <row r="488" spans="1:26" ht="16.5" customHeight="1">
      <c r="A488" s="784">
        <f t="shared" si="140"/>
        <v>132</v>
      </c>
      <c r="B488" s="302" t="s">
        <v>782</v>
      </c>
      <c r="C488" s="25">
        <f t="shared" si="141"/>
        <v>11844</v>
      </c>
      <c r="D488" s="785">
        <f t="shared" si="139"/>
        <v>393.34765767115374</v>
      </c>
      <c r="E488" s="785">
        <f t="shared" si="139"/>
        <v>124.46765253493697</v>
      </c>
      <c r="F488" s="785">
        <f t="shared" si="139"/>
        <v>268.36732510111926</v>
      </c>
      <c r="G488" s="785">
        <f t="shared" si="139"/>
        <v>21.450553213345604</v>
      </c>
      <c r="H488" s="785">
        <f t="shared" si="139"/>
        <v>390.56648190553642</v>
      </c>
      <c r="I488" s="785">
        <f t="shared" si="139"/>
        <v>100.3085154193507</v>
      </c>
      <c r="J488" s="369">
        <f t="shared" si="139"/>
        <v>0</v>
      </c>
      <c r="K488" s="25">
        <f t="shared" si="142"/>
        <v>13141.508185845443</v>
      </c>
      <c r="L488" s="785">
        <v>1</v>
      </c>
      <c r="M488" s="785">
        <f t="shared" si="143"/>
        <v>13141.508185845443</v>
      </c>
      <c r="N488" s="685">
        <v>15136</v>
      </c>
      <c r="O488" s="685"/>
      <c r="P488" s="40" t="s">
        <v>647</v>
      </c>
      <c r="Q488" s="800">
        <v>40866</v>
      </c>
      <c r="R488" s="801"/>
      <c r="S488" s="310">
        <f>L488/2</f>
        <v>0.5</v>
      </c>
      <c r="T488" s="832">
        <v>23688</v>
      </c>
      <c r="U488" s="25">
        <f t="shared" si="144"/>
        <v>11844</v>
      </c>
      <c r="V488" s="460"/>
      <c r="W488" s="800"/>
      <c r="X488" s="834"/>
      <c r="Y488" s="832"/>
      <c r="Z488" s="25">
        <f t="shared" si="145"/>
        <v>0</v>
      </c>
    </row>
    <row r="489" spans="1:26" ht="16.5" customHeight="1">
      <c r="A489" s="784">
        <f t="shared" si="140"/>
        <v>133</v>
      </c>
      <c r="B489" s="302" t="s">
        <v>775</v>
      </c>
      <c r="C489" s="25">
        <f t="shared" si="141"/>
        <v>19638</v>
      </c>
      <c r="D489" s="785">
        <f t="shared" si="139"/>
        <v>786.69531534230748</v>
      </c>
      <c r="E489" s="785">
        <f t="shared" si="139"/>
        <v>248.93530506987395</v>
      </c>
      <c r="F489" s="785">
        <f t="shared" si="139"/>
        <v>536.73465020223853</v>
      </c>
      <c r="G489" s="785">
        <f t="shared" si="139"/>
        <v>42.901106426691207</v>
      </c>
      <c r="H489" s="785">
        <f t="shared" si="139"/>
        <v>781.13296381107284</v>
      </c>
      <c r="I489" s="785">
        <f t="shared" si="139"/>
        <v>200.6170308387014</v>
      </c>
      <c r="J489" s="369">
        <f t="shared" si="139"/>
        <v>0</v>
      </c>
      <c r="K489" s="25">
        <f t="shared" si="142"/>
        <v>22234.016371690886</v>
      </c>
      <c r="L489" s="785">
        <v>2</v>
      </c>
      <c r="M489" s="785">
        <f t="shared" si="143"/>
        <v>11117.008185845443</v>
      </c>
      <c r="N489" s="685">
        <v>16284</v>
      </c>
      <c r="O489" s="685"/>
      <c r="P489" s="189" t="s">
        <v>565</v>
      </c>
      <c r="Q489" s="800">
        <v>40866</v>
      </c>
      <c r="R489" s="801"/>
      <c r="S489" s="310">
        <v>1</v>
      </c>
      <c r="T489" s="832">
        <v>19638</v>
      </c>
      <c r="U489" s="25">
        <f t="shared" si="144"/>
        <v>19638</v>
      </c>
      <c r="V489" s="460"/>
      <c r="W489" s="800"/>
      <c r="X489" s="834"/>
      <c r="Y489" s="832"/>
      <c r="Z489" s="25">
        <f t="shared" si="145"/>
        <v>0</v>
      </c>
    </row>
    <row r="490" spans="1:26" ht="16.5" customHeight="1">
      <c r="A490" s="784">
        <f t="shared" si="140"/>
        <v>134</v>
      </c>
      <c r="B490" s="302" t="s">
        <v>1291</v>
      </c>
      <c r="C490" s="25">
        <f t="shared" si="141"/>
        <v>293034</v>
      </c>
      <c r="D490" s="785">
        <f t="shared" si="139"/>
        <v>8260.3008110942283</v>
      </c>
      <c r="E490" s="785">
        <f t="shared" si="139"/>
        <v>2613.8207032336763</v>
      </c>
      <c r="F490" s="785">
        <f t="shared" si="139"/>
        <v>5635.7138271235044</v>
      </c>
      <c r="G490" s="785">
        <f t="shared" si="139"/>
        <v>450.4616174802577</v>
      </c>
      <c r="H490" s="785">
        <f t="shared" si="139"/>
        <v>8201.8961200162648</v>
      </c>
      <c r="I490" s="785">
        <f t="shared" si="139"/>
        <v>2106.4788238063647</v>
      </c>
      <c r="J490" s="369">
        <f t="shared" si="139"/>
        <v>0</v>
      </c>
      <c r="K490" s="25">
        <f t="shared" si="142"/>
        <v>320301.67190275434</v>
      </c>
      <c r="L490" s="785">
        <v>21</v>
      </c>
      <c r="M490" s="785">
        <f t="shared" si="143"/>
        <v>15252.460566797827</v>
      </c>
      <c r="N490" s="685">
        <v>16832</v>
      </c>
      <c r="O490" s="685"/>
      <c r="P490" s="189" t="s">
        <v>572</v>
      </c>
      <c r="Q490" s="800">
        <v>40866</v>
      </c>
      <c r="R490" s="801"/>
      <c r="S490" s="310">
        <f>L490</f>
        <v>21</v>
      </c>
      <c r="T490" s="832">
        <v>13954</v>
      </c>
      <c r="U490" s="25">
        <f t="shared" si="144"/>
        <v>293034</v>
      </c>
      <c r="V490" s="460"/>
      <c r="W490" s="800"/>
      <c r="X490" s="834"/>
      <c r="Y490" s="832"/>
      <c r="Z490" s="25">
        <f t="shared" si="145"/>
        <v>0</v>
      </c>
    </row>
    <row r="491" spans="1:26" ht="16.5" customHeight="1">
      <c r="A491" s="784">
        <f t="shared" si="140"/>
        <v>135</v>
      </c>
      <c r="B491" s="302" t="s">
        <v>769</v>
      </c>
      <c r="C491" s="25">
        <f t="shared" si="141"/>
        <v>445554</v>
      </c>
      <c r="D491" s="785">
        <f t="shared" si="139"/>
        <v>20847.42585657115</v>
      </c>
      <c r="E491" s="785">
        <f t="shared" si="139"/>
        <v>6596.78558435166</v>
      </c>
      <c r="F491" s="785">
        <f t="shared" si="139"/>
        <v>14223.468230359322</v>
      </c>
      <c r="G491" s="785">
        <f t="shared" si="139"/>
        <v>1136.8793203073169</v>
      </c>
      <c r="H491" s="785">
        <f t="shared" si="139"/>
        <v>20700.023540993432</v>
      </c>
      <c r="I491" s="785">
        <f t="shared" si="139"/>
        <v>5316.3513172255871</v>
      </c>
      <c r="J491" s="369">
        <f t="shared" si="139"/>
        <v>0</v>
      </c>
      <c r="K491" s="25">
        <f t="shared" si="142"/>
        <v>514373.93384980859</v>
      </c>
      <c r="L491" s="785">
        <v>53</v>
      </c>
      <c r="M491" s="785">
        <f t="shared" si="143"/>
        <v>9705.1685632039353</v>
      </c>
      <c r="N491" s="685">
        <v>10595</v>
      </c>
      <c r="O491" s="685"/>
      <c r="P491" s="40" t="s">
        <v>672</v>
      </c>
      <c r="Q491" s="800">
        <v>40866</v>
      </c>
      <c r="R491" s="801"/>
      <c r="S491" s="310">
        <v>27</v>
      </c>
      <c r="T491" s="832">
        <v>16502</v>
      </c>
      <c r="U491" s="25">
        <f t="shared" si="144"/>
        <v>445554</v>
      </c>
      <c r="V491" s="460"/>
      <c r="W491" s="800"/>
      <c r="X491" s="834"/>
      <c r="Y491" s="832"/>
      <c r="Z491" s="25">
        <f t="shared" si="145"/>
        <v>0</v>
      </c>
    </row>
    <row r="492" spans="1:26" ht="16.5" customHeight="1">
      <c r="A492" s="784">
        <f t="shared" si="140"/>
        <v>136</v>
      </c>
      <c r="B492" s="302" t="s">
        <v>1316</v>
      </c>
      <c r="C492" s="25">
        <f t="shared" si="141"/>
        <v>60834</v>
      </c>
      <c r="D492" s="785">
        <f t="shared" si="139"/>
        <v>2360.0859460269226</v>
      </c>
      <c r="E492" s="785">
        <f t="shared" si="139"/>
        <v>746.80591520962184</v>
      </c>
      <c r="F492" s="785">
        <f t="shared" si="139"/>
        <v>1610.2039506067156</v>
      </c>
      <c r="G492" s="785">
        <f t="shared" si="139"/>
        <v>128.70331928007363</v>
      </c>
      <c r="H492" s="785">
        <f t="shared" si="139"/>
        <v>2343.3988914332185</v>
      </c>
      <c r="I492" s="785">
        <f t="shared" si="139"/>
        <v>601.85109251610425</v>
      </c>
      <c r="J492" s="369">
        <f t="shared" si="139"/>
        <v>0</v>
      </c>
      <c r="K492" s="25">
        <f t="shared" si="142"/>
        <v>68624.049115072659</v>
      </c>
      <c r="L492" s="785">
        <v>6</v>
      </c>
      <c r="M492" s="785">
        <f t="shared" si="143"/>
        <v>11437.341519178777</v>
      </c>
      <c r="N492" s="685">
        <v>13869</v>
      </c>
      <c r="O492" s="685"/>
      <c r="P492" s="40" t="s">
        <v>665</v>
      </c>
      <c r="Q492" s="800">
        <v>40866</v>
      </c>
      <c r="R492" s="801"/>
      <c r="S492" s="310">
        <f>L492/2</f>
        <v>3</v>
      </c>
      <c r="T492" s="832">
        <v>20278</v>
      </c>
      <c r="U492" s="25">
        <f t="shared" si="144"/>
        <v>60834</v>
      </c>
      <c r="V492" s="460"/>
      <c r="W492" s="800"/>
      <c r="X492" s="834"/>
      <c r="Y492" s="832"/>
      <c r="Z492" s="25">
        <f t="shared" si="145"/>
        <v>0</v>
      </c>
    </row>
    <row r="493" spans="1:26" ht="16.5" customHeight="1">
      <c r="A493" s="784">
        <f t="shared" si="140"/>
        <v>137</v>
      </c>
      <c r="B493" s="302" t="s">
        <v>773</v>
      </c>
      <c r="C493" s="25">
        <f t="shared" si="141"/>
        <v>11844</v>
      </c>
      <c r="D493" s="785">
        <f t="shared" si="139"/>
        <v>393.34765767115374</v>
      </c>
      <c r="E493" s="785">
        <f t="shared" si="139"/>
        <v>124.46765253493697</v>
      </c>
      <c r="F493" s="785">
        <f t="shared" si="139"/>
        <v>268.36732510111926</v>
      </c>
      <c r="G493" s="785">
        <f t="shared" si="139"/>
        <v>21.450553213345604</v>
      </c>
      <c r="H493" s="785">
        <f t="shared" si="139"/>
        <v>390.56648190553642</v>
      </c>
      <c r="I493" s="785">
        <f t="shared" si="139"/>
        <v>100.3085154193507</v>
      </c>
      <c r="J493" s="369">
        <f t="shared" si="139"/>
        <v>0</v>
      </c>
      <c r="K493" s="25">
        <f t="shared" si="142"/>
        <v>13141.508185845443</v>
      </c>
      <c r="L493" s="785">
        <v>1</v>
      </c>
      <c r="M493" s="785">
        <f t="shared" si="143"/>
        <v>13141.508185845443</v>
      </c>
      <c r="N493" s="685">
        <v>15618</v>
      </c>
      <c r="O493" s="685"/>
      <c r="P493" s="40" t="s">
        <v>647</v>
      </c>
      <c r="Q493" s="800">
        <v>40866</v>
      </c>
      <c r="R493" s="801"/>
      <c r="S493" s="310">
        <f>L493/2</f>
        <v>0.5</v>
      </c>
      <c r="T493" s="832">
        <v>23688</v>
      </c>
      <c r="U493" s="25">
        <f t="shared" si="144"/>
        <v>11844</v>
      </c>
      <c r="V493" s="460"/>
      <c r="W493" s="800"/>
      <c r="X493" s="834"/>
      <c r="Y493" s="832"/>
      <c r="Z493" s="25">
        <f t="shared" si="145"/>
        <v>0</v>
      </c>
    </row>
    <row r="494" spans="1:26" ht="16.5" customHeight="1">
      <c r="A494" s="784">
        <f t="shared" si="140"/>
        <v>138</v>
      </c>
      <c r="B494" s="302" t="s">
        <v>782</v>
      </c>
      <c r="C494" s="25">
        <f t="shared" si="141"/>
        <v>13954</v>
      </c>
      <c r="D494" s="785">
        <f t="shared" si="139"/>
        <v>393.34765767115374</v>
      </c>
      <c r="E494" s="785">
        <f t="shared" si="139"/>
        <v>124.46765253493697</v>
      </c>
      <c r="F494" s="785">
        <f t="shared" si="139"/>
        <v>268.36732510111926</v>
      </c>
      <c r="G494" s="785">
        <f t="shared" si="139"/>
        <v>21.450553213345604</v>
      </c>
      <c r="H494" s="785">
        <f t="shared" si="139"/>
        <v>390.56648190553642</v>
      </c>
      <c r="I494" s="785">
        <f t="shared" si="139"/>
        <v>100.3085154193507</v>
      </c>
      <c r="J494" s="369">
        <f t="shared" si="139"/>
        <v>0</v>
      </c>
      <c r="K494" s="25">
        <f t="shared" si="142"/>
        <v>15251.508185845443</v>
      </c>
      <c r="L494" s="785">
        <v>1</v>
      </c>
      <c r="M494" s="785">
        <f t="shared" si="143"/>
        <v>15251.508185845443</v>
      </c>
      <c r="N494" s="685">
        <v>15136</v>
      </c>
      <c r="O494" s="685"/>
      <c r="P494" s="189" t="s">
        <v>572</v>
      </c>
      <c r="Q494" s="800">
        <v>40866</v>
      </c>
      <c r="R494" s="801"/>
      <c r="S494" s="310">
        <f>L494</f>
        <v>1</v>
      </c>
      <c r="T494" s="832">
        <v>13954</v>
      </c>
      <c r="U494" s="25">
        <f t="shared" si="144"/>
        <v>13954</v>
      </c>
      <c r="V494" s="460"/>
      <c r="W494" s="800"/>
      <c r="X494" s="834"/>
      <c r="Y494" s="832"/>
      <c r="Z494" s="25">
        <f t="shared" si="145"/>
        <v>0</v>
      </c>
    </row>
    <row r="495" spans="1:26" ht="16.5" customHeight="1">
      <c r="A495" s="784">
        <f t="shared" si="140"/>
        <v>139</v>
      </c>
      <c r="B495" s="302" t="s">
        <v>1317</v>
      </c>
      <c r="C495" s="25">
        <f t="shared" si="141"/>
        <v>153786</v>
      </c>
      <c r="D495" s="785">
        <f t="shared" si="139"/>
        <v>4720.1718920538451</v>
      </c>
      <c r="E495" s="785">
        <f t="shared" si="139"/>
        <v>1493.6118304192437</v>
      </c>
      <c r="F495" s="785">
        <f t="shared" si="139"/>
        <v>3220.4079012134312</v>
      </c>
      <c r="G495" s="785">
        <f t="shared" si="139"/>
        <v>257.40663856014726</v>
      </c>
      <c r="H495" s="785">
        <f t="shared" si="139"/>
        <v>4686.797782866437</v>
      </c>
      <c r="I495" s="785">
        <f t="shared" si="139"/>
        <v>1203.7021850322085</v>
      </c>
      <c r="J495" s="369">
        <f t="shared" si="139"/>
        <v>0</v>
      </c>
      <c r="K495" s="25">
        <f t="shared" si="142"/>
        <v>169367.09823014532</v>
      </c>
      <c r="L495" s="785">
        <v>12</v>
      </c>
      <c r="M495" s="785">
        <f t="shared" si="143"/>
        <v>14113.924852512109</v>
      </c>
      <c r="N495" s="685">
        <v>14230</v>
      </c>
      <c r="O495" s="685"/>
      <c r="P495" s="40" t="s">
        <v>666</v>
      </c>
      <c r="Q495" s="800">
        <v>40866</v>
      </c>
      <c r="R495" s="801"/>
      <c r="S495" s="310">
        <f>L495/2</f>
        <v>6</v>
      </c>
      <c r="T495" s="832">
        <v>25631</v>
      </c>
      <c r="U495" s="25">
        <f t="shared" si="144"/>
        <v>153786</v>
      </c>
      <c r="V495" s="460"/>
      <c r="W495" s="800"/>
      <c r="X495" s="834"/>
      <c r="Y495" s="832"/>
      <c r="Z495" s="25">
        <f t="shared" si="145"/>
        <v>0</v>
      </c>
    </row>
    <row r="496" spans="1:26" ht="16.5" customHeight="1">
      <c r="A496" s="784">
        <f t="shared" si="140"/>
        <v>140</v>
      </c>
      <c r="B496" s="302" t="s">
        <v>1230</v>
      </c>
      <c r="C496" s="25">
        <f t="shared" si="141"/>
        <v>603440</v>
      </c>
      <c r="D496" s="785">
        <f t="shared" si="139"/>
        <v>157339.06306846149</v>
      </c>
      <c r="E496" s="785">
        <f t="shared" si="139"/>
        <v>49787.061013974788</v>
      </c>
      <c r="F496" s="785">
        <f t="shared" si="139"/>
        <v>107346.93004044771</v>
      </c>
      <c r="G496" s="785">
        <f t="shared" si="139"/>
        <v>8580.2212853382407</v>
      </c>
      <c r="H496" s="785">
        <f t="shared" si="139"/>
        <v>156226.59276221457</v>
      </c>
      <c r="I496" s="785">
        <f t="shared" si="139"/>
        <v>40123.406167740279</v>
      </c>
      <c r="J496" s="369">
        <f t="shared" si="139"/>
        <v>0</v>
      </c>
      <c r="K496" s="25">
        <f t="shared" si="142"/>
        <v>1122842.2743381772</v>
      </c>
      <c r="L496" s="785">
        <v>400</v>
      </c>
      <c r="M496" s="785">
        <f t="shared" si="143"/>
        <v>2807.1056858454431</v>
      </c>
      <c r="N496" s="685">
        <v>3100</v>
      </c>
      <c r="O496" s="685"/>
      <c r="P496" s="189" t="s">
        <v>602</v>
      </c>
      <c r="Q496" s="800">
        <v>40848</v>
      </c>
      <c r="R496" s="801"/>
      <c r="S496" s="310">
        <f>L496/5</f>
        <v>80</v>
      </c>
      <c r="T496" s="832">
        <v>7543</v>
      </c>
      <c r="U496" s="25">
        <f t="shared" si="144"/>
        <v>603440</v>
      </c>
      <c r="V496" s="460"/>
      <c r="W496" s="800"/>
      <c r="X496" s="834"/>
      <c r="Y496" s="832"/>
      <c r="Z496" s="25">
        <f t="shared" si="145"/>
        <v>0</v>
      </c>
    </row>
    <row r="497" spans="1:26" ht="16.5" customHeight="1">
      <c r="A497" s="784">
        <f t="shared" si="140"/>
        <v>141</v>
      </c>
      <c r="B497" s="302" t="s">
        <v>1353</v>
      </c>
      <c r="C497" s="25">
        <f t="shared" si="141"/>
        <v>1839638</v>
      </c>
      <c r="D497" s="785">
        <f t="shared" si="139"/>
        <v>47595.066578209604</v>
      </c>
      <c r="E497" s="785">
        <f t="shared" si="139"/>
        <v>15060.585956727375</v>
      </c>
      <c r="F497" s="785">
        <f t="shared" si="139"/>
        <v>32472.446337235429</v>
      </c>
      <c r="G497" s="785">
        <f t="shared" si="139"/>
        <v>2595.5169388148179</v>
      </c>
      <c r="H497" s="785">
        <f t="shared" si="139"/>
        <v>47258.544310569909</v>
      </c>
      <c r="I497" s="785">
        <f t="shared" si="139"/>
        <v>12137.330365741434</v>
      </c>
      <c r="J497" s="369">
        <f t="shared" si="139"/>
        <v>0</v>
      </c>
      <c r="K497" s="25">
        <f t="shared" si="142"/>
        <v>1996756.4904872987</v>
      </c>
      <c r="L497" s="785">
        <v>121</v>
      </c>
      <c r="M497" s="785">
        <f t="shared" si="143"/>
        <v>16502.119756093376</v>
      </c>
      <c r="N497" s="685">
        <v>18100</v>
      </c>
      <c r="O497" s="685"/>
      <c r="P497" s="40" t="s">
        <v>667</v>
      </c>
      <c r="Q497" s="800">
        <v>40870</v>
      </c>
      <c r="R497" s="801"/>
      <c r="S497" s="310">
        <v>61</v>
      </c>
      <c r="T497" s="832">
        <v>30158</v>
      </c>
      <c r="U497" s="25">
        <f t="shared" si="144"/>
        <v>1839638</v>
      </c>
      <c r="V497" s="460"/>
      <c r="W497" s="800"/>
      <c r="X497" s="834"/>
      <c r="Y497" s="832"/>
      <c r="Z497" s="25">
        <f t="shared" si="145"/>
        <v>0</v>
      </c>
    </row>
    <row r="498" spans="1:26" ht="16.5" customHeight="1">
      <c r="A498" s="784">
        <f t="shared" si="140"/>
        <v>142</v>
      </c>
      <c r="B498" s="302" t="s">
        <v>1355</v>
      </c>
      <c r="C498" s="25">
        <f t="shared" si="141"/>
        <v>1732650</v>
      </c>
      <c r="D498" s="785">
        <f t="shared" si="139"/>
        <v>39728.113424786527</v>
      </c>
      <c r="E498" s="785">
        <f t="shared" si="139"/>
        <v>12571.232906028634</v>
      </c>
      <c r="F498" s="785">
        <f t="shared" si="139"/>
        <v>27105.099835213045</v>
      </c>
      <c r="G498" s="785">
        <f t="shared" si="139"/>
        <v>2166.5058745479059</v>
      </c>
      <c r="H498" s="785">
        <f t="shared" si="139"/>
        <v>39447.21467245918</v>
      </c>
      <c r="I498" s="785">
        <f t="shared" si="139"/>
        <v>10131.16005735442</v>
      </c>
      <c r="J498" s="369">
        <f t="shared" si="139"/>
        <v>0</v>
      </c>
      <c r="K498" s="25">
        <f t="shared" si="142"/>
        <v>1863798.3267703899</v>
      </c>
      <c r="L498" s="785">
        <v>101</v>
      </c>
      <c r="M498" s="785">
        <f t="shared" si="143"/>
        <v>18453.448779904851</v>
      </c>
      <c r="N498" s="685">
        <v>23260</v>
      </c>
      <c r="O498" s="685"/>
      <c r="P498" s="40" t="s">
        <v>664</v>
      </c>
      <c r="Q498" s="800">
        <v>40870</v>
      </c>
      <c r="R498" s="801"/>
      <c r="S498" s="310">
        <v>50</v>
      </c>
      <c r="T498" s="832">
        <v>34653</v>
      </c>
      <c r="U498" s="25">
        <f t="shared" si="144"/>
        <v>1732650</v>
      </c>
      <c r="V498" s="460"/>
      <c r="W498" s="800"/>
      <c r="X498" s="834"/>
      <c r="Y498" s="832"/>
      <c r="Z498" s="25">
        <f t="shared" si="145"/>
        <v>0</v>
      </c>
    </row>
    <row r="499" spans="1:26" ht="16.5" customHeight="1">
      <c r="A499" s="784">
        <f t="shared" si="140"/>
        <v>143</v>
      </c>
      <c r="B499" s="302" t="s">
        <v>1356</v>
      </c>
      <c r="C499" s="25">
        <f t="shared" si="141"/>
        <v>2101528</v>
      </c>
      <c r="D499" s="785">
        <f t="shared" si="139"/>
        <v>47595.066578209604</v>
      </c>
      <c r="E499" s="785">
        <f t="shared" si="139"/>
        <v>15060.585956727375</v>
      </c>
      <c r="F499" s="785">
        <f t="shared" si="139"/>
        <v>32472.446337235429</v>
      </c>
      <c r="G499" s="785">
        <f t="shared" si="139"/>
        <v>2595.5169388148179</v>
      </c>
      <c r="H499" s="785">
        <f t="shared" si="139"/>
        <v>47258.544310569909</v>
      </c>
      <c r="I499" s="785">
        <f t="shared" si="139"/>
        <v>12137.330365741434</v>
      </c>
      <c r="J499" s="369">
        <f t="shared" si="139"/>
        <v>0</v>
      </c>
      <c r="K499" s="25">
        <f t="shared" si="142"/>
        <v>2258646.4904872985</v>
      </c>
      <c r="L499" s="785">
        <v>121</v>
      </c>
      <c r="M499" s="785">
        <f t="shared" si="143"/>
        <v>18666.49992138263</v>
      </c>
      <c r="N499" s="685">
        <v>20090</v>
      </c>
      <c r="O499" s="685"/>
      <c r="P499" s="189" t="s">
        <v>576</v>
      </c>
      <c r="Q499" s="800">
        <v>40870</v>
      </c>
      <c r="R499" s="801"/>
      <c r="S499" s="310">
        <f>L499</f>
        <v>121</v>
      </c>
      <c r="T499" s="832">
        <v>17368</v>
      </c>
      <c r="U499" s="25">
        <f t="shared" si="144"/>
        <v>2101528</v>
      </c>
      <c r="V499" s="460"/>
      <c r="W499" s="800"/>
      <c r="X499" s="834"/>
      <c r="Y499" s="832"/>
      <c r="Z499" s="25">
        <f t="shared" si="145"/>
        <v>0</v>
      </c>
    </row>
    <row r="500" spans="1:26" ht="16.5" customHeight="1">
      <c r="A500" s="784">
        <f t="shared" si="140"/>
        <v>144</v>
      </c>
      <c r="B500" s="302" t="s">
        <v>1357</v>
      </c>
      <c r="C500" s="25">
        <f t="shared" si="141"/>
        <v>3347538</v>
      </c>
      <c r="D500" s="785">
        <f t="shared" si="139"/>
        <v>87323.18000299613</v>
      </c>
      <c r="E500" s="785">
        <f t="shared" si="139"/>
        <v>27631.818862756008</v>
      </c>
      <c r="F500" s="785">
        <f t="shared" si="139"/>
        <v>59577.546172448478</v>
      </c>
      <c r="G500" s="785">
        <f t="shared" si="139"/>
        <v>4762.0228133627243</v>
      </c>
      <c r="H500" s="785">
        <f t="shared" si="139"/>
        <v>86705.758983029082</v>
      </c>
      <c r="I500" s="785">
        <f t="shared" si="139"/>
        <v>22268.490423095856</v>
      </c>
      <c r="J500" s="369">
        <f t="shared" si="139"/>
        <v>0</v>
      </c>
      <c r="K500" s="25">
        <f t="shared" si="142"/>
        <v>3635805.8172576879</v>
      </c>
      <c r="L500" s="785">
        <v>222</v>
      </c>
      <c r="M500" s="785">
        <f t="shared" si="143"/>
        <v>16377.503681340937</v>
      </c>
      <c r="N500" s="685">
        <v>18170</v>
      </c>
      <c r="O500" s="685"/>
      <c r="P500" s="40" t="s">
        <v>667</v>
      </c>
      <c r="Q500" s="800">
        <v>40870</v>
      </c>
      <c r="R500" s="801"/>
      <c r="S500" s="310">
        <f>L500/2</f>
        <v>111</v>
      </c>
      <c r="T500" s="832">
        <v>30158</v>
      </c>
      <c r="U500" s="25">
        <f t="shared" si="144"/>
        <v>3347538</v>
      </c>
      <c r="V500" s="460"/>
      <c r="W500" s="800"/>
      <c r="X500" s="834"/>
      <c r="Y500" s="832"/>
      <c r="Z500" s="25">
        <f t="shared" si="145"/>
        <v>0</v>
      </c>
    </row>
    <row r="501" spans="1:26" ht="16.5" customHeight="1">
      <c r="A501" s="784">
        <f t="shared" si="140"/>
        <v>145</v>
      </c>
      <c r="B501" s="302" t="s">
        <v>1358</v>
      </c>
      <c r="C501" s="25">
        <f t="shared" si="141"/>
        <v>1920996</v>
      </c>
      <c r="D501" s="785">
        <f t="shared" si="139"/>
        <v>47595.066578209604</v>
      </c>
      <c r="E501" s="785">
        <f t="shared" si="139"/>
        <v>15060.585956727375</v>
      </c>
      <c r="F501" s="785">
        <f t="shared" si="139"/>
        <v>32472.446337235429</v>
      </c>
      <c r="G501" s="785">
        <f t="shared" si="139"/>
        <v>2595.5169388148179</v>
      </c>
      <c r="H501" s="785">
        <f t="shared" si="139"/>
        <v>47258.544310569909</v>
      </c>
      <c r="I501" s="785">
        <f t="shared" si="139"/>
        <v>12137.330365741434</v>
      </c>
      <c r="J501" s="369">
        <f t="shared" si="139"/>
        <v>0</v>
      </c>
      <c r="K501" s="25">
        <f t="shared" si="142"/>
        <v>2078114.4904872987</v>
      </c>
      <c r="L501" s="785">
        <v>121</v>
      </c>
      <c r="M501" s="785">
        <f t="shared" si="143"/>
        <v>17174.499921382634</v>
      </c>
      <c r="N501" s="685">
        <v>19420</v>
      </c>
      <c r="O501" s="685"/>
      <c r="P501" s="40" t="s">
        <v>663</v>
      </c>
      <c r="Q501" s="800">
        <v>40870</v>
      </c>
      <c r="R501" s="801"/>
      <c r="S501" s="310">
        <f>L501/2</f>
        <v>60.5</v>
      </c>
      <c r="T501" s="832">
        <v>31752</v>
      </c>
      <c r="U501" s="25">
        <f t="shared" si="144"/>
        <v>1920996</v>
      </c>
      <c r="V501" s="460"/>
      <c r="W501" s="800"/>
      <c r="X501" s="834"/>
      <c r="Y501" s="832"/>
      <c r="Z501" s="25">
        <f t="shared" si="145"/>
        <v>0</v>
      </c>
    </row>
    <row r="502" spans="1:26" ht="16.5" customHeight="1">
      <c r="A502" s="784">
        <f t="shared" si="140"/>
        <v>146</v>
      </c>
      <c r="B502" s="302" t="s">
        <v>1359</v>
      </c>
      <c r="C502" s="25">
        <f t="shared" si="141"/>
        <v>1603476</v>
      </c>
      <c r="D502" s="785">
        <f t="shared" si="139"/>
        <v>39728.113424786527</v>
      </c>
      <c r="E502" s="785">
        <f t="shared" si="139"/>
        <v>12571.232906028634</v>
      </c>
      <c r="F502" s="785">
        <f t="shared" si="139"/>
        <v>27105.099835213045</v>
      </c>
      <c r="G502" s="785">
        <f t="shared" si="139"/>
        <v>2166.5058745479059</v>
      </c>
      <c r="H502" s="785">
        <f t="shared" si="139"/>
        <v>39447.21467245918</v>
      </c>
      <c r="I502" s="785">
        <f t="shared" si="139"/>
        <v>10131.16005735442</v>
      </c>
      <c r="J502" s="369">
        <f t="shared" si="139"/>
        <v>0</v>
      </c>
      <c r="K502" s="25">
        <f t="shared" si="142"/>
        <v>1734624.3267703899</v>
      </c>
      <c r="L502" s="785">
        <v>101</v>
      </c>
      <c r="M502" s="785">
        <f t="shared" si="143"/>
        <v>17174.498284855345</v>
      </c>
      <c r="N502" s="685">
        <v>19450</v>
      </c>
      <c r="O502" s="685"/>
      <c r="P502" s="40" t="s">
        <v>663</v>
      </c>
      <c r="Q502" s="800">
        <v>40870</v>
      </c>
      <c r="R502" s="801"/>
      <c r="S502" s="310">
        <f>L502/2</f>
        <v>50.5</v>
      </c>
      <c r="T502" s="832">
        <v>31752</v>
      </c>
      <c r="U502" s="25">
        <f t="shared" si="144"/>
        <v>1603476</v>
      </c>
      <c r="V502" s="460"/>
      <c r="W502" s="800"/>
      <c r="X502" s="834"/>
      <c r="Y502" s="832"/>
      <c r="Z502" s="25">
        <f t="shared" si="145"/>
        <v>0</v>
      </c>
    </row>
    <row r="503" spans="1:26" ht="16.5" customHeight="1">
      <c r="A503" s="784">
        <f t="shared" si="140"/>
        <v>147</v>
      </c>
      <c r="B503" s="302" t="s">
        <v>1360</v>
      </c>
      <c r="C503" s="25">
        <f t="shared" si="141"/>
        <v>102327</v>
      </c>
      <c r="D503" s="785">
        <f t="shared" si="139"/>
        <v>173859.66469064995</v>
      </c>
      <c r="E503" s="785">
        <f t="shared" si="139"/>
        <v>55014.70242044214</v>
      </c>
      <c r="F503" s="785">
        <f t="shared" si="139"/>
        <v>118618.35769469471</v>
      </c>
      <c r="G503" s="785">
        <f t="shared" si="139"/>
        <v>9481.1445202987561</v>
      </c>
      <c r="H503" s="785">
        <f t="shared" si="139"/>
        <v>172630.38500224709</v>
      </c>
      <c r="I503" s="785">
        <f t="shared" si="139"/>
        <v>44336.363815353012</v>
      </c>
      <c r="J503" s="369">
        <f t="shared" si="139"/>
        <v>0</v>
      </c>
      <c r="K503" s="25">
        <f t="shared" si="142"/>
        <v>676266.61814368563</v>
      </c>
      <c r="L503" s="785">
        <v>442</v>
      </c>
      <c r="M503" s="785">
        <f t="shared" si="143"/>
        <v>1530.0149731757595</v>
      </c>
      <c r="N503" s="685">
        <v>1150</v>
      </c>
      <c r="O503" s="685"/>
      <c r="P503" s="189" t="s">
        <v>410</v>
      </c>
      <c r="Q503" s="800">
        <v>40870</v>
      </c>
      <c r="R503" s="801"/>
      <c r="S503" s="310">
        <v>23</v>
      </c>
      <c r="T503" s="832">
        <v>4449</v>
      </c>
      <c r="U503" s="25">
        <f t="shared" si="144"/>
        <v>102327</v>
      </c>
      <c r="V503" s="460"/>
      <c r="W503" s="800"/>
      <c r="X503" s="834"/>
      <c r="Y503" s="832"/>
      <c r="Z503" s="25">
        <f t="shared" si="145"/>
        <v>0</v>
      </c>
    </row>
    <row r="504" spans="1:26" ht="16.5" customHeight="1">
      <c r="A504" s="784">
        <f t="shared" si="140"/>
        <v>148</v>
      </c>
      <c r="B504" s="302" t="s">
        <v>1362</v>
      </c>
      <c r="C504" s="25">
        <f t="shared" si="141"/>
        <v>57837</v>
      </c>
      <c r="D504" s="785">
        <f t="shared" si="139"/>
        <v>95190.133156419208</v>
      </c>
      <c r="E504" s="785">
        <f t="shared" si="139"/>
        <v>30121.171913454749</v>
      </c>
      <c r="F504" s="785">
        <f t="shared" si="139"/>
        <v>64944.892674470859</v>
      </c>
      <c r="G504" s="785">
        <f t="shared" si="139"/>
        <v>5191.0338776296358</v>
      </c>
      <c r="H504" s="785">
        <f t="shared" si="139"/>
        <v>94517.088621139817</v>
      </c>
      <c r="I504" s="785">
        <f t="shared" si="139"/>
        <v>24274.660731482869</v>
      </c>
      <c r="J504" s="369">
        <f t="shared" si="139"/>
        <v>0</v>
      </c>
      <c r="K504" s="25">
        <f t="shared" si="142"/>
        <v>372074.9809745971</v>
      </c>
      <c r="L504" s="785">
        <v>242</v>
      </c>
      <c r="M504" s="785">
        <f t="shared" si="143"/>
        <v>1537.4999213826327</v>
      </c>
      <c r="N504" s="685">
        <v>1360</v>
      </c>
      <c r="O504" s="685"/>
      <c r="P504" s="189" t="s">
        <v>410</v>
      </c>
      <c r="Q504" s="800">
        <v>40877</v>
      </c>
      <c r="R504" s="801"/>
      <c r="S504" s="310">
        <v>13</v>
      </c>
      <c r="T504" s="832">
        <v>4449</v>
      </c>
      <c r="U504" s="25">
        <f t="shared" si="144"/>
        <v>57837</v>
      </c>
      <c r="V504" s="460"/>
      <c r="W504" s="800"/>
      <c r="X504" s="834"/>
      <c r="Y504" s="832"/>
      <c r="Z504" s="25">
        <f t="shared" si="145"/>
        <v>0</v>
      </c>
    </row>
    <row r="505" spans="1:26" ht="16.5" customHeight="1">
      <c r="A505" s="784">
        <f t="shared" si="140"/>
        <v>149</v>
      </c>
      <c r="B505" s="302" t="s">
        <v>1363</v>
      </c>
      <c r="C505" s="25">
        <f t="shared" si="141"/>
        <v>66735</v>
      </c>
      <c r="D505" s="785">
        <f t="shared" si="139"/>
        <v>173859.66469064995</v>
      </c>
      <c r="E505" s="785">
        <f t="shared" si="139"/>
        <v>55014.70242044214</v>
      </c>
      <c r="F505" s="785">
        <f t="shared" si="139"/>
        <v>118618.35769469471</v>
      </c>
      <c r="G505" s="785">
        <f t="shared" si="139"/>
        <v>9481.1445202987561</v>
      </c>
      <c r="H505" s="785">
        <f t="shared" si="139"/>
        <v>172630.38500224709</v>
      </c>
      <c r="I505" s="785">
        <f t="shared" si="139"/>
        <v>44336.363815353012</v>
      </c>
      <c r="J505" s="369">
        <f t="shared" si="139"/>
        <v>0</v>
      </c>
      <c r="K505" s="25">
        <f t="shared" si="142"/>
        <v>640674.61814368563</v>
      </c>
      <c r="L505" s="785">
        <v>442</v>
      </c>
      <c r="M505" s="785">
        <f t="shared" si="143"/>
        <v>1449.4900862979314</v>
      </c>
      <c r="N505" s="685">
        <v>1090</v>
      </c>
      <c r="O505" s="685"/>
      <c r="P505" s="189" t="s">
        <v>410</v>
      </c>
      <c r="Q505" s="800">
        <v>40877</v>
      </c>
      <c r="R505" s="801"/>
      <c r="S505" s="310">
        <v>15</v>
      </c>
      <c r="T505" s="832">
        <v>4449</v>
      </c>
      <c r="U505" s="25">
        <f t="shared" si="144"/>
        <v>66735</v>
      </c>
      <c r="V505" s="460"/>
      <c r="W505" s="800"/>
      <c r="X505" s="834"/>
      <c r="Y505" s="832"/>
      <c r="Z505" s="25">
        <f t="shared" si="145"/>
        <v>0</v>
      </c>
    </row>
    <row r="506" spans="1:26" ht="16.5" customHeight="1">
      <c r="A506" s="784">
        <f t="shared" si="140"/>
        <v>150</v>
      </c>
      <c r="B506" s="302" t="s">
        <v>1364</v>
      </c>
      <c r="C506" s="25">
        <f t="shared" si="141"/>
        <v>49189</v>
      </c>
      <c r="D506" s="785">
        <f t="shared" si="139"/>
        <v>1966738.2883557687</v>
      </c>
      <c r="E506" s="785">
        <f t="shared" si="139"/>
        <v>622338.26267468487</v>
      </c>
      <c r="F506" s="785">
        <f t="shared" si="139"/>
        <v>1341836.6255055964</v>
      </c>
      <c r="G506" s="785">
        <f t="shared" si="139"/>
        <v>107252.76606672801</v>
      </c>
      <c r="H506" s="785">
        <f t="shared" si="139"/>
        <v>1952832.409527682</v>
      </c>
      <c r="I506" s="785">
        <f t="shared" si="139"/>
        <v>501542.57709675346</v>
      </c>
      <c r="J506" s="369">
        <f t="shared" si="139"/>
        <v>0</v>
      </c>
      <c r="K506" s="25">
        <f t="shared" si="142"/>
        <v>6541728.9292272134</v>
      </c>
      <c r="L506" s="785">
        <v>5000</v>
      </c>
      <c r="M506" s="785">
        <f t="shared" si="143"/>
        <v>1308.3457858454426</v>
      </c>
      <c r="N506" s="685">
        <v>123</v>
      </c>
      <c r="O506" s="685"/>
      <c r="P506" s="189" t="s">
        <v>661</v>
      </c>
      <c r="Q506" s="800">
        <v>40877</v>
      </c>
      <c r="R506" s="801"/>
      <c r="S506" s="310">
        <v>2</v>
      </c>
      <c r="T506" s="832">
        <v>24594.5</v>
      </c>
      <c r="U506" s="25">
        <f t="shared" si="144"/>
        <v>49189</v>
      </c>
      <c r="V506" s="460"/>
      <c r="W506" s="800"/>
      <c r="X506" s="834"/>
      <c r="Y506" s="832"/>
      <c r="Z506" s="25">
        <f t="shared" si="145"/>
        <v>0</v>
      </c>
    </row>
    <row r="507" spans="1:26" ht="16.5" customHeight="1">
      <c r="A507" s="784">
        <f t="shared" si="140"/>
        <v>151</v>
      </c>
      <c r="B507" s="302" t="s">
        <v>1365</v>
      </c>
      <c r="C507" s="25">
        <f t="shared" si="141"/>
        <v>14777420</v>
      </c>
      <c r="D507" s="785">
        <f t="shared" si="139"/>
        <v>385480.70451773069</v>
      </c>
      <c r="E507" s="785">
        <f t="shared" si="139"/>
        <v>121978.29948423823</v>
      </c>
      <c r="F507" s="785">
        <f t="shared" si="139"/>
        <v>262999.97859909688</v>
      </c>
      <c r="G507" s="785">
        <f t="shared" si="139"/>
        <v>21021.54214907869</v>
      </c>
      <c r="H507" s="785">
        <f t="shared" si="139"/>
        <v>382755.15226742567</v>
      </c>
      <c r="I507" s="785">
        <f t="shared" si="139"/>
        <v>98302.345110963681</v>
      </c>
      <c r="J507" s="369">
        <f t="shared" si="139"/>
        <v>0</v>
      </c>
      <c r="K507" s="25">
        <f t="shared" si="142"/>
        <v>16049957.022128535</v>
      </c>
      <c r="L507" s="785">
        <v>980</v>
      </c>
      <c r="M507" s="785">
        <f t="shared" si="143"/>
        <v>16377.50716543728</v>
      </c>
      <c r="N507" s="685">
        <v>17900</v>
      </c>
      <c r="O507" s="685"/>
      <c r="P507" s="40" t="s">
        <v>667</v>
      </c>
      <c r="Q507" s="800">
        <v>40877</v>
      </c>
      <c r="R507" s="801"/>
      <c r="S507" s="310">
        <f>L507/2</f>
        <v>490</v>
      </c>
      <c r="T507" s="832">
        <v>30158</v>
      </c>
      <c r="U507" s="25">
        <f t="shared" si="144"/>
        <v>14777420</v>
      </c>
      <c r="V507" s="460"/>
      <c r="W507" s="800"/>
      <c r="X507" s="834"/>
      <c r="Y507" s="832"/>
      <c r="Z507" s="25">
        <f t="shared" si="145"/>
        <v>0</v>
      </c>
    </row>
    <row r="508" spans="1:26" ht="16.5" customHeight="1">
      <c r="A508" s="784">
        <f t="shared" si="140"/>
        <v>152</v>
      </c>
      <c r="B508" s="302" t="s">
        <v>1367</v>
      </c>
      <c r="C508" s="25">
        <f t="shared" si="141"/>
        <v>13641600</v>
      </c>
      <c r="D508" s="785">
        <f t="shared" si="139"/>
        <v>782761.83876559592</v>
      </c>
      <c r="E508" s="785">
        <f t="shared" si="139"/>
        <v>247690.62854452457</v>
      </c>
      <c r="F508" s="785">
        <f t="shared" si="139"/>
        <v>534050.97695122729</v>
      </c>
      <c r="G508" s="785">
        <f t="shared" si="139"/>
        <v>42686.600894557749</v>
      </c>
      <c r="H508" s="785">
        <f t="shared" si="139"/>
        <v>777227.29899201752</v>
      </c>
      <c r="I508" s="785">
        <f t="shared" si="139"/>
        <v>199613.9456845079</v>
      </c>
      <c r="J508" s="369">
        <f t="shared" si="139"/>
        <v>0</v>
      </c>
      <c r="K508" s="25">
        <f t="shared" si="142"/>
        <v>16225630.289832428</v>
      </c>
      <c r="L508" s="785">
        <v>1990</v>
      </c>
      <c r="M508" s="785">
        <f t="shared" si="143"/>
        <v>8153.583060217301</v>
      </c>
      <c r="N508" s="685">
        <v>10900</v>
      </c>
      <c r="O508" s="685"/>
      <c r="P508" s="40" t="s">
        <v>677</v>
      </c>
      <c r="Q508" s="800">
        <v>40877</v>
      </c>
      <c r="R508" s="801"/>
      <c r="S508" s="310">
        <v>1050</v>
      </c>
      <c r="T508" s="832">
        <v>12992</v>
      </c>
      <c r="U508" s="25">
        <f t="shared" si="144"/>
        <v>13641600</v>
      </c>
      <c r="V508" s="460"/>
      <c r="W508" s="800"/>
      <c r="X508" s="834"/>
      <c r="Y508" s="832"/>
      <c r="Z508" s="25">
        <f t="shared" si="145"/>
        <v>0</v>
      </c>
    </row>
    <row r="509" spans="1:26" ht="16.5" customHeight="1">
      <c r="A509" s="784">
        <f t="shared" si="140"/>
        <v>153</v>
      </c>
      <c r="B509" s="192" t="s">
        <v>1372</v>
      </c>
      <c r="C509" s="25">
        <f t="shared" si="141"/>
        <v>7726330</v>
      </c>
      <c r="D509" s="785">
        <f t="shared" si="139"/>
        <v>184873.39910544225</v>
      </c>
      <c r="E509" s="785">
        <f t="shared" si="139"/>
        <v>58499.796691420379</v>
      </c>
      <c r="F509" s="785">
        <f t="shared" si="139"/>
        <v>126132.64279752606</v>
      </c>
      <c r="G509" s="785">
        <f t="shared" si="139"/>
        <v>10081.760010272434</v>
      </c>
      <c r="H509" s="785">
        <f t="shared" si="139"/>
        <v>183566.24649560213</v>
      </c>
      <c r="I509" s="785">
        <f t="shared" si="139"/>
        <v>47145.002247094832</v>
      </c>
      <c r="J509" s="369">
        <f t="shared" si="139"/>
        <v>0</v>
      </c>
      <c r="K509" s="25">
        <f t="shared" si="142"/>
        <v>8336627.8473473582</v>
      </c>
      <c r="L509" s="260">
        <v>470</v>
      </c>
      <c r="M509" s="785">
        <f t="shared" si="143"/>
        <v>17737.506058185867</v>
      </c>
      <c r="N509" s="685">
        <v>22000</v>
      </c>
      <c r="O509" s="685"/>
      <c r="P509" s="40" t="s">
        <v>668</v>
      </c>
      <c r="Q509" s="191">
        <v>40896</v>
      </c>
      <c r="R509" s="801"/>
      <c r="S509" s="310">
        <f>L509/2</f>
        <v>235</v>
      </c>
      <c r="T509" s="832">
        <v>32878</v>
      </c>
      <c r="U509" s="25">
        <f t="shared" si="144"/>
        <v>7726330</v>
      </c>
      <c r="V509" s="460"/>
      <c r="W509" s="800"/>
      <c r="X509" s="834"/>
      <c r="Y509" s="832"/>
      <c r="Z509" s="25">
        <f t="shared" si="145"/>
        <v>0</v>
      </c>
    </row>
    <row r="510" spans="1:26" ht="16.5" customHeight="1">
      <c r="A510" s="784">
        <f t="shared" si="140"/>
        <v>154</v>
      </c>
      <c r="B510" s="192" t="s">
        <v>1374</v>
      </c>
      <c r="C510" s="25">
        <f t="shared" si="141"/>
        <v>2331465</v>
      </c>
      <c r="D510" s="785">
        <f t="shared" si="139"/>
        <v>198640.56712393265</v>
      </c>
      <c r="E510" s="785">
        <f t="shared" si="139"/>
        <v>62856.164530143171</v>
      </c>
      <c r="F510" s="785">
        <f t="shared" si="139"/>
        <v>135525.49917606523</v>
      </c>
      <c r="G510" s="785">
        <f t="shared" si="139"/>
        <v>10832.529372739529</v>
      </c>
      <c r="H510" s="785">
        <f t="shared" si="139"/>
        <v>197236.07336229589</v>
      </c>
      <c r="I510" s="785">
        <f t="shared" si="139"/>
        <v>50655.800286772101</v>
      </c>
      <c r="J510" s="369">
        <f t="shared" si="139"/>
        <v>0</v>
      </c>
      <c r="K510" s="25">
        <f t="shared" si="142"/>
        <v>2987210.6338519491</v>
      </c>
      <c r="L510" s="260">
        <v>505</v>
      </c>
      <c r="M510" s="785">
        <f t="shared" si="143"/>
        <v>5915.2685818850478</v>
      </c>
      <c r="N510" s="685">
        <v>9500</v>
      </c>
      <c r="O510" s="685"/>
      <c r="P510" s="189" t="s">
        <v>545</v>
      </c>
      <c r="Q510" s="191">
        <v>40886</v>
      </c>
      <c r="R510" s="801"/>
      <c r="S510" s="310">
        <v>205</v>
      </c>
      <c r="T510" s="832">
        <v>11373</v>
      </c>
      <c r="U510" s="25">
        <f t="shared" si="144"/>
        <v>2331465</v>
      </c>
      <c r="V510" s="460"/>
      <c r="W510" s="800"/>
      <c r="X510" s="834"/>
      <c r="Y510" s="832"/>
      <c r="Z510" s="25">
        <f t="shared" si="145"/>
        <v>0</v>
      </c>
    </row>
    <row r="511" spans="1:26" ht="16.5" customHeight="1">
      <c r="A511" s="784">
        <f t="shared" si="140"/>
        <v>155</v>
      </c>
      <c r="B511" s="192" t="s">
        <v>1328</v>
      </c>
      <c r="C511" s="25">
        <f t="shared" si="141"/>
        <v>17427</v>
      </c>
      <c r="D511" s="785">
        <f t="shared" si="139"/>
        <v>786.69531534230748</v>
      </c>
      <c r="E511" s="785">
        <f t="shared" si="139"/>
        <v>248.93530506987395</v>
      </c>
      <c r="F511" s="785">
        <f t="shared" si="139"/>
        <v>536.73465020223853</v>
      </c>
      <c r="G511" s="785">
        <f t="shared" si="139"/>
        <v>42.901106426691207</v>
      </c>
      <c r="H511" s="785">
        <f t="shared" si="139"/>
        <v>781.13296381107284</v>
      </c>
      <c r="I511" s="785">
        <f t="shared" si="139"/>
        <v>200.6170308387014</v>
      </c>
      <c r="J511" s="369">
        <f t="shared" si="139"/>
        <v>0</v>
      </c>
      <c r="K511" s="25">
        <f t="shared" si="142"/>
        <v>20023.016371690886</v>
      </c>
      <c r="L511" s="260">
        <v>2</v>
      </c>
      <c r="M511" s="785">
        <f t="shared" si="143"/>
        <v>10011.508185845443</v>
      </c>
      <c r="N511" s="685">
        <v>9449</v>
      </c>
      <c r="O511" s="685"/>
      <c r="P511" s="189" t="s">
        <v>513</v>
      </c>
      <c r="Q511" s="191">
        <v>40897</v>
      </c>
      <c r="R511" s="801"/>
      <c r="S511" s="310">
        <v>1</v>
      </c>
      <c r="T511" s="832">
        <v>17427</v>
      </c>
      <c r="U511" s="25">
        <f t="shared" si="144"/>
        <v>17427</v>
      </c>
      <c r="V511" s="460"/>
      <c r="W511" s="800"/>
      <c r="X511" s="834"/>
      <c r="Y511" s="832"/>
      <c r="Z511" s="25">
        <f t="shared" si="145"/>
        <v>0</v>
      </c>
    </row>
    <row r="512" spans="1:26" ht="16.5" customHeight="1">
      <c r="A512" s="784">
        <f t="shared" si="140"/>
        <v>156</v>
      </c>
      <c r="B512" s="192" t="s">
        <v>1377</v>
      </c>
      <c r="C512" s="25">
        <f t="shared" si="141"/>
        <v>32878</v>
      </c>
      <c r="D512" s="785">
        <f t="shared" si="139"/>
        <v>1966.7382883557686</v>
      </c>
      <c r="E512" s="785">
        <f t="shared" si="139"/>
        <v>622.33826267468487</v>
      </c>
      <c r="F512" s="785">
        <f t="shared" si="139"/>
        <v>1341.8366255055962</v>
      </c>
      <c r="G512" s="785">
        <f t="shared" si="139"/>
        <v>107.25276606672801</v>
      </c>
      <c r="H512" s="785">
        <f t="shared" si="139"/>
        <v>1952.8324095276821</v>
      </c>
      <c r="I512" s="785">
        <f t="shared" si="139"/>
        <v>501.54257709675346</v>
      </c>
      <c r="J512" s="369">
        <f t="shared" si="139"/>
        <v>0</v>
      </c>
      <c r="K512" s="25">
        <f t="shared" si="142"/>
        <v>39369.540929227209</v>
      </c>
      <c r="L512" s="260">
        <v>5</v>
      </c>
      <c r="M512" s="785">
        <f t="shared" si="143"/>
        <v>7873.9081858454419</v>
      </c>
      <c r="N512" s="685">
        <v>8637</v>
      </c>
      <c r="O512" s="685"/>
      <c r="P512" s="40" t="s">
        <v>668</v>
      </c>
      <c r="Q512" s="191">
        <v>40897</v>
      </c>
      <c r="R512" s="801"/>
      <c r="S512" s="310">
        <v>1</v>
      </c>
      <c r="T512" s="832">
        <v>32878</v>
      </c>
      <c r="U512" s="25">
        <f t="shared" si="144"/>
        <v>32878</v>
      </c>
      <c r="V512" s="460"/>
      <c r="W512" s="800"/>
      <c r="X512" s="834"/>
      <c r="Y512" s="832"/>
      <c r="Z512" s="25">
        <f t="shared" si="145"/>
        <v>0</v>
      </c>
    </row>
    <row r="513" spans="1:26" ht="16.5" customHeight="1">
      <c r="A513" s="784">
        <f t="shared" si="140"/>
        <v>157</v>
      </c>
      <c r="B513" s="192" t="s">
        <v>771</v>
      </c>
      <c r="C513" s="25">
        <f t="shared" si="141"/>
        <v>349272</v>
      </c>
      <c r="D513" s="785">
        <f t="shared" si="139"/>
        <v>12980.472703148074</v>
      </c>
      <c r="E513" s="785">
        <f t="shared" si="139"/>
        <v>4107.43253365292</v>
      </c>
      <c r="F513" s="785">
        <f t="shared" si="139"/>
        <v>8856.1217283369351</v>
      </c>
      <c r="G513" s="785">
        <f t="shared" si="139"/>
        <v>707.86825604040496</v>
      </c>
      <c r="H513" s="785">
        <f t="shared" si="139"/>
        <v>12888.693902882702</v>
      </c>
      <c r="I513" s="785">
        <f t="shared" si="139"/>
        <v>3310.1810088385732</v>
      </c>
      <c r="J513" s="369">
        <f t="shared" si="139"/>
        <v>0</v>
      </c>
      <c r="K513" s="25">
        <f t="shared" si="142"/>
        <v>392121.77013289963</v>
      </c>
      <c r="L513" s="260">
        <v>33</v>
      </c>
      <c r="M513" s="785">
        <f t="shared" si="143"/>
        <v>11882.477882815141</v>
      </c>
      <c r="N513" s="685">
        <v>12946</v>
      </c>
      <c r="O513" s="685"/>
      <c r="P513" s="40" t="s">
        <v>663</v>
      </c>
      <c r="Q513" s="191">
        <v>40897</v>
      </c>
      <c r="R513" s="801"/>
      <c r="S513" s="310">
        <v>11</v>
      </c>
      <c r="T513" s="832">
        <v>31752</v>
      </c>
      <c r="U513" s="25">
        <f t="shared" si="144"/>
        <v>349272</v>
      </c>
      <c r="V513" s="460"/>
      <c r="W513" s="800"/>
      <c r="X513" s="834"/>
      <c r="Y513" s="832"/>
      <c r="Z513" s="25">
        <f t="shared" si="145"/>
        <v>0</v>
      </c>
    </row>
    <row r="514" spans="1:26" ht="16.5" customHeight="1">
      <c r="A514" s="784">
        <f t="shared" si="140"/>
        <v>158</v>
      </c>
      <c r="B514" s="192" t="s">
        <v>1378</v>
      </c>
      <c r="C514" s="25">
        <f t="shared" si="141"/>
        <v>1977885</v>
      </c>
      <c r="D514" s="785">
        <f t="shared" si="139"/>
        <v>57822.105677659601</v>
      </c>
      <c r="E514" s="785">
        <f t="shared" si="139"/>
        <v>18296.744922635735</v>
      </c>
      <c r="F514" s="785">
        <f t="shared" si="139"/>
        <v>39449.996789864534</v>
      </c>
      <c r="G514" s="785">
        <f t="shared" si="139"/>
        <v>3153.2313223618039</v>
      </c>
      <c r="H514" s="785">
        <f t="shared" si="139"/>
        <v>57413.272840113852</v>
      </c>
      <c r="I514" s="785">
        <f t="shared" si="139"/>
        <v>14745.351766644553</v>
      </c>
      <c r="J514" s="369">
        <f t="shared" si="139"/>
        <v>0</v>
      </c>
      <c r="K514" s="25">
        <f t="shared" si="142"/>
        <v>2168764.7033192804</v>
      </c>
      <c r="L514" s="260">
        <v>147</v>
      </c>
      <c r="M514" s="785">
        <f t="shared" si="143"/>
        <v>14753.501383124356</v>
      </c>
      <c r="N514" s="685">
        <v>14013</v>
      </c>
      <c r="O514" s="685"/>
      <c r="P514" s="40" t="s">
        <v>678</v>
      </c>
      <c r="Q514" s="191">
        <v>40897</v>
      </c>
      <c r="R514" s="801"/>
      <c r="S514" s="310">
        <f>L514</f>
        <v>147</v>
      </c>
      <c r="T514" s="832">
        <v>13455</v>
      </c>
      <c r="U514" s="25">
        <f t="shared" si="144"/>
        <v>1977885</v>
      </c>
      <c r="V514" s="460"/>
      <c r="W514" s="800"/>
      <c r="X514" s="834"/>
      <c r="Y514" s="832"/>
      <c r="Z514" s="25">
        <f t="shared" si="145"/>
        <v>0</v>
      </c>
    </row>
    <row r="515" spans="1:26" ht="16.5" customHeight="1">
      <c r="A515" s="784">
        <f t="shared" si="140"/>
        <v>159</v>
      </c>
      <c r="B515" s="192" t="s">
        <v>1379</v>
      </c>
      <c r="C515" s="25">
        <f t="shared" si="141"/>
        <v>699660</v>
      </c>
      <c r="D515" s="785">
        <f t="shared" si="139"/>
        <v>20454.078198899995</v>
      </c>
      <c r="E515" s="785">
        <f t="shared" si="139"/>
        <v>6472.3179318167222</v>
      </c>
      <c r="F515" s="785">
        <f t="shared" si="139"/>
        <v>13955.100905258201</v>
      </c>
      <c r="G515" s="785">
        <f t="shared" si="139"/>
        <v>1115.4287670939714</v>
      </c>
      <c r="H515" s="785">
        <f t="shared" si="139"/>
        <v>20309.457059087894</v>
      </c>
      <c r="I515" s="785">
        <f t="shared" si="139"/>
        <v>5216.0428018062366</v>
      </c>
      <c r="J515" s="369">
        <f t="shared" si="139"/>
        <v>0</v>
      </c>
      <c r="K515" s="25">
        <f t="shared" si="142"/>
        <v>767181.42566396296</v>
      </c>
      <c r="L515" s="260">
        <v>52</v>
      </c>
      <c r="M515" s="785">
        <f t="shared" si="143"/>
        <v>14753.488955076211</v>
      </c>
      <c r="N515" s="685">
        <v>17521</v>
      </c>
      <c r="O515" s="685"/>
      <c r="P515" s="40" t="s">
        <v>678</v>
      </c>
      <c r="Q515" s="191">
        <v>40897</v>
      </c>
      <c r="R515" s="801"/>
      <c r="S515" s="310">
        <f>L515</f>
        <v>52</v>
      </c>
      <c r="T515" s="832">
        <v>13455</v>
      </c>
      <c r="U515" s="25">
        <f t="shared" si="144"/>
        <v>699660</v>
      </c>
      <c r="V515" s="460"/>
      <c r="W515" s="800"/>
      <c r="X515" s="834"/>
      <c r="Y515" s="832"/>
      <c r="Z515" s="25">
        <f t="shared" si="145"/>
        <v>0</v>
      </c>
    </row>
    <row r="516" spans="1:26" ht="16.5" customHeight="1">
      <c r="A516" s="784">
        <f t="shared" si="140"/>
        <v>160</v>
      </c>
      <c r="B516" s="192" t="s">
        <v>1380</v>
      </c>
      <c r="C516" s="25">
        <f t="shared" si="141"/>
        <v>1006622</v>
      </c>
      <c r="D516" s="785">
        <f t="shared" si="139"/>
        <v>23994.207117940379</v>
      </c>
      <c r="E516" s="785">
        <f t="shared" si="139"/>
        <v>7592.5268046311558</v>
      </c>
      <c r="F516" s="785">
        <f t="shared" si="139"/>
        <v>16370.406831168275</v>
      </c>
      <c r="G516" s="785">
        <f t="shared" si="139"/>
        <v>1308.4837460140818</v>
      </c>
      <c r="H516" s="785">
        <f t="shared" si="139"/>
        <v>23824.555396237723</v>
      </c>
      <c r="I516" s="785">
        <f t="shared" si="139"/>
        <v>6118.8194405803924</v>
      </c>
      <c r="J516" s="369">
        <f t="shared" si="139"/>
        <v>0</v>
      </c>
      <c r="K516" s="25">
        <f t="shared" si="142"/>
        <v>1085829.9993365719</v>
      </c>
      <c r="L516" s="260">
        <v>61</v>
      </c>
      <c r="M516" s="785">
        <f t="shared" si="143"/>
        <v>17800.49179240282</v>
      </c>
      <c r="N516" s="685">
        <v>18867</v>
      </c>
      <c r="O516" s="685"/>
      <c r="P516" s="40" t="s">
        <v>672</v>
      </c>
      <c r="Q516" s="191">
        <v>40897</v>
      </c>
      <c r="R516" s="801"/>
      <c r="S516" s="310">
        <v>61</v>
      </c>
      <c r="T516" s="832">
        <v>16502</v>
      </c>
      <c r="U516" s="25">
        <f t="shared" si="144"/>
        <v>1006622</v>
      </c>
      <c r="V516" s="460"/>
      <c r="W516" s="800"/>
      <c r="X516" s="834"/>
      <c r="Y516" s="832"/>
      <c r="Z516" s="25">
        <f t="shared" si="145"/>
        <v>0</v>
      </c>
    </row>
    <row r="517" spans="1:26" ht="16.5" customHeight="1">
      <c r="A517" s="784">
        <f t="shared" si="140"/>
        <v>161</v>
      </c>
      <c r="B517" s="192" t="s">
        <v>1381</v>
      </c>
      <c r="C517" s="25">
        <f t="shared" si="141"/>
        <v>8398655</v>
      </c>
      <c r="D517" s="785">
        <f t="shared" si="139"/>
        <v>198640.56712393265</v>
      </c>
      <c r="E517" s="785">
        <f t="shared" si="139"/>
        <v>62856.164530143171</v>
      </c>
      <c r="F517" s="785">
        <f t="shared" si="139"/>
        <v>135525.49917606523</v>
      </c>
      <c r="G517" s="785">
        <f t="shared" si="139"/>
        <v>10832.529372739529</v>
      </c>
      <c r="H517" s="785">
        <f t="shared" si="139"/>
        <v>197236.07336229589</v>
      </c>
      <c r="I517" s="785">
        <f t="shared" si="139"/>
        <v>50655.800286772101</v>
      </c>
      <c r="J517" s="369">
        <f t="shared" si="139"/>
        <v>0</v>
      </c>
      <c r="K517" s="25">
        <f t="shared" si="142"/>
        <v>9054400.6338519473</v>
      </c>
      <c r="L517" s="260">
        <v>505</v>
      </c>
      <c r="M517" s="785">
        <f t="shared" si="143"/>
        <v>17929.50620564742</v>
      </c>
      <c r="N517" s="685">
        <v>18984</v>
      </c>
      <c r="O517" s="685"/>
      <c r="P517" s="40" t="s">
        <v>679</v>
      </c>
      <c r="Q517" s="191">
        <v>40897</v>
      </c>
      <c r="R517" s="801"/>
      <c r="S517" s="310">
        <f>L517</f>
        <v>505</v>
      </c>
      <c r="T517" s="832">
        <v>16631</v>
      </c>
      <c r="U517" s="25">
        <f t="shared" si="144"/>
        <v>8398655</v>
      </c>
      <c r="V517" s="460"/>
      <c r="W517" s="800"/>
      <c r="X517" s="834"/>
      <c r="Y517" s="832"/>
      <c r="Z517" s="25">
        <f t="shared" si="145"/>
        <v>0</v>
      </c>
    </row>
    <row r="518" spans="1:26" ht="16.5" customHeight="1">
      <c r="A518" s="784">
        <f t="shared" si="140"/>
        <v>162</v>
      </c>
      <c r="B518" s="192" t="s">
        <v>1382</v>
      </c>
      <c r="C518" s="25">
        <f t="shared" si="141"/>
        <v>607194</v>
      </c>
      <c r="D518" s="785">
        <f t="shared" si="139"/>
        <v>23994.207117940379</v>
      </c>
      <c r="E518" s="785">
        <f t="shared" si="139"/>
        <v>7592.5268046311558</v>
      </c>
      <c r="F518" s="785">
        <f t="shared" si="139"/>
        <v>16370.406831168275</v>
      </c>
      <c r="G518" s="785">
        <f t="shared" si="139"/>
        <v>1308.4837460140818</v>
      </c>
      <c r="H518" s="785">
        <f t="shared" si="139"/>
        <v>23824.555396237723</v>
      </c>
      <c r="I518" s="785">
        <f t="shared" ref="D518:J555" si="146">IF($L$599&lt;&gt;0,I$599/$L$599*$L518,0)</f>
        <v>6118.8194405803924</v>
      </c>
      <c r="J518" s="369">
        <f t="shared" si="146"/>
        <v>0</v>
      </c>
      <c r="K518" s="25">
        <f t="shared" si="142"/>
        <v>686401.99933657201</v>
      </c>
      <c r="L518" s="260">
        <v>61</v>
      </c>
      <c r="M518" s="785">
        <f t="shared" si="143"/>
        <v>11252.49179240282</v>
      </c>
      <c r="N518" s="685">
        <v>12799</v>
      </c>
      <c r="O518" s="685"/>
      <c r="P518" s="189" t="s">
        <v>653</v>
      </c>
      <c r="Q518" s="191">
        <v>40897</v>
      </c>
      <c r="R518" s="801"/>
      <c r="S518" s="310">
        <f>L518</f>
        <v>61</v>
      </c>
      <c r="T518" s="832">
        <v>9954</v>
      </c>
      <c r="U518" s="25">
        <f t="shared" si="144"/>
        <v>607194</v>
      </c>
      <c r="V518" s="460"/>
      <c r="W518" s="800"/>
      <c r="X518" s="834"/>
      <c r="Y518" s="832"/>
      <c r="Z518" s="25">
        <f t="shared" si="145"/>
        <v>0</v>
      </c>
    </row>
    <row r="519" spans="1:26" ht="16.5" customHeight="1">
      <c r="A519" s="784">
        <f t="shared" si="140"/>
        <v>163</v>
      </c>
      <c r="B519" s="192" t="s">
        <v>770</v>
      </c>
      <c r="C519" s="25">
        <f t="shared" si="141"/>
        <v>34854</v>
      </c>
      <c r="D519" s="785">
        <f t="shared" si="146"/>
        <v>1573.390630684615</v>
      </c>
      <c r="E519" s="785">
        <f t="shared" si="146"/>
        <v>497.8706101397479</v>
      </c>
      <c r="F519" s="785">
        <f t="shared" si="146"/>
        <v>1073.4693004044771</v>
      </c>
      <c r="G519" s="785">
        <f t="shared" si="146"/>
        <v>85.802212853382414</v>
      </c>
      <c r="H519" s="785">
        <f t="shared" si="146"/>
        <v>1562.2659276221457</v>
      </c>
      <c r="I519" s="785">
        <f t="shared" si="146"/>
        <v>401.23406167740279</v>
      </c>
      <c r="J519" s="369">
        <f t="shared" si="146"/>
        <v>0</v>
      </c>
      <c r="K519" s="25">
        <f t="shared" si="142"/>
        <v>40047.032743381773</v>
      </c>
      <c r="L519" s="260">
        <v>4</v>
      </c>
      <c r="M519" s="785">
        <f t="shared" si="143"/>
        <v>10011.758185845443</v>
      </c>
      <c r="N519" s="685">
        <v>11321</v>
      </c>
      <c r="O519" s="685"/>
      <c r="P519" s="189" t="s">
        <v>513</v>
      </c>
      <c r="Q519" s="191">
        <v>40897</v>
      </c>
      <c r="R519" s="801"/>
      <c r="S519" s="310">
        <v>2</v>
      </c>
      <c r="T519" s="832">
        <v>17427</v>
      </c>
      <c r="U519" s="25">
        <f t="shared" si="144"/>
        <v>34854</v>
      </c>
      <c r="V519" s="460"/>
      <c r="W519" s="800"/>
      <c r="X519" s="834"/>
      <c r="Y519" s="832"/>
      <c r="Z519" s="25">
        <f t="shared" si="145"/>
        <v>0</v>
      </c>
    </row>
    <row r="520" spans="1:26" ht="16.5" customHeight="1">
      <c r="A520" s="784">
        <f t="shared" si="140"/>
        <v>164</v>
      </c>
      <c r="B520" s="192" t="s">
        <v>1383</v>
      </c>
      <c r="C520" s="25">
        <f t="shared" si="141"/>
        <v>278832</v>
      </c>
      <c r="D520" s="785">
        <f t="shared" si="146"/>
        <v>6293.5625227384598</v>
      </c>
      <c r="E520" s="785">
        <f t="shared" si="146"/>
        <v>1991.4824405589916</v>
      </c>
      <c r="F520" s="785">
        <f t="shared" si="146"/>
        <v>4293.8772016179082</v>
      </c>
      <c r="G520" s="785">
        <f t="shared" si="146"/>
        <v>343.20885141352966</v>
      </c>
      <c r="H520" s="785">
        <f t="shared" si="146"/>
        <v>6249.0637104885827</v>
      </c>
      <c r="I520" s="785">
        <f t="shared" si="146"/>
        <v>1604.9362467096112</v>
      </c>
      <c r="J520" s="369">
        <f t="shared" si="146"/>
        <v>0</v>
      </c>
      <c r="K520" s="25">
        <f t="shared" si="142"/>
        <v>299607.13097352715</v>
      </c>
      <c r="L520" s="260">
        <v>16</v>
      </c>
      <c r="M520" s="785">
        <f t="shared" si="143"/>
        <v>18725.445685845447</v>
      </c>
      <c r="N520" s="685">
        <v>18928</v>
      </c>
      <c r="O520" s="685"/>
      <c r="P520" s="189" t="s">
        <v>513</v>
      </c>
      <c r="Q520" s="191">
        <v>40897</v>
      </c>
      <c r="R520" s="801"/>
      <c r="S520" s="310">
        <f>L520</f>
        <v>16</v>
      </c>
      <c r="T520" s="832">
        <v>17427</v>
      </c>
      <c r="U520" s="25">
        <f t="shared" si="144"/>
        <v>278832</v>
      </c>
      <c r="V520" s="460"/>
      <c r="W520" s="800"/>
      <c r="X520" s="834"/>
      <c r="Y520" s="832"/>
      <c r="Z520" s="25">
        <f t="shared" si="145"/>
        <v>0</v>
      </c>
    </row>
    <row r="521" spans="1:26" ht="16.5" customHeight="1">
      <c r="A521" s="784">
        <f t="shared" si="140"/>
        <v>165</v>
      </c>
      <c r="B521" s="192" t="s">
        <v>1384</v>
      </c>
      <c r="C521" s="25">
        <f t="shared" si="141"/>
        <v>154430</v>
      </c>
      <c r="D521" s="785">
        <f t="shared" si="146"/>
        <v>3933.4765767115373</v>
      </c>
      <c r="E521" s="785">
        <f t="shared" si="146"/>
        <v>1244.6765253493697</v>
      </c>
      <c r="F521" s="785">
        <f t="shared" si="146"/>
        <v>2683.6732510111924</v>
      </c>
      <c r="G521" s="785">
        <f t="shared" si="146"/>
        <v>214.50553213345603</v>
      </c>
      <c r="H521" s="785">
        <f t="shared" si="146"/>
        <v>3905.6648190553642</v>
      </c>
      <c r="I521" s="785">
        <f t="shared" si="146"/>
        <v>1003.0851541935069</v>
      </c>
      <c r="J521" s="369">
        <f t="shared" si="146"/>
        <v>0</v>
      </c>
      <c r="K521" s="25">
        <f t="shared" si="142"/>
        <v>167414.08185845445</v>
      </c>
      <c r="L521" s="260">
        <v>10</v>
      </c>
      <c r="M521" s="785">
        <f t="shared" si="143"/>
        <v>16741.408185845445</v>
      </c>
      <c r="N521" s="685">
        <v>15524</v>
      </c>
      <c r="O521" s="685"/>
      <c r="P521" s="40" t="s">
        <v>673</v>
      </c>
      <c r="Q521" s="191">
        <v>40897</v>
      </c>
      <c r="R521" s="801"/>
      <c r="S521" s="310">
        <f>L521</f>
        <v>10</v>
      </c>
      <c r="T521" s="832">
        <v>15443</v>
      </c>
      <c r="U521" s="25">
        <f t="shared" si="144"/>
        <v>154430</v>
      </c>
      <c r="V521" s="460"/>
      <c r="W521" s="800"/>
      <c r="X521" s="834"/>
      <c r="Y521" s="832"/>
      <c r="Z521" s="25">
        <f t="shared" si="145"/>
        <v>0</v>
      </c>
    </row>
    <row r="522" spans="1:26" ht="16.5" customHeight="1">
      <c r="A522" s="784">
        <f t="shared" si="140"/>
        <v>166</v>
      </c>
      <c r="B522" s="192" t="s">
        <v>1385</v>
      </c>
      <c r="C522" s="25">
        <f t="shared" si="141"/>
        <v>2737530</v>
      </c>
      <c r="D522" s="785">
        <f t="shared" si="146"/>
        <v>52708.586127934599</v>
      </c>
      <c r="E522" s="785">
        <f t="shared" si="146"/>
        <v>16678.665439681554</v>
      </c>
      <c r="F522" s="785">
        <f t="shared" si="146"/>
        <v>35961.221563549982</v>
      </c>
      <c r="G522" s="785">
        <f t="shared" si="146"/>
        <v>2874.3741305883109</v>
      </c>
      <c r="H522" s="785">
        <f t="shared" si="146"/>
        <v>52335.908575341877</v>
      </c>
      <c r="I522" s="785">
        <f t="shared" si="146"/>
        <v>13441.341066192994</v>
      </c>
      <c r="J522" s="369">
        <f t="shared" si="146"/>
        <v>0</v>
      </c>
      <c r="K522" s="25">
        <f t="shared" si="142"/>
        <v>2911529.0969032897</v>
      </c>
      <c r="L522" s="260">
        <v>134</v>
      </c>
      <c r="M522" s="785">
        <f t="shared" si="143"/>
        <v>21727.829081367832</v>
      </c>
      <c r="N522" s="685">
        <v>24159</v>
      </c>
      <c r="O522" s="685"/>
      <c r="P522" s="40" t="s">
        <v>665</v>
      </c>
      <c r="Q522" s="191">
        <v>40897</v>
      </c>
      <c r="R522" s="801"/>
      <c r="S522" s="310">
        <v>135</v>
      </c>
      <c r="T522" s="832">
        <v>20278</v>
      </c>
      <c r="U522" s="25">
        <f t="shared" si="144"/>
        <v>2737530</v>
      </c>
      <c r="V522" s="460"/>
      <c r="W522" s="800"/>
      <c r="X522" s="834"/>
      <c r="Y522" s="832"/>
      <c r="Z522" s="25">
        <f t="shared" si="145"/>
        <v>0</v>
      </c>
    </row>
    <row r="523" spans="1:26" ht="16.5" customHeight="1">
      <c r="A523" s="784">
        <f t="shared" si="140"/>
        <v>167</v>
      </c>
      <c r="B523" s="192" t="s">
        <v>1294</v>
      </c>
      <c r="C523" s="25">
        <f t="shared" si="141"/>
        <v>3000465</v>
      </c>
      <c r="D523" s="785">
        <f t="shared" si="146"/>
        <v>87716.527660667285</v>
      </c>
      <c r="E523" s="785">
        <f t="shared" si="146"/>
        <v>27756.286515290943</v>
      </c>
      <c r="F523" s="785">
        <f t="shared" si="146"/>
        <v>59845.913497549598</v>
      </c>
      <c r="G523" s="785">
        <f t="shared" si="146"/>
        <v>4783.4733665760696</v>
      </c>
      <c r="H523" s="785">
        <f t="shared" si="146"/>
        <v>87096.32546493462</v>
      </c>
      <c r="I523" s="785">
        <f t="shared" si="146"/>
        <v>22368.798938515207</v>
      </c>
      <c r="J523" s="369">
        <f t="shared" si="146"/>
        <v>0</v>
      </c>
      <c r="K523" s="25">
        <f t="shared" si="142"/>
        <v>3290031.3254435337</v>
      </c>
      <c r="L523" s="260">
        <v>223</v>
      </c>
      <c r="M523" s="785">
        <f t="shared" si="143"/>
        <v>14753.503701540511</v>
      </c>
      <c r="N523" s="685">
        <v>14535</v>
      </c>
      <c r="O523" s="685"/>
      <c r="P523" s="40" t="s">
        <v>678</v>
      </c>
      <c r="Q523" s="191">
        <v>40897</v>
      </c>
      <c r="R523" s="801"/>
      <c r="S523" s="310">
        <f t="shared" ref="S523:S531" si="147">L523</f>
        <v>223</v>
      </c>
      <c r="T523" s="832">
        <v>13455</v>
      </c>
      <c r="U523" s="25">
        <f t="shared" si="144"/>
        <v>3000465</v>
      </c>
      <c r="V523" s="460"/>
      <c r="W523" s="800"/>
      <c r="X523" s="834"/>
      <c r="Y523" s="832"/>
      <c r="Z523" s="25">
        <f t="shared" si="145"/>
        <v>0</v>
      </c>
    </row>
    <row r="524" spans="1:26" ht="16.5" customHeight="1">
      <c r="A524" s="784">
        <f t="shared" si="140"/>
        <v>168</v>
      </c>
      <c r="B524" s="192" t="s">
        <v>1386</v>
      </c>
      <c r="C524" s="25">
        <f t="shared" si="141"/>
        <v>173740</v>
      </c>
      <c r="D524" s="785">
        <f t="shared" si="146"/>
        <v>3933.4765767115373</v>
      </c>
      <c r="E524" s="785">
        <f t="shared" si="146"/>
        <v>1244.6765253493697</v>
      </c>
      <c r="F524" s="785">
        <f t="shared" si="146"/>
        <v>2683.6732510111924</v>
      </c>
      <c r="G524" s="785">
        <f t="shared" si="146"/>
        <v>214.50553213345603</v>
      </c>
      <c r="H524" s="785">
        <f t="shared" si="146"/>
        <v>3905.6648190553642</v>
      </c>
      <c r="I524" s="785">
        <f t="shared" si="146"/>
        <v>1003.0851541935069</v>
      </c>
      <c r="J524" s="369">
        <f t="shared" si="146"/>
        <v>0</v>
      </c>
      <c r="K524" s="25">
        <f t="shared" si="142"/>
        <v>186724.08185845445</v>
      </c>
      <c r="L524" s="260">
        <v>10</v>
      </c>
      <c r="M524" s="785">
        <f t="shared" si="143"/>
        <v>18672.408185845445</v>
      </c>
      <c r="N524" s="685">
        <v>19562</v>
      </c>
      <c r="O524" s="685"/>
      <c r="P524" s="40" t="s">
        <v>621</v>
      </c>
      <c r="Q524" s="191">
        <v>40897</v>
      </c>
      <c r="R524" s="801"/>
      <c r="S524" s="310">
        <f t="shared" si="147"/>
        <v>10</v>
      </c>
      <c r="T524" s="298">
        <v>17374</v>
      </c>
      <c r="U524" s="25">
        <f t="shared" si="144"/>
        <v>173740</v>
      </c>
      <c r="V524" s="460"/>
      <c r="W524" s="800"/>
      <c r="X524" s="834"/>
      <c r="Y524" s="832"/>
      <c r="Z524" s="25">
        <f t="shared" si="145"/>
        <v>0</v>
      </c>
    </row>
    <row r="525" spans="1:26" ht="16.5" customHeight="1">
      <c r="A525" s="784">
        <f t="shared" si="140"/>
        <v>169</v>
      </c>
      <c r="B525" s="192" t="s">
        <v>1291</v>
      </c>
      <c r="C525" s="25">
        <f t="shared" si="141"/>
        <v>308860</v>
      </c>
      <c r="D525" s="785">
        <f t="shared" si="146"/>
        <v>7866.9531534230746</v>
      </c>
      <c r="E525" s="785">
        <f t="shared" si="146"/>
        <v>2489.3530506987395</v>
      </c>
      <c r="F525" s="785">
        <f t="shared" si="146"/>
        <v>5367.3465020223848</v>
      </c>
      <c r="G525" s="785">
        <f t="shared" si="146"/>
        <v>429.01106426691206</v>
      </c>
      <c r="H525" s="785">
        <f t="shared" si="146"/>
        <v>7811.3296381107284</v>
      </c>
      <c r="I525" s="785">
        <f t="shared" si="146"/>
        <v>2006.1703083870138</v>
      </c>
      <c r="J525" s="369">
        <f t="shared" si="146"/>
        <v>0</v>
      </c>
      <c r="K525" s="25">
        <f t="shared" si="142"/>
        <v>334829.16371690889</v>
      </c>
      <c r="L525" s="260">
        <v>20</v>
      </c>
      <c r="M525" s="785">
        <f t="shared" si="143"/>
        <v>16741.458185845444</v>
      </c>
      <c r="N525" s="685">
        <v>16832</v>
      </c>
      <c r="O525" s="685"/>
      <c r="P525" s="40" t="s">
        <v>673</v>
      </c>
      <c r="Q525" s="191">
        <v>40897</v>
      </c>
      <c r="R525" s="801"/>
      <c r="S525" s="310">
        <f t="shared" si="147"/>
        <v>20</v>
      </c>
      <c r="T525" s="832">
        <v>15443</v>
      </c>
      <c r="U525" s="25">
        <f t="shared" si="144"/>
        <v>308860</v>
      </c>
      <c r="V525" s="460"/>
      <c r="W525" s="800"/>
      <c r="X525" s="834"/>
      <c r="Y525" s="832"/>
      <c r="Z525" s="25">
        <f t="shared" si="145"/>
        <v>0</v>
      </c>
    </row>
    <row r="526" spans="1:26" ht="16.5" customHeight="1">
      <c r="A526" s="784">
        <f t="shared" si="140"/>
        <v>170</v>
      </c>
      <c r="B526" s="192" t="s">
        <v>1322</v>
      </c>
      <c r="C526" s="25">
        <f t="shared" si="141"/>
        <v>26910</v>
      </c>
      <c r="D526" s="785">
        <f t="shared" si="146"/>
        <v>786.69531534230748</v>
      </c>
      <c r="E526" s="785">
        <f t="shared" si="146"/>
        <v>248.93530506987395</v>
      </c>
      <c r="F526" s="785">
        <f t="shared" si="146"/>
        <v>536.73465020223853</v>
      </c>
      <c r="G526" s="785">
        <f t="shared" si="146"/>
        <v>42.901106426691207</v>
      </c>
      <c r="H526" s="785">
        <f t="shared" si="146"/>
        <v>781.13296381107284</v>
      </c>
      <c r="I526" s="785">
        <f t="shared" si="146"/>
        <v>200.6170308387014</v>
      </c>
      <c r="J526" s="369">
        <f t="shared" si="146"/>
        <v>0</v>
      </c>
      <c r="K526" s="25">
        <f t="shared" si="142"/>
        <v>29506.016371690886</v>
      </c>
      <c r="L526" s="260">
        <v>2</v>
      </c>
      <c r="M526" s="785">
        <f t="shared" si="143"/>
        <v>14753.008185845443</v>
      </c>
      <c r="N526" s="685">
        <v>14836</v>
      </c>
      <c r="O526" s="685"/>
      <c r="P526" s="40" t="s">
        <v>678</v>
      </c>
      <c r="Q526" s="191">
        <v>40897</v>
      </c>
      <c r="R526" s="801"/>
      <c r="S526" s="310">
        <f t="shared" si="147"/>
        <v>2</v>
      </c>
      <c r="T526" s="832">
        <v>13455</v>
      </c>
      <c r="U526" s="25">
        <f t="shared" si="144"/>
        <v>26910</v>
      </c>
      <c r="V526" s="460"/>
      <c r="W526" s="800"/>
      <c r="X526" s="834"/>
      <c r="Y526" s="832"/>
      <c r="Z526" s="25">
        <f t="shared" si="145"/>
        <v>0</v>
      </c>
    </row>
    <row r="527" spans="1:26" ht="16.5" customHeight="1">
      <c r="A527" s="784">
        <f t="shared" si="140"/>
        <v>171</v>
      </c>
      <c r="B527" s="192" t="s">
        <v>1387</v>
      </c>
      <c r="C527" s="25">
        <f t="shared" si="141"/>
        <v>6584746</v>
      </c>
      <c r="D527" s="785">
        <f t="shared" si="146"/>
        <v>149078.76225736726</v>
      </c>
      <c r="E527" s="785">
        <f t="shared" si="146"/>
        <v>47173.240310741116</v>
      </c>
      <c r="F527" s="785">
        <f t="shared" si="146"/>
        <v>101711.21621332419</v>
      </c>
      <c r="G527" s="785">
        <f t="shared" si="146"/>
        <v>8129.7596678579839</v>
      </c>
      <c r="H527" s="785">
        <f t="shared" si="146"/>
        <v>148024.69664219831</v>
      </c>
      <c r="I527" s="785">
        <f t="shared" si="146"/>
        <v>38016.927343933916</v>
      </c>
      <c r="J527" s="369">
        <f t="shared" si="146"/>
        <v>0</v>
      </c>
      <c r="K527" s="25">
        <f t="shared" si="142"/>
        <v>7076879.6024354221</v>
      </c>
      <c r="L527" s="260">
        <v>379</v>
      </c>
      <c r="M527" s="785">
        <f t="shared" si="143"/>
        <v>18672.505547323013</v>
      </c>
      <c r="N527" s="685">
        <v>22739</v>
      </c>
      <c r="O527" s="685"/>
      <c r="P527" s="40" t="s">
        <v>621</v>
      </c>
      <c r="Q527" s="191">
        <v>40897</v>
      </c>
      <c r="R527" s="801"/>
      <c r="S527" s="310">
        <f t="shared" si="147"/>
        <v>379</v>
      </c>
      <c r="T527" s="832">
        <v>17374</v>
      </c>
      <c r="U527" s="25">
        <f t="shared" si="144"/>
        <v>6584746</v>
      </c>
      <c r="V527" s="460"/>
      <c r="W527" s="800"/>
      <c r="X527" s="834"/>
      <c r="Y527" s="832"/>
      <c r="Z527" s="25">
        <f t="shared" si="145"/>
        <v>0</v>
      </c>
    </row>
    <row r="528" spans="1:26" ht="16.5" customHeight="1">
      <c r="A528" s="784">
        <f t="shared" si="140"/>
        <v>172</v>
      </c>
      <c r="B528" s="192" t="s">
        <v>1388</v>
      </c>
      <c r="C528" s="25">
        <f t="shared" si="141"/>
        <v>1363742</v>
      </c>
      <c r="D528" s="785">
        <f t="shared" si="146"/>
        <v>32254.507929034608</v>
      </c>
      <c r="E528" s="785">
        <f t="shared" si="146"/>
        <v>10206.347507864832</v>
      </c>
      <c r="F528" s="785">
        <f t="shared" si="146"/>
        <v>22006.12065829178</v>
      </c>
      <c r="G528" s="785">
        <f t="shared" si="146"/>
        <v>1758.9453634943395</v>
      </c>
      <c r="H528" s="785">
        <f t="shared" si="146"/>
        <v>32026.451516253986</v>
      </c>
      <c r="I528" s="785">
        <f t="shared" si="146"/>
        <v>8225.2982643867581</v>
      </c>
      <c r="J528" s="369">
        <f t="shared" si="146"/>
        <v>0</v>
      </c>
      <c r="K528" s="25">
        <f t="shared" si="142"/>
        <v>1470218.6712393262</v>
      </c>
      <c r="L528" s="260">
        <v>82</v>
      </c>
      <c r="M528" s="785">
        <f t="shared" si="143"/>
        <v>17929.495990723492</v>
      </c>
      <c r="N528" s="685">
        <v>23012</v>
      </c>
      <c r="O528" s="685"/>
      <c r="P528" s="40" t="s">
        <v>679</v>
      </c>
      <c r="Q528" s="191">
        <v>40897</v>
      </c>
      <c r="R528" s="801"/>
      <c r="S528" s="310">
        <f t="shared" si="147"/>
        <v>82</v>
      </c>
      <c r="T528" s="832">
        <v>16631</v>
      </c>
      <c r="U528" s="25">
        <f t="shared" si="144"/>
        <v>1363742</v>
      </c>
      <c r="V528" s="460"/>
      <c r="W528" s="800"/>
      <c r="X528" s="834"/>
      <c r="Y528" s="832"/>
      <c r="Z528" s="25">
        <f t="shared" si="145"/>
        <v>0</v>
      </c>
    </row>
    <row r="529" spans="1:26" ht="16.5" customHeight="1">
      <c r="A529" s="784">
        <f t="shared" si="140"/>
        <v>173</v>
      </c>
      <c r="B529" s="192" t="s">
        <v>1389</v>
      </c>
      <c r="C529" s="25">
        <f t="shared" si="141"/>
        <v>968760</v>
      </c>
      <c r="D529" s="785">
        <f t="shared" si="146"/>
        <v>28321.031352323069</v>
      </c>
      <c r="E529" s="785">
        <f t="shared" si="146"/>
        <v>8961.6709825154612</v>
      </c>
      <c r="F529" s="785">
        <f t="shared" si="146"/>
        <v>19322.447407280586</v>
      </c>
      <c r="G529" s="785">
        <f t="shared" si="146"/>
        <v>1544.4398313608835</v>
      </c>
      <c r="H529" s="785">
        <f t="shared" si="146"/>
        <v>28120.786697198622</v>
      </c>
      <c r="I529" s="785">
        <f t="shared" si="146"/>
        <v>7222.21311019325</v>
      </c>
      <c r="J529" s="369">
        <f t="shared" si="146"/>
        <v>0</v>
      </c>
      <c r="K529" s="25">
        <f t="shared" si="142"/>
        <v>1062251.5893808717</v>
      </c>
      <c r="L529" s="260">
        <v>72</v>
      </c>
      <c r="M529" s="785">
        <f t="shared" si="143"/>
        <v>14753.494296956553</v>
      </c>
      <c r="N529" s="685">
        <v>15805</v>
      </c>
      <c r="O529" s="685"/>
      <c r="P529" s="40" t="s">
        <v>678</v>
      </c>
      <c r="Q529" s="191">
        <v>40897</v>
      </c>
      <c r="R529" s="801"/>
      <c r="S529" s="310">
        <f t="shared" si="147"/>
        <v>72</v>
      </c>
      <c r="T529" s="832">
        <v>13455</v>
      </c>
      <c r="U529" s="25">
        <f t="shared" si="144"/>
        <v>968760</v>
      </c>
      <c r="V529" s="460"/>
      <c r="W529" s="800"/>
      <c r="X529" s="834"/>
      <c r="Y529" s="832"/>
      <c r="Z529" s="25">
        <f t="shared" si="145"/>
        <v>0</v>
      </c>
    </row>
    <row r="530" spans="1:26" ht="16.5" customHeight="1">
      <c r="A530" s="784">
        <f t="shared" si="140"/>
        <v>174</v>
      </c>
      <c r="B530" s="192" t="s">
        <v>1390</v>
      </c>
      <c r="C530" s="25">
        <f t="shared" si="141"/>
        <v>699660</v>
      </c>
      <c r="D530" s="785">
        <f t="shared" si="146"/>
        <v>20454.078198899995</v>
      </c>
      <c r="E530" s="785">
        <f t="shared" si="146"/>
        <v>6472.3179318167222</v>
      </c>
      <c r="F530" s="785">
        <f t="shared" si="146"/>
        <v>13955.100905258201</v>
      </c>
      <c r="G530" s="785">
        <f t="shared" si="146"/>
        <v>1115.4287670939714</v>
      </c>
      <c r="H530" s="785">
        <f t="shared" si="146"/>
        <v>20309.457059087894</v>
      </c>
      <c r="I530" s="785">
        <f t="shared" si="146"/>
        <v>5216.0428018062366</v>
      </c>
      <c r="J530" s="369">
        <f t="shared" si="146"/>
        <v>0</v>
      </c>
      <c r="K530" s="25">
        <f t="shared" si="142"/>
        <v>767181.42566396296</v>
      </c>
      <c r="L530" s="260">
        <v>52</v>
      </c>
      <c r="M530" s="785">
        <f t="shared" si="143"/>
        <v>14753.488955076211</v>
      </c>
      <c r="N530" s="685">
        <v>15264</v>
      </c>
      <c r="O530" s="685"/>
      <c r="P530" s="40" t="s">
        <v>678</v>
      </c>
      <c r="Q530" s="191">
        <v>40897</v>
      </c>
      <c r="R530" s="801"/>
      <c r="S530" s="310">
        <f t="shared" si="147"/>
        <v>52</v>
      </c>
      <c r="T530" s="832">
        <v>13455</v>
      </c>
      <c r="U530" s="25">
        <f t="shared" si="144"/>
        <v>699660</v>
      </c>
      <c r="V530" s="460"/>
      <c r="W530" s="800"/>
      <c r="X530" s="834"/>
      <c r="Y530" s="832"/>
      <c r="Z530" s="25">
        <f t="shared" si="145"/>
        <v>0</v>
      </c>
    </row>
    <row r="531" spans="1:26" ht="16.5" customHeight="1">
      <c r="A531" s="784">
        <f t="shared" si="140"/>
        <v>175</v>
      </c>
      <c r="B531" s="192" t="s">
        <v>1391</v>
      </c>
      <c r="C531" s="25">
        <f t="shared" si="141"/>
        <v>686205</v>
      </c>
      <c r="D531" s="785">
        <f t="shared" si="146"/>
        <v>20060.730541228841</v>
      </c>
      <c r="E531" s="785">
        <f t="shared" si="146"/>
        <v>6347.8502792817853</v>
      </c>
      <c r="F531" s="785">
        <f t="shared" si="146"/>
        <v>13686.733580157083</v>
      </c>
      <c r="G531" s="785">
        <f t="shared" si="146"/>
        <v>1093.9782138806258</v>
      </c>
      <c r="H531" s="785">
        <f t="shared" si="146"/>
        <v>19918.890577182356</v>
      </c>
      <c r="I531" s="785">
        <f t="shared" si="146"/>
        <v>5115.7342863868853</v>
      </c>
      <c r="J531" s="369">
        <f t="shared" si="146"/>
        <v>0</v>
      </c>
      <c r="K531" s="25">
        <f t="shared" si="142"/>
        <v>752427.91747811751</v>
      </c>
      <c r="L531" s="260">
        <v>51</v>
      </c>
      <c r="M531" s="785">
        <f t="shared" si="143"/>
        <v>14753.488578002303</v>
      </c>
      <c r="N531" s="685">
        <v>16123</v>
      </c>
      <c r="O531" s="685"/>
      <c r="P531" s="40" t="s">
        <v>678</v>
      </c>
      <c r="Q531" s="191">
        <v>40897</v>
      </c>
      <c r="R531" s="801"/>
      <c r="S531" s="310">
        <f t="shared" si="147"/>
        <v>51</v>
      </c>
      <c r="T531" s="832">
        <v>13455</v>
      </c>
      <c r="U531" s="25">
        <f t="shared" si="144"/>
        <v>686205</v>
      </c>
      <c r="V531" s="460"/>
      <c r="W531" s="800"/>
      <c r="X531" s="834"/>
      <c r="Y531" s="832"/>
      <c r="Z531" s="25">
        <f t="shared" si="145"/>
        <v>0</v>
      </c>
    </row>
    <row r="532" spans="1:26" ht="16.5" customHeight="1">
      <c r="A532" s="784">
        <f t="shared" si="140"/>
        <v>176</v>
      </c>
      <c r="B532" s="192" t="s">
        <v>1392</v>
      </c>
      <c r="C532" s="25">
        <f t="shared" si="141"/>
        <v>838389</v>
      </c>
      <c r="D532" s="785">
        <f t="shared" si="146"/>
        <v>20060.730541228841</v>
      </c>
      <c r="E532" s="785">
        <f t="shared" si="146"/>
        <v>6347.8502792817853</v>
      </c>
      <c r="F532" s="785">
        <f t="shared" si="146"/>
        <v>13686.733580157083</v>
      </c>
      <c r="G532" s="785">
        <f t="shared" si="146"/>
        <v>1093.9782138806258</v>
      </c>
      <c r="H532" s="785">
        <f t="shared" si="146"/>
        <v>19918.890577182356</v>
      </c>
      <c r="I532" s="785">
        <f t="shared" si="146"/>
        <v>5115.7342863868853</v>
      </c>
      <c r="J532" s="369">
        <f t="shared" si="146"/>
        <v>0</v>
      </c>
      <c r="K532" s="25">
        <f t="shared" si="142"/>
        <v>904611.91747811751</v>
      </c>
      <c r="L532" s="260">
        <v>51</v>
      </c>
      <c r="M532" s="785">
        <f t="shared" si="143"/>
        <v>17737.488578002303</v>
      </c>
      <c r="N532" s="685">
        <v>19891</v>
      </c>
      <c r="O532" s="685"/>
      <c r="P532" s="40" t="s">
        <v>668</v>
      </c>
      <c r="Q532" s="191">
        <v>40897</v>
      </c>
      <c r="R532" s="801"/>
      <c r="S532" s="310">
        <f>L532/2</f>
        <v>25.5</v>
      </c>
      <c r="T532" s="832">
        <v>32878</v>
      </c>
      <c r="U532" s="25">
        <f t="shared" si="144"/>
        <v>838389</v>
      </c>
      <c r="V532" s="460"/>
      <c r="W532" s="800"/>
      <c r="X532" s="834"/>
      <c r="Y532" s="832"/>
      <c r="Z532" s="25">
        <f t="shared" si="145"/>
        <v>0</v>
      </c>
    </row>
    <row r="533" spans="1:26" ht="16.5" customHeight="1">
      <c r="A533" s="784">
        <f t="shared" si="140"/>
        <v>177</v>
      </c>
      <c r="B533" s="192" t="s">
        <v>1393</v>
      </c>
      <c r="C533" s="25">
        <f t="shared" si="141"/>
        <v>937023</v>
      </c>
      <c r="D533" s="785">
        <f t="shared" si="146"/>
        <v>22420.816487255765</v>
      </c>
      <c r="E533" s="785">
        <f t="shared" si="146"/>
        <v>7094.6561944914074</v>
      </c>
      <c r="F533" s="785">
        <f t="shared" si="146"/>
        <v>15296.937530763798</v>
      </c>
      <c r="G533" s="785">
        <f t="shared" si="146"/>
        <v>1222.6815331606995</v>
      </c>
      <c r="H533" s="785">
        <f t="shared" si="146"/>
        <v>22262.289468615578</v>
      </c>
      <c r="I533" s="785">
        <f t="shared" si="146"/>
        <v>5717.5853789029898</v>
      </c>
      <c r="J533" s="369">
        <f t="shared" si="146"/>
        <v>0</v>
      </c>
      <c r="K533" s="25">
        <f t="shared" si="142"/>
        <v>1011036.9665931902</v>
      </c>
      <c r="L533" s="260">
        <v>57</v>
      </c>
      <c r="M533" s="785">
        <f t="shared" si="143"/>
        <v>17737.490641985794</v>
      </c>
      <c r="N533" s="685">
        <v>20859</v>
      </c>
      <c r="O533" s="685"/>
      <c r="P533" s="40" t="s">
        <v>668</v>
      </c>
      <c r="Q533" s="191">
        <v>40897</v>
      </c>
      <c r="R533" s="801"/>
      <c r="S533" s="310">
        <f>L533/2</f>
        <v>28.5</v>
      </c>
      <c r="T533" s="832">
        <v>32878</v>
      </c>
      <c r="U533" s="25">
        <f t="shared" si="144"/>
        <v>937023</v>
      </c>
      <c r="V533" s="460"/>
      <c r="W533" s="800"/>
      <c r="X533" s="834"/>
      <c r="Y533" s="832"/>
      <c r="Z533" s="25">
        <f t="shared" si="145"/>
        <v>0</v>
      </c>
    </row>
    <row r="534" spans="1:26" ht="16.5" customHeight="1">
      <c r="A534" s="784">
        <f t="shared" si="140"/>
        <v>178</v>
      </c>
      <c r="B534" s="192" t="s">
        <v>1349</v>
      </c>
      <c r="C534" s="25">
        <f t="shared" si="141"/>
        <v>34748</v>
      </c>
      <c r="D534" s="785">
        <f t="shared" si="146"/>
        <v>59002.148650673058</v>
      </c>
      <c r="E534" s="785">
        <f t="shared" si="146"/>
        <v>18670.147880240547</v>
      </c>
      <c r="F534" s="785">
        <f t="shared" si="146"/>
        <v>40255.098765167888</v>
      </c>
      <c r="G534" s="785">
        <f t="shared" si="146"/>
        <v>3217.5829820018407</v>
      </c>
      <c r="H534" s="785">
        <f t="shared" si="146"/>
        <v>58584.972285830459</v>
      </c>
      <c r="I534" s="785">
        <f t="shared" si="146"/>
        <v>15046.277312902605</v>
      </c>
      <c r="J534" s="369">
        <f t="shared" si="146"/>
        <v>0</v>
      </c>
      <c r="K534" s="25">
        <f t="shared" si="142"/>
        <v>229523.22787681641</v>
      </c>
      <c r="L534" s="260">
        <v>150</v>
      </c>
      <c r="M534" s="785">
        <f t="shared" si="143"/>
        <v>1530.1548525121093</v>
      </c>
      <c r="N534" s="685">
        <v>963</v>
      </c>
      <c r="O534" s="685"/>
      <c r="P534" s="40" t="s">
        <v>621</v>
      </c>
      <c r="Q534" s="191">
        <v>40897</v>
      </c>
      <c r="R534" s="801"/>
      <c r="S534" s="310">
        <v>2</v>
      </c>
      <c r="T534" s="832">
        <v>17374</v>
      </c>
      <c r="U534" s="25">
        <f t="shared" si="144"/>
        <v>34748</v>
      </c>
      <c r="V534" s="460"/>
      <c r="W534" s="800"/>
      <c r="X534" s="834"/>
      <c r="Y534" s="832"/>
      <c r="Z534" s="25">
        <f t="shared" si="145"/>
        <v>0</v>
      </c>
    </row>
    <row r="535" spans="1:26" ht="16.5" customHeight="1">
      <c r="A535" s="784">
        <f t="shared" si="140"/>
        <v>179</v>
      </c>
      <c r="B535" s="192" t="s">
        <v>1340</v>
      </c>
      <c r="C535" s="25">
        <f t="shared" si="141"/>
        <v>108101</v>
      </c>
      <c r="D535" s="785">
        <f t="shared" si="146"/>
        <v>123904.51216641343</v>
      </c>
      <c r="E535" s="785">
        <f t="shared" si="146"/>
        <v>39207.310548505149</v>
      </c>
      <c r="F535" s="785">
        <f t="shared" si="146"/>
        <v>84535.707406852569</v>
      </c>
      <c r="G535" s="785">
        <f t="shared" si="146"/>
        <v>6756.9242622038655</v>
      </c>
      <c r="H535" s="785">
        <f t="shared" si="146"/>
        <v>123028.44180024398</v>
      </c>
      <c r="I535" s="785">
        <f t="shared" si="146"/>
        <v>31597.182357095469</v>
      </c>
      <c r="J535" s="369">
        <f t="shared" si="146"/>
        <v>0</v>
      </c>
      <c r="K535" s="25">
        <f t="shared" si="142"/>
        <v>517130.07854131446</v>
      </c>
      <c r="L535" s="260">
        <v>315</v>
      </c>
      <c r="M535" s="785">
        <f t="shared" si="143"/>
        <v>1641.6827890200459</v>
      </c>
      <c r="N535" s="685">
        <v>1025</v>
      </c>
      <c r="O535" s="685"/>
      <c r="P535" s="40" t="s">
        <v>673</v>
      </c>
      <c r="Q535" s="191">
        <v>40897</v>
      </c>
      <c r="R535" s="801"/>
      <c r="S535" s="310">
        <v>7</v>
      </c>
      <c r="T535" s="832">
        <v>15443</v>
      </c>
      <c r="U535" s="25">
        <f t="shared" si="144"/>
        <v>108101</v>
      </c>
      <c r="V535" s="460"/>
      <c r="W535" s="800"/>
      <c r="X535" s="834"/>
      <c r="Y535" s="832"/>
      <c r="Z535" s="25">
        <f t="shared" si="145"/>
        <v>0</v>
      </c>
    </row>
    <row r="536" spans="1:26" ht="16.5" customHeight="1">
      <c r="A536" s="784">
        <f t="shared" si="140"/>
        <v>180</v>
      </c>
      <c r="B536" s="192" t="s">
        <v>1342</v>
      </c>
      <c r="C536" s="25">
        <f t="shared" si="141"/>
        <v>69496</v>
      </c>
      <c r="D536" s="785">
        <f t="shared" si="146"/>
        <v>47201.718920538449</v>
      </c>
      <c r="E536" s="785">
        <f t="shared" si="146"/>
        <v>14936.118304192438</v>
      </c>
      <c r="F536" s="785">
        <f t="shared" si="146"/>
        <v>32204.079012134313</v>
      </c>
      <c r="G536" s="785">
        <f t="shared" si="146"/>
        <v>2574.0663856014726</v>
      </c>
      <c r="H536" s="785">
        <f t="shared" si="146"/>
        <v>46867.97782866437</v>
      </c>
      <c r="I536" s="785">
        <f t="shared" si="146"/>
        <v>12037.021850322084</v>
      </c>
      <c r="J536" s="369">
        <f t="shared" si="146"/>
        <v>0</v>
      </c>
      <c r="K536" s="25">
        <f t="shared" si="142"/>
        <v>225315.98230145313</v>
      </c>
      <c r="L536" s="260">
        <v>120</v>
      </c>
      <c r="M536" s="785">
        <f t="shared" si="143"/>
        <v>1877.6331858454428</v>
      </c>
      <c r="N536" s="685">
        <v>1152</v>
      </c>
      <c r="O536" s="685"/>
      <c r="P536" s="40" t="s">
        <v>621</v>
      </c>
      <c r="Q536" s="191">
        <v>40897</v>
      </c>
      <c r="R536" s="801"/>
      <c r="S536" s="310">
        <v>4</v>
      </c>
      <c r="T536" s="832">
        <v>17374</v>
      </c>
      <c r="U536" s="25">
        <f t="shared" si="144"/>
        <v>69496</v>
      </c>
      <c r="V536" s="460"/>
      <c r="W536" s="800"/>
      <c r="X536" s="834"/>
      <c r="Y536" s="832"/>
      <c r="Z536" s="25">
        <f t="shared" si="145"/>
        <v>0</v>
      </c>
    </row>
    <row r="537" spans="1:26" ht="16.5" customHeight="1">
      <c r="A537" s="784">
        <f t="shared" si="140"/>
        <v>181</v>
      </c>
      <c r="B537" s="192" t="s">
        <v>1339</v>
      </c>
      <c r="C537" s="25">
        <f t="shared" si="141"/>
        <v>69496</v>
      </c>
      <c r="D537" s="785">
        <f t="shared" si="146"/>
        <v>47201.718920538449</v>
      </c>
      <c r="E537" s="785">
        <f t="shared" si="146"/>
        <v>14936.118304192438</v>
      </c>
      <c r="F537" s="785">
        <f t="shared" si="146"/>
        <v>32204.079012134313</v>
      </c>
      <c r="G537" s="785">
        <f t="shared" si="146"/>
        <v>2574.0663856014726</v>
      </c>
      <c r="H537" s="785">
        <f t="shared" si="146"/>
        <v>46867.97782866437</v>
      </c>
      <c r="I537" s="785">
        <f t="shared" si="146"/>
        <v>12037.021850322084</v>
      </c>
      <c r="J537" s="369">
        <f t="shared" si="146"/>
        <v>0</v>
      </c>
      <c r="K537" s="25">
        <f t="shared" si="142"/>
        <v>225315.98230145313</v>
      </c>
      <c r="L537" s="260">
        <v>120</v>
      </c>
      <c r="M537" s="785">
        <f t="shared" si="143"/>
        <v>1877.6331858454428</v>
      </c>
      <c r="N537" s="685">
        <v>1087</v>
      </c>
      <c r="O537" s="685"/>
      <c r="P537" s="40" t="s">
        <v>621</v>
      </c>
      <c r="Q537" s="191">
        <v>40897</v>
      </c>
      <c r="R537" s="801"/>
      <c r="S537" s="310">
        <v>4</v>
      </c>
      <c r="T537" s="832">
        <v>17374</v>
      </c>
      <c r="U537" s="25">
        <f t="shared" si="144"/>
        <v>69496</v>
      </c>
      <c r="V537" s="460"/>
      <c r="W537" s="800"/>
      <c r="X537" s="834"/>
      <c r="Y537" s="832"/>
      <c r="Z537" s="25">
        <f t="shared" si="145"/>
        <v>0</v>
      </c>
    </row>
    <row r="538" spans="1:26" ht="16.5" customHeight="1">
      <c r="A538" s="784">
        <f t="shared" si="140"/>
        <v>182</v>
      </c>
      <c r="B538" s="192" t="s">
        <v>1394</v>
      </c>
      <c r="C538" s="25">
        <f t="shared" si="141"/>
        <v>232740</v>
      </c>
      <c r="D538" s="785">
        <f t="shared" si="146"/>
        <v>106990.56288655382</v>
      </c>
      <c r="E538" s="785">
        <f t="shared" si="146"/>
        <v>33855.201489502855</v>
      </c>
      <c r="F538" s="785">
        <f t="shared" si="146"/>
        <v>72995.912427504445</v>
      </c>
      <c r="G538" s="785">
        <f t="shared" si="146"/>
        <v>5834.5504740300039</v>
      </c>
      <c r="H538" s="785">
        <f t="shared" si="146"/>
        <v>106234.08307830591</v>
      </c>
      <c r="I538" s="785">
        <f t="shared" si="146"/>
        <v>27283.916194063389</v>
      </c>
      <c r="J538" s="369">
        <f t="shared" si="146"/>
        <v>0</v>
      </c>
      <c r="K538" s="25">
        <f t="shared" si="142"/>
        <v>585933.22654996044</v>
      </c>
      <c r="L538" s="260">
        <v>272</v>
      </c>
      <c r="M538" s="785">
        <f t="shared" si="143"/>
        <v>2154.1662740807369</v>
      </c>
      <c r="N538" s="685">
        <v>1254</v>
      </c>
      <c r="O538" s="685"/>
      <c r="P538" s="189" t="s">
        <v>530</v>
      </c>
      <c r="Q538" s="191">
        <v>40897</v>
      </c>
      <c r="R538" s="801"/>
      <c r="S538" s="310">
        <v>27</v>
      </c>
      <c r="T538" s="832">
        <v>8620</v>
      </c>
      <c r="U538" s="25">
        <f t="shared" si="144"/>
        <v>232740</v>
      </c>
      <c r="V538" s="460"/>
      <c r="W538" s="800"/>
      <c r="X538" s="834"/>
      <c r="Y538" s="832"/>
      <c r="Z538" s="25">
        <f t="shared" si="145"/>
        <v>0</v>
      </c>
    </row>
    <row r="539" spans="1:26" ht="16.5" customHeight="1">
      <c r="A539" s="784">
        <f t="shared" si="140"/>
        <v>183</v>
      </c>
      <c r="B539" s="192" t="s">
        <v>1348</v>
      </c>
      <c r="C539" s="25">
        <f t="shared" si="141"/>
        <v>17374</v>
      </c>
      <c r="D539" s="785">
        <f t="shared" si="146"/>
        <v>11800.429730134612</v>
      </c>
      <c r="E539" s="785">
        <f t="shared" si="146"/>
        <v>3734.0295760481094</v>
      </c>
      <c r="F539" s="785">
        <f t="shared" si="146"/>
        <v>8051.0197530335781</v>
      </c>
      <c r="G539" s="785">
        <f t="shared" si="146"/>
        <v>643.51659640036814</v>
      </c>
      <c r="H539" s="785">
        <f t="shared" si="146"/>
        <v>11716.994457166093</v>
      </c>
      <c r="I539" s="785">
        <f t="shared" si="146"/>
        <v>3009.255462580521</v>
      </c>
      <c r="J539" s="369">
        <f t="shared" si="146"/>
        <v>0</v>
      </c>
      <c r="K539" s="25">
        <f t="shared" si="142"/>
        <v>56328.245575363282</v>
      </c>
      <c r="L539" s="260">
        <v>30</v>
      </c>
      <c r="M539" s="785">
        <f t="shared" si="143"/>
        <v>1877.6081858454427</v>
      </c>
      <c r="N539" s="685">
        <v>1384</v>
      </c>
      <c r="O539" s="685"/>
      <c r="P539" s="40" t="s">
        <v>621</v>
      </c>
      <c r="Q539" s="191">
        <v>40897</v>
      </c>
      <c r="R539" s="801"/>
      <c r="S539" s="310">
        <v>1</v>
      </c>
      <c r="T539" s="832">
        <v>17374</v>
      </c>
      <c r="U539" s="25">
        <f t="shared" si="144"/>
        <v>17374</v>
      </c>
      <c r="V539" s="460"/>
      <c r="W539" s="800"/>
      <c r="X539" s="834"/>
      <c r="Y539" s="832"/>
      <c r="Z539" s="25">
        <f t="shared" si="145"/>
        <v>0</v>
      </c>
    </row>
    <row r="540" spans="1:26" ht="16.5" customHeight="1">
      <c r="A540" s="784">
        <f t="shared" si="140"/>
        <v>184</v>
      </c>
      <c r="B540" s="192" t="s">
        <v>1395</v>
      </c>
      <c r="C540" s="25">
        <f t="shared" si="141"/>
        <v>34748</v>
      </c>
      <c r="D540" s="785">
        <f t="shared" si="146"/>
        <v>23600.859460269225</v>
      </c>
      <c r="E540" s="785">
        <f t="shared" si="146"/>
        <v>7468.0591520962189</v>
      </c>
      <c r="F540" s="785">
        <f t="shared" si="146"/>
        <v>16102.039506067156</v>
      </c>
      <c r="G540" s="785">
        <f t="shared" si="146"/>
        <v>1287.0331928007363</v>
      </c>
      <c r="H540" s="785">
        <f t="shared" si="146"/>
        <v>23433.988914332185</v>
      </c>
      <c r="I540" s="785">
        <f t="shared" si="146"/>
        <v>6018.510925161042</v>
      </c>
      <c r="J540" s="369">
        <f t="shared" si="146"/>
        <v>0</v>
      </c>
      <c r="K540" s="25">
        <f t="shared" si="142"/>
        <v>112657.49115072656</v>
      </c>
      <c r="L540" s="260">
        <v>60</v>
      </c>
      <c r="M540" s="785">
        <f t="shared" si="143"/>
        <v>1877.6248525121093</v>
      </c>
      <c r="N540" s="685">
        <v>1220</v>
      </c>
      <c r="O540" s="685"/>
      <c r="P540" s="40" t="s">
        <v>621</v>
      </c>
      <c r="Q540" s="191">
        <v>40897</v>
      </c>
      <c r="R540" s="801"/>
      <c r="S540" s="310">
        <v>2</v>
      </c>
      <c r="T540" s="832">
        <v>17374</v>
      </c>
      <c r="U540" s="25">
        <f t="shared" si="144"/>
        <v>34748</v>
      </c>
      <c r="V540" s="460"/>
      <c r="W540" s="800"/>
      <c r="X540" s="834"/>
      <c r="Y540" s="832"/>
      <c r="Z540" s="25">
        <f t="shared" si="145"/>
        <v>0</v>
      </c>
    </row>
    <row r="541" spans="1:26" ht="16.5" customHeight="1">
      <c r="A541" s="784">
        <f t="shared" si="140"/>
        <v>185</v>
      </c>
      <c r="B541" s="192" t="s">
        <v>1344</v>
      </c>
      <c r="C541" s="25">
        <f t="shared" si="141"/>
        <v>82510</v>
      </c>
      <c r="D541" s="785">
        <f t="shared" si="146"/>
        <v>59002.148650673058</v>
      </c>
      <c r="E541" s="785">
        <f t="shared" si="146"/>
        <v>18670.147880240547</v>
      </c>
      <c r="F541" s="785">
        <f t="shared" si="146"/>
        <v>40255.098765167888</v>
      </c>
      <c r="G541" s="785">
        <f t="shared" si="146"/>
        <v>3217.5829820018407</v>
      </c>
      <c r="H541" s="785">
        <f t="shared" si="146"/>
        <v>58584.972285830459</v>
      </c>
      <c r="I541" s="785">
        <f t="shared" si="146"/>
        <v>15046.277312902605</v>
      </c>
      <c r="J541" s="369">
        <f t="shared" si="146"/>
        <v>0</v>
      </c>
      <c r="K541" s="25">
        <f t="shared" si="142"/>
        <v>277285.22787681641</v>
      </c>
      <c r="L541" s="260">
        <v>150</v>
      </c>
      <c r="M541" s="785">
        <f t="shared" si="143"/>
        <v>1848.5681858454427</v>
      </c>
      <c r="N541" s="685">
        <v>1463</v>
      </c>
      <c r="O541" s="685"/>
      <c r="P541" s="40" t="s">
        <v>672</v>
      </c>
      <c r="Q541" s="191">
        <v>40897</v>
      </c>
      <c r="R541" s="801"/>
      <c r="S541" s="310">
        <v>5</v>
      </c>
      <c r="T541" s="832">
        <v>16502</v>
      </c>
      <c r="U541" s="25">
        <f t="shared" si="144"/>
        <v>82510</v>
      </c>
      <c r="V541" s="460"/>
      <c r="W541" s="800"/>
      <c r="X541" s="834"/>
      <c r="Y541" s="832"/>
      <c r="Z541" s="25">
        <f t="shared" si="145"/>
        <v>0</v>
      </c>
    </row>
    <row r="542" spans="1:26" ht="16.5" customHeight="1">
      <c r="A542" s="784">
        <f t="shared" si="140"/>
        <v>186</v>
      </c>
      <c r="B542" s="192" t="s">
        <v>1345</v>
      </c>
      <c r="C542" s="25">
        <f t="shared" si="141"/>
        <v>65756</v>
      </c>
      <c r="D542" s="785">
        <f t="shared" si="146"/>
        <v>53495.281443276908</v>
      </c>
      <c r="E542" s="785">
        <f t="shared" si="146"/>
        <v>16927.600744751428</v>
      </c>
      <c r="F542" s="785">
        <f t="shared" si="146"/>
        <v>36497.956213752223</v>
      </c>
      <c r="G542" s="785">
        <f t="shared" si="146"/>
        <v>2917.2752370150019</v>
      </c>
      <c r="H542" s="785">
        <f t="shared" si="146"/>
        <v>53117.041539152953</v>
      </c>
      <c r="I542" s="785">
        <f t="shared" si="146"/>
        <v>13641.958097031695</v>
      </c>
      <c r="J542" s="369">
        <f t="shared" si="146"/>
        <v>0</v>
      </c>
      <c r="K542" s="25">
        <f t="shared" si="142"/>
        <v>242352.11327498022</v>
      </c>
      <c r="L542" s="260">
        <v>136</v>
      </c>
      <c r="M542" s="785">
        <f t="shared" si="143"/>
        <v>1782.0008329042664</v>
      </c>
      <c r="N542" s="685">
        <v>1288</v>
      </c>
      <c r="O542" s="685"/>
      <c r="P542" s="40" t="s">
        <v>668</v>
      </c>
      <c r="Q542" s="191">
        <v>40897</v>
      </c>
      <c r="R542" s="801"/>
      <c r="S542" s="310">
        <v>2</v>
      </c>
      <c r="T542" s="832">
        <v>32878</v>
      </c>
      <c r="U542" s="25">
        <f t="shared" si="144"/>
        <v>65756</v>
      </c>
      <c r="V542" s="460"/>
      <c r="W542" s="800"/>
      <c r="X542" s="834"/>
      <c r="Y542" s="832"/>
      <c r="Z542" s="25">
        <f t="shared" si="145"/>
        <v>0</v>
      </c>
    </row>
    <row r="543" spans="1:26" ht="16.5" customHeight="1">
      <c r="A543" s="784">
        <f t="shared" si="140"/>
        <v>187</v>
      </c>
      <c r="B543" s="192" t="s">
        <v>1347</v>
      </c>
      <c r="C543" s="25">
        <f t="shared" si="141"/>
        <v>8620</v>
      </c>
      <c r="D543" s="785">
        <f t="shared" si="146"/>
        <v>5900.2148650673062</v>
      </c>
      <c r="E543" s="785">
        <f t="shared" si="146"/>
        <v>1867.0147880240547</v>
      </c>
      <c r="F543" s="785">
        <f t="shared" si="146"/>
        <v>4025.5098765167891</v>
      </c>
      <c r="G543" s="785">
        <f t="shared" si="146"/>
        <v>321.75829820018407</v>
      </c>
      <c r="H543" s="785">
        <f t="shared" si="146"/>
        <v>5858.4972285830463</v>
      </c>
      <c r="I543" s="785">
        <f t="shared" si="146"/>
        <v>1504.6277312902605</v>
      </c>
      <c r="J543" s="369">
        <f t="shared" si="146"/>
        <v>0</v>
      </c>
      <c r="K543" s="25">
        <f t="shared" si="142"/>
        <v>28096.622787681641</v>
      </c>
      <c r="L543" s="260">
        <v>15</v>
      </c>
      <c r="M543" s="785">
        <f t="shared" si="143"/>
        <v>1873.1081858454427</v>
      </c>
      <c r="N543" s="685">
        <v>1581</v>
      </c>
      <c r="O543" s="685"/>
      <c r="P543" s="189" t="s">
        <v>530</v>
      </c>
      <c r="Q543" s="191">
        <v>40897</v>
      </c>
      <c r="R543" s="801"/>
      <c r="S543" s="310">
        <v>1</v>
      </c>
      <c r="T543" s="832">
        <v>8620</v>
      </c>
      <c r="U543" s="25">
        <f t="shared" si="144"/>
        <v>8620</v>
      </c>
      <c r="V543" s="460"/>
      <c r="W543" s="800"/>
      <c r="X543" s="834"/>
      <c r="Y543" s="832"/>
      <c r="Z543" s="25">
        <f t="shared" si="145"/>
        <v>0</v>
      </c>
    </row>
    <row r="544" spans="1:26" ht="16.5" customHeight="1">
      <c r="A544" s="784">
        <f t="shared" si="140"/>
        <v>188</v>
      </c>
      <c r="B544" s="192" t="s">
        <v>1343</v>
      </c>
      <c r="C544" s="25">
        <f t="shared" si="141"/>
        <v>54566</v>
      </c>
      <c r="D544" s="785">
        <f t="shared" si="146"/>
        <v>29501.074325336529</v>
      </c>
      <c r="E544" s="785">
        <f t="shared" si="146"/>
        <v>9335.0739401202736</v>
      </c>
      <c r="F544" s="785">
        <f t="shared" si="146"/>
        <v>20127.549382583944</v>
      </c>
      <c r="G544" s="785">
        <f t="shared" si="146"/>
        <v>1608.7914910009204</v>
      </c>
      <c r="H544" s="785">
        <f t="shared" si="146"/>
        <v>29292.48614291523</v>
      </c>
      <c r="I544" s="785">
        <f t="shared" si="146"/>
        <v>7523.1386564513023</v>
      </c>
      <c r="J544" s="369">
        <f t="shared" si="146"/>
        <v>0</v>
      </c>
      <c r="K544" s="25">
        <f t="shared" si="142"/>
        <v>151953.11393840821</v>
      </c>
      <c r="L544" s="260">
        <v>75</v>
      </c>
      <c r="M544" s="785">
        <f t="shared" si="143"/>
        <v>2026.0415191787761</v>
      </c>
      <c r="N544" s="685">
        <v>1660</v>
      </c>
      <c r="O544" s="685"/>
      <c r="P544" s="40" t="s">
        <v>662</v>
      </c>
      <c r="Q544" s="191">
        <v>40897</v>
      </c>
      <c r="R544" s="801"/>
      <c r="S544" s="310">
        <v>2</v>
      </c>
      <c r="T544" s="832">
        <v>27283</v>
      </c>
      <c r="U544" s="25">
        <f t="shared" si="144"/>
        <v>54566</v>
      </c>
      <c r="V544" s="460"/>
      <c r="W544" s="800"/>
      <c r="X544" s="834"/>
      <c r="Y544" s="832"/>
      <c r="Z544" s="25">
        <f t="shared" si="145"/>
        <v>0</v>
      </c>
    </row>
    <row r="545" spans="1:26" ht="16.5" customHeight="1">
      <c r="A545" s="784">
        <f t="shared" si="140"/>
        <v>189</v>
      </c>
      <c r="B545" s="192" t="s">
        <v>1388</v>
      </c>
      <c r="C545" s="25">
        <f t="shared" si="141"/>
        <v>3775237</v>
      </c>
      <c r="D545" s="785">
        <f t="shared" si="146"/>
        <v>89289.918291351903</v>
      </c>
      <c r="E545" s="785">
        <f t="shared" si="146"/>
        <v>28254.157125430695</v>
      </c>
      <c r="F545" s="785">
        <f t="shared" si="146"/>
        <v>60919.382797954073</v>
      </c>
      <c r="G545" s="785">
        <f t="shared" si="146"/>
        <v>4869.2755794294517</v>
      </c>
      <c r="H545" s="785">
        <f t="shared" si="146"/>
        <v>88658.591392556773</v>
      </c>
      <c r="I545" s="785">
        <f t="shared" si="146"/>
        <v>22770.033000192609</v>
      </c>
      <c r="J545" s="369">
        <f t="shared" si="146"/>
        <v>0</v>
      </c>
      <c r="K545" s="25">
        <f t="shared" si="142"/>
        <v>4069997.3581869151</v>
      </c>
      <c r="L545" s="260">
        <v>227</v>
      </c>
      <c r="M545" s="785">
        <f t="shared" si="143"/>
        <v>17929.503780559098</v>
      </c>
      <c r="N545" s="685">
        <v>23012</v>
      </c>
      <c r="O545" s="685"/>
      <c r="P545" s="40" t="s">
        <v>679</v>
      </c>
      <c r="Q545" s="191">
        <v>40898</v>
      </c>
      <c r="R545" s="801"/>
      <c r="S545" s="310">
        <f>L545</f>
        <v>227</v>
      </c>
      <c r="T545" s="832">
        <v>16631</v>
      </c>
      <c r="U545" s="25">
        <f t="shared" si="144"/>
        <v>3775237</v>
      </c>
      <c r="V545" s="460"/>
      <c r="W545" s="800"/>
      <c r="X545" s="834"/>
      <c r="Y545" s="832"/>
      <c r="Z545" s="25">
        <f t="shared" si="145"/>
        <v>0</v>
      </c>
    </row>
    <row r="546" spans="1:26" ht="16.5" customHeight="1">
      <c r="A546" s="784">
        <f t="shared" si="140"/>
        <v>190</v>
      </c>
      <c r="B546" s="192" t="s">
        <v>1383</v>
      </c>
      <c r="C546" s="25">
        <f t="shared" si="141"/>
        <v>3243045</v>
      </c>
      <c r="D546" s="785">
        <f t="shared" si="146"/>
        <v>76702.793245874986</v>
      </c>
      <c r="E546" s="785">
        <f t="shared" si="146"/>
        <v>24271.192244312711</v>
      </c>
      <c r="F546" s="785">
        <f t="shared" si="146"/>
        <v>52331.628394718253</v>
      </c>
      <c r="G546" s="785">
        <f t="shared" si="146"/>
        <v>4182.8578766023929</v>
      </c>
      <c r="H546" s="785">
        <f t="shared" si="146"/>
        <v>76160.463971579607</v>
      </c>
      <c r="I546" s="785">
        <f t="shared" si="146"/>
        <v>19560.160506773387</v>
      </c>
      <c r="J546" s="369">
        <f t="shared" si="146"/>
        <v>0</v>
      </c>
      <c r="K546" s="25">
        <f t="shared" si="142"/>
        <v>3496253.0962398611</v>
      </c>
      <c r="L546" s="260">
        <v>195</v>
      </c>
      <c r="M546" s="785">
        <f t="shared" si="143"/>
        <v>17929.503057640315</v>
      </c>
      <c r="N546" s="685">
        <v>18928</v>
      </c>
      <c r="O546" s="685"/>
      <c r="P546" s="40" t="s">
        <v>679</v>
      </c>
      <c r="Q546" s="191">
        <v>40898</v>
      </c>
      <c r="R546" s="801"/>
      <c r="S546" s="310">
        <f>L546</f>
        <v>195</v>
      </c>
      <c r="T546" s="832">
        <v>16631</v>
      </c>
      <c r="U546" s="25">
        <f t="shared" si="144"/>
        <v>3243045</v>
      </c>
      <c r="V546" s="460"/>
      <c r="W546" s="800"/>
      <c r="X546" s="834"/>
      <c r="Y546" s="832"/>
      <c r="Z546" s="25">
        <f t="shared" si="145"/>
        <v>0</v>
      </c>
    </row>
    <row r="547" spans="1:26" ht="16.5" customHeight="1">
      <c r="A547" s="784">
        <f t="shared" si="140"/>
        <v>191</v>
      </c>
      <c r="B547" s="192" t="s">
        <v>1397</v>
      </c>
      <c r="C547" s="25">
        <f t="shared" si="141"/>
        <v>3813848</v>
      </c>
      <c r="D547" s="785">
        <f t="shared" si="146"/>
        <v>91256.656579707662</v>
      </c>
      <c r="E547" s="785">
        <f t="shared" si="146"/>
        <v>28876.495388105377</v>
      </c>
      <c r="F547" s="785">
        <f t="shared" si="146"/>
        <v>62261.219423459668</v>
      </c>
      <c r="G547" s="785">
        <f t="shared" si="146"/>
        <v>4976.52834549618</v>
      </c>
      <c r="H547" s="785">
        <f t="shared" si="146"/>
        <v>90611.42380208445</v>
      </c>
      <c r="I547" s="785">
        <f t="shared" si="146"/>
        <v>23271.575577289361</v>
      </c>
      <c r="J547" s="369">
        <f t="shared" si="146"/>
        <v>0</v>
      </c>
      <c r="K547" s="25">
        <f t="shared" si="142"/>
        <v>4115100.8991161431</v>
      </c>
      <c r="L547" s="260">
        <v>232</v>
      </c>
      <c r="M547" s="785">
        <f t="shared" si="143"/>
        <v>17737.503875500617</v>
      </c>
      <c r="N547" s="685">
        <v>20070</v>
      </c>
      <c r="O547" s="685"/>
      <c r="P547" s="40" t="s">
        <v>668</v>
      </c>
      <c r="Q547" s="191">
        <v>40898</v>
      </c>
      <c r="R547" s="801"/>
      <c r="S547" s="310">
        <f>L547/2</f>
        <v>116</v>
      </c>
      <c r="T547" s="832">
        <v>32878</v>
      </c>
      <c r="U547" s="25">
        <f t="shared" si="144"/>
        <v>3813848</v>
      </c>
      <c r="V547" s="460"/>
      <c r="W547" s="800"/>
      <c r="X547" s="834"/>
      <c r="Y547" s="832"/>
      <c r="Z547" s="25">
        <f t="shared" si="145"/>
        <v>0</v>
      </c>
    </row>
    <row r="548" spans="1:26" ht="16.5" customHeight="1">
      <c r="A548" s="784">
        <f t="shared" si="140"/>
        <v>192</v>
      </c>
      <c r="B548" s="192" t="s">
        <v>1398</v>
      </c>
      <c r="C548" s="25">
        <f t="shared" si="141"/>
        <v>315989</v>
      </c>
      <c r="D548" s="785">
        <f t="shared" si="146"/>
        <v>29894.421983007684</v>
      </c>
      <c r="E548" s="785">
        <f t="shared" si="146"/>
        <v>9459.5415926552105</v>
      </c>
      <c r="F548" s="785">
        <f t="shared" si="146"/>
        <v>20395.916707685064</v>
      </c>
      <c r="G548" s="785">
        <f t="shared" si="146"/>
        <v>1630.2420442142659</v>
      </c>
      <c r="H548" s="785">
        <f t="shared" si="146"/>
        <v>29683.052624820768</v>
      </c>
      <c r="I548" s="785">
        <f t="shared" si="146"/>
        <v>7623.4471718706527</v>
      </c>
      <c r="J548" s="369">
        <f t="shared" si="146"/>
        <v>0</v>
      </c>
      <c r="K548" s="25">
        <f t="shared" si="142"/>
        <v>414674.62212425371</v>
      </c>
      <c r="L548" s="260">
        <v>76</v>
      </c>
      <c r="M548" s="785">
        <f t="shared" si="143"/>
        <v>5456.2450279507066</v>
      </c>
      <c r="N548" s="685">
        <v>6275</v>
      </c>
      <c r="O548" s="685"/>
      <c r="P548" s="40" t="s">
        <v>679</v>
      </c>
      <c r="Q548" s="191">
        <v>40899</v>
      </c>
      <c r="R548" s="801"/>
      <c r="S548" s="310">
        <v>19</v>
      </c>
      <c r="T548" s="832">
        <v>16631</v>
      </c>
      <c r="U548" s="25">
        <f t="shared" si="144"/>
        <v>315989</v>
      </c>
      <c r="V548" s="460"/>
      <c r="W548" s="800"/>
      <c r="X548" s="834"/>
      <c r="Y548" s="832"/>
      <c r="Z548" s="25">
        <f t="shared" si="145"/>
        <v>0</v>
      </c>
    </row>
    <row r="549" spans="1:26" ht="16.5" customHeight="1">
      <c r="A549" s="784">
        <f t="shared" si="140"/>
        <v>193</v>
      </c>
      <c r="B549" s="192" t="s">
        <v>1400</v>
      </c>
      <c r="C549" s="25">
        <f t="shared" si="141"/>
        <v>2249820</v>
      </c>
      <c r="D549" s="785">
        <f t="shared" si="146"/>
        <v>102663.73865217113</v>
      </c>
      <c r="E549" s="785">
        <f t="shared" si="146"/>
        <v>32486.057311618551</v>
      </c>
      <c r="F549" s="785">
        <f t="shared" si="146"/>
        <v>70043.871851392134</v>
      </c>
      <c r="G549" s="785">
        <f t="shared" si="146"/>
        <v>5598.5943886832029</v>
      </c>
      <c r="H549" s="785">
        <f t="shared" si="146"/>
        <v>101937.851777345</v>
      </c>
      <c r="I549" s="785">
        <f t="shared" si="146"/>
        <v>26180.522524450531</v>
      </c>
      <c r="J549" s="369">
        <f t="shared" si="146"/>
        <v>0</v>
      </c>
      <c r="K549" s="25">
        <f t="shared" si="142"/>
        <v>2588729.6365056606</v>
      </c>
      <c r="L549" s="260">
        <v>261</v>
      </c>
      <c r="M549" s="785">
        <f t="shared" si="143"/>
        <v>9918.5043544278178</v>
      </c>
      <c r="N549" s="685">
        <v>10678</v>
      </c>
      <c r="O549" s="685"/>
      <c r="P549" s="189" t="s">
        <v>530</v>
      </c>
      <c r="Q549" s="191">
        <v>40899</v>
      </c>
      <c r="R549" s="801"/>
      <c r="S549" s="310">
        <f>L549</f>
        <v>261</v>
      </c>
      <c r="T549" s="832">
        <v>8620</v>
      </c>
      <c r="U549" s="25">
        <f t="shared" si="144"/>
        <v>2249820</v>
      </c>
      <c r="V549" s="460"/>
      <c r="W549" s="800"/>
      <c r="X549" s="834"/>
      <c r="Y549" s="832"/>
      <c r="Z549" s="25">
        <f t="shared" si="145"/>
        <v>0</v>
      </c>
    </row>
    <row r="550" spans="1:26" ht="16.5" customHeight="1">
      <c r="A550" s="784">
        <f t="shared" ref="A550:A597" si="148">IF(B550&lt;&gt;"",A549+1,"")</f>
        <v>194</v>
      </c>
      <c r="B550" s="192" t="s">
        <v>927</v>
      </c>
      <c r="C550" s="25">
        <f t="shared" ref="C550:C597" si="149">U550</f>
        <v>538251</v>
      </c>
      <c r="D550" s="785">
        <f t="shared" si="146"/>
        <v>25567.597748624994</v>
      </c>
      <c r="E550" s="785">
        <f t="shared" si="146"/>
        <v>8090.3974147709032</v>
      </c>
      <c r="F550" s="785">
        <f t="shared" si="146"/>
        <v>17443.876131572753</v>
      </c>
      <c r="G550" s="785">
        <f t="shared" si="146"/>
        <v>1394.2859588674642</v>
      </c>
      <c r="H550" s="785">
        <f t="shared" si="146"/>
        <v>25386.821323859869</v>
      </c>
      <c r="I550" s="785">
        <f t="shared" si="146"/>
        <v>6520.0535022577951</v>
      </c>
      <c r="J550" s="369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85">
        <f t="shared" si="143"/>
        <v>9579.2774166146737</v>
      </c>
      <c r="N550" s="685">
        <v>10501</v>
      </c>
      <c r="O550" s="685"/>
      <c r="P550" s="40" t="s">
        <v>666</v>
      </c>
      <c r="Q550" s="191">
        <v>40899</v>
      </c>
      <c r="R550" s="801"/>
      <c r="S550" s="310">
        <v>21</v>
      </c>
      <c r="T550" s="832">
        <v>25631</v>
      </c>
      <c r="U550" s="25">
        <f t="shared" si="144"/>
        <v>538251</v>
      </c>
      <c r="V550" s="460"/>
      <c r="W550" s="800"/>
      <c r="X550" s="834"/>
      <c r="Y550" s="832"/>
      <c r="Z550" s="25">
        <f t="shared" si="145"/>
        <v>0</v>
      </c>
    </row>
    <row r="551" spans="1:26" ht="16.5" customHeight="1">
      <c r="A551" s="784">
        <f t="shared" si="148"/>
        <v>195</v>
      </c>
      <c r="B551" s="192" t="s">
        <v>956</v>
      </c>
      <c r="C551" s="25">
        <f t="shared" si="149"/>
        <v>7198425</v>
      </c>
      <c r="D551" s="785">
        <f t="shared" si="146"/>
        <v>420488.64605046337</v>
      </c>
      <c r="E551" s="785">
        <f t="shared" si="146"/>
        <v>133055.92055984761</v>
      </c>
      <c r="F551" s="785">
        <f t="shared" si="146"/>
        <v>286884.67053309648</v>
      </c>
      <c r="G551" s="785">
        <f t="shared" si="146"/>
        <v>22930.64138506645</v>
      </c>
      <c r="H551" s="785">
        <f t="shared" si="146"/>
        <v>417515.56915701844</v>
      </c>
      <c r="I551" s="785">
        <f t="shared" si="146"/>
        <v>107229.8029832859</v>
      </c>
      <c r="J551" s="369">
        <f t="shared" si="146"/>
        <v>0</v>
      </c>
      <c r="K551" s="25">
        <f t="shared" si="150"/>
        <v>8586529.250668779</v>
      </c>
      <c r="L551" s="260">
        <v>1069</v>
      </c>
      <c r="M551" s="785">
        <f t="shared" ref="M551:M597" si="151">IF(L551&lt;&gt;"",K551/L551,"")</f>
        <v>8032.3005151251436</v>
      </c>
      <c r="N551" s="685">
        <v>11840</v>
      </c>
      <c r="O551" s="685"/>
      <c r="P551" s="40" t="s">
        <v>678</v>
      </c>
      <c r="Q551" s="191">
        <v>40899</v>
      </c>
      <c r="R551" s="801"/>
      <c r="S551" s="310">
        <v>535</v>
      </c>
      <c r="T551" s="832">
        <v>13455</v>
      </c>
      <c r="U551" s="25">
        <f t="shared" ref="U551:U597" si="152">ROUND(S551*T551,0)</f>
        <v>7198425</v>
      </c>
      <c r="V551" s="460"/>
      <c r="W551" s="800"/>
      <c r="X551" s="834"/>
      <c r="Y551" s="832"/>
      <c r="Z551" s="25">
        <f t="shared" ref="Z551:Z597" si="153">ROUND(X551*Y551,0)</f>
        <v>0</v>
      </c>
    </row>
    <row r="552" spans="1:26" ht="16.5" customHeight="1">
      <c r="A552" s="784">
        <f t="shared" si="148"/>
        <v>196</v>
      </c>
      <c r="B552" s="192" t="s">
        <v>928</v>
      </c>
      <c r="C552" s="25">
        <f t="shared" si="149"/>
        <v>3713580</v>
      </c>
      <c r="D552" s="785">
        <f t="shared" si="146"/>
        <v>108563.95351723843</v>
      </c>
      <c r="E552" s="785">
        <f t="shared" si="146"/>
        <v>34353.072099642603</v>
      </c>
      <c r="F552" s="785">
        <f t="shared" si="146"/>
        <v>74069.381727908913</v>
      </c>
      <c r="G552" s="785">
        <f t="shared" si="146"/>
        <v>5920.3526868833869</v>
      </c>
      <c r="H552" s="785">
        <f t="shared" si="146"/>
        <v>107796.34900592806</v>
      </c>
      <c r="I552" s="785">
        <f t="shared" si="146"/>
        <v>27685.150255740791</v>
      </c>
      <c r="J552" s="369">
        <f t="shared" si="146"/>
        <v>0</v>
      </c>
      <c r="K552" s="25">
        <f t="shared" si="150"/>
        <v>4071967.2592933425</v>
      </c>
      <c r="L552" s="260">
        <v>276</v>
      </c>
      <c r="M552" s="785">
        <f t="shared" si="151"/>
        <v>14753.504562657037</v>
      </c>
      <c r="N552" s="685">
        <v>13258</v>
      </c>
      <c r="O552" s="685"/>
      <c r="P552" s="40" t="s">
        <v>678</v>
      </c>
      <c r="Q552" s="191">
        <v>40899</v>
      </c>
      <c r="R552" s="801"/>
      <c r="S552" s="310">
        <f>L552</f>
        <v>276</v>
      </c>
      <c r="T552" s="832">
        <v>13455</v>
      </c>
      <c r="U552" s="25">
        <f t="shared" si="152"/>
        <v>3713580</v>
      </c>
      <c r="V552" s="460"/>
      <c r="W552" s="800"/>
      <c r="X552" s="834"/>
      <c r="Y552" s="832"/>
      <c r="Z552" s="25">
        <f t="shared" si="153"/>
        <v>0</v>
      </c>
    </row>
    <row r="553" spans="1:26" ht="16.5" customHeight="1">
      <c r="A553" s="784">
        <f t="shared" si="148"/>
        <v>197</v>
      </c>
      <c r="B553" s="192" t="s">
        <v>1383</v>
      </c>
      <c r="C553" s="25">
        <f t="shared" si="149"/>
        <v>789072</v>
      </c>
      <c r="D553" s="785">
        <f t="shared" si="146"/>
        <v>18487.339910544226</v>
      </c>
      <c r="E553" s="785">
        <f t="shared" si="146"/>
        <v>5849.9796691420379</v>
      </c>
      <c r="F553" s="785">
        <f t="shared" si="146"/>
        <v>12613.264279752606</v>
      </c>
      <c r="G553" s="785">
        <f t="shared" si="146"/>
        <v>1008.1760010272434</v>
      </c>
      <c r="H553" s="785">
        <f t="shared" si="146"/>
        <v>18356.62464956021</v>
      </c>
      <c r="I553" s="785">
        <f t="shared" si="146"/>
        <v>4714.5002247094826</v>
      </c>
      <c r="J553" s="369">
        <f t="shared" si="146"/>
        <v>0</v>
      </c>
      <c r="K553" s="25">
        <f t="shared" si="150"/>
        <v>850100.88473473582</v>
      </c>
      <c r="L553" s="260">
        <v>47</v>
      </c>
      <c r="M553" s="785">
        <f t="shared" si="151"/>
        <v>18087.252866696508</v>
      </c>
      <c r="N553" s="685">
        <v>18928</v>
      </c>
      <c r="O553" s="685"/>
      <c r="P553" s="40" t="s">
        <v>668</v>
      </c>
      <c r="Q553" s="191">
        <v>40899</v>
      </c>
      <c r="R553" s="801"/>
      <c r="S553" s="310">
        <v>24</v>
      </c>
      <c r="T553" s="832">
        <v>32878</v>
      </c>
      <c r="U553" s="25">
        <f t="shared" si="152"/>
        <v>789072</v>
      </c>
      <c r="V553" s="460"/>
      <c r="W553" s="800"/>
      <c r="X553" s="834"/>
      <c r="Y553" s="832"/>
      <c r="Z553" s="25">
        <f t="shared" si="153"/>
        <v>0</v>
      </c>
    </row>
    <row r="554" spans="1:26" ht="16.5" customHeight="1">
      <c r="A554" s="784">
        <f t="shared" si="148"/>
        <v>198</v>
      </c>
      <c r="B554" s="192" t="s">
        <v>1388</v>
      </c>
      <c r="C554" s="25">
        <f t="shared" si="149"/>
        <v>4324060</v>
      </c>
      <c r="D554" s="785">
        <f t="shared" si="146"/>
        <v>102270.39099449998</v>
      </c>
      <c r="E554" s="785">
        <f t="shared" si="146"/>
        <v>32361.589659083613</v>
      </c>
      <c r="F554" s="785">
        <f t="shared" si="146"/>
        <v>69775.504526291013</v>
      </c>
      <c r="G554" s="785">
        <f t="shared" si="146"/>
        <v>5577.1438354698566</v>
      </c>
      <c r="H554" s="785">
        <f t="shared" si="146"/>
        <v>101547.28529543948</v>
      </c>
      <c r="I554" s="785">
        <f t="shared" si="146"/>
        <v>26080.21400903118</v>
      </c>
      <c r="J554" s="369">
        <f t="shared" si="146"/>
        <v>0</v>
      </c>
      <c r="K554" s="25">
        <f t="shared" si="150"/>
        <v>4661671.1283198157</v>
      </c>
      <c r="L554" s="260">
        <v>260</v>
      </c>
      <c r="M554" s="785">
        <f t="shared" si="151"/>
        <v>17929.504339691601</v>
      </c>
      <c r="N554" s="685">
        <v>23012</v>
      </c>
      <c r="O554" s="685"/>
      <c r="P554" s="40" t="s">
        <v>679</v>
      </c>
      <c r="Q554" s="191">
        <v>40899</v>
      </c>
      <c r="R554" s="801"/>
      <c r="S554" s="310">
        <f>L554</f>
        <v>260</v>
      </c>
      <c r="T554" s="832">
        <v>16631</v>
      </c>
      <c r="U554" s="25">
        <f t="shared" si="152"/>
        <v>4324060</v>
      </c>
      <c r="V554" s="460"/>
      <c r="W554" s="800"/>
      <c r="X554" s="834"/>
      <c r="Y554" s="832"/>
      <c r="Z554" s="25">
        <f t="shared" si="153"/>
        <v>0</v>
      </c>
    </row>
    <row r="555" spans="1:26" ht="16.5" customHeight="1">
      <c r="A555" s="784">
        <f t="shared" si="148"/>
        <v>199</v>
      </c>
      <c r="B555" s="192" t="s">
        <v>1401</v>
      </c>
      <c r="C555" s="25">
        <f t="shared" si="149"/>
        <v>190981</v>
      </c>
      <c r="D555" s="785">
        <f t="shared" si="146"/>
        <v>107777.25820189613</v>
      </c>
      <c r="E555" s="785">
        <f t="shared" ref="D555:J591" si="154">IF($L$599&lt;&gt;0,E$599/$L$599*$L555,0)</f>
        <v>34104.136794572732</v>
      </c>
      <c r="F555" s="785">
        <f t="shared" si="154"/>
        <v>73532.647077706672</v>
      </c>
      <c r="G555" s="785">
        <f t="shared" si="154"/>
        <v>5877.4515804566954</v>
      </c>
      <c r="H555" s="785">
        <f t="shared" si="154"/>
        <v>107015.21604211698</v>
      </c>
      <c r="I555" s="785">
        <f t="shared" si="154"/>
        <v>27484.53322490209</v>
      </c>
      <c r="J555" s="369">
        <f t="shared" si="154"/>
        <v>0</v>
      </c>
      <c r="K555" s="25">
        <f t="shared" si="150"/>
        <v>546771.24292165134</v>
      </c>
      <c r="L555" s="260">
        <v>274</v>
      </c>
      <c r="M555" s="785">
        <f t="shared" si="151"/>
        <v>1995.5154851155157</v>
      </c>
      <c r="N555" s="685">
        <v>1474</v>
      </c>
      <c r="O555" s="685"/>
      <c r="P555" s="40" t="s">
        <v>662</v>
      </c>
      <c r="Q555" s="191">
        <v>40899</v>
      </c>
      <c r="R555" s="801"/>
      <c r="S555" s="310">
        <v>7</v>
      </c>
      <c r="T555" s="832">
        <v>27283</v>
      </c>
      <c r="U555" s="25">
        <f t="shared" si="152"/>
        <v>190981</v>
      </c>
      <c r="V555" s="460"/>
      <c r="W555" s="800"/>
      <c r="X555" s="834"/>
      <c r="Y555" s="832"/>
      <c r="Z555" s="25">
        <f t="shared" si="153"/>
        <v>0</v>
      </c>
    </row>
    <row r="556" spans="1:26" ht="16.5" customHeight="1">
      <c r="A556" s="784">
        <f t="shared" si="148"/>
        <v>200</v>
      </c>
      <c r="B556" s="192" t="s">
        <v>1402</v>
      </c>
      <c r="C556" s="25">
        <f t="shared" si="149"/>
        <v>27283</v>
      </c>
      <c r="D556" s="785">
        <f t="shared" si="154"/>
        <v>17307.296937530766</v>
      </c>
      <c r="E556" s="785">
        <f t="shared" si="154"/>
        <v>5476.5767115372273</v>
      </c>
      <c r="F556" s="785">
        <f t="shared" si="154"/>
        <v>11808.162304449248</v>
      </c>
      <c r="G556" s="785">
        <f t="shared" si="154"/>
        <v>943.82434138720657</v>
      </c>
      <c r="H556" s="785">
        <f t="shared" si="154"/>
        <v>17184.925203843603</v>
      </c>
      <c r="I556" s="785">
        <f t="shared" si="154"/>
        <v>4413.5746784514304</v>
      </c>
      <c r="J556" s="369">
        <f t="shared" si="154"/>
        <v>0</v>
      </c>
      <c r="K556" s="25">
        <f t="shared" si="150"/>
        <v>84416.360177199487</v>
      </c>
      <c r="L556" s="260">
        <v>44</v>
      </c>
      <c r="M556" s="785">
        <f t="shared" si="151"/>
        <v>1918.5536403908975</v>
      </c>
      <c r="N556" s="685">
        <v>1146</v>
      </c>
      <c r="O556" s="685"/>
      <c r="P556" s="40" t="s">
        <v>662</v>
      </c>
      <c r="Q556" s="191">
        <v>40899</v>
      </c>
      <c r="R556" s="801"/>
      <c r="S556" s="310">
        <v>1</v>
      </c>
      <c r="T556" s="832">
        <v>27283</v>
      </c>
      <c r="U556" s="25">
        <f t="shared" si="152"/>
        <v>27283</v>
      </c>
      <c r="V556" s="460"/>
      <c r="W556" s="800"/>
      <c r="X556" s="834"/>
      <c r="Y556" s="832"/>
      <c r="Z556" s="25">
        <f t="shared" si="153"/>
        <v>0</v>
      </c>
    </row>
    <row r="557" spans="1:26" ht="16.5" customHeight="1">
      <c r="A557" s="784">
        <f t="shared" si="148"/>
        <v>201</v>
      </c>
      <c r="B557" s="192" t="s">
        <v>1403</v>
      </c>
      <c r="C557" s="25">
        <f t="shared" si="149"/>
        <v>95256</v>
      </c>
      <c r="D557" s="785">
        <f t="shared" si="154"/>
        <v>103057.08630984229</v>
      </c>
      <c r="E557" s="785">
        <f t="shared" si="154"/>
        <v>32610.524964153487</v>
      </c>
      <c r="F557" s="785">
        <f t="shared" si="154"/>
        <v>70312.23917649324</v>
      </c>
      <c r="G557" s="785">
        <f t="shared" si="154"/>
        <v>5620.0449418965482</v>
      </c>
      <c r="H557" s="785">
        <f t="shared" si="154"/>
        <v>102328.41825925054</v>
      </c>
      <c r="I557" s="785">
        <f t="shared" si="154"/>
        <v>26280.831039869881</v>
      </c>
      <c r="J557" s="369">
        <f t="shared" si="154"/>
        <v>0</v>
      </c>
      <c r="K557" s="25">
        <f t="shared" si="150"/>
        <v>435464.14469150599</v>
      </c>
      <c r="L557" s="260">
        <v>262</v>
      </c>
      <c r="M557" s="785">
        <f t="shared" si="151"/>
        <v>1662.0768881355191</v>
      </c>
      <c r="N557" s="685">
        <v>1187</v>
      </c>
      <c r="O557" s="685"/>
      <c r="P557" s="40" t="s">
        <v>663</v>
      </c>
      <c r="Q557" s="191">
        <v>40899</v>
      </c>
      <c r="R557" s="801"/>
      <c r="S557" s="310">
        <v>3</v>
      </c>
      <c r="T557" s="832">
        <v>31752</v>
      </c>
      <c r="U557" s="25">
        <f t="shared" si="152"/>
        <v>95256</v>
      </c>
      <c r="V557" s="460"/>
      <c r="W557" s="800"/>
      <c r="X557" s="834"/>
      <c r="Y557" s="832"/>
      <c r="Z557" s="25">
        <f t="shared" si="153"/>
        <v>0</v>
      </c>
    </row>
    <row r="558" spans="1:26" ht="16.5" customHeight="1">
      <c r="A558" s="784">
        <f t="shared" si="148"/>
        <v>202</v>
      </c>
      <c r="B558" s="192" t="s">
        <v>1404</v>
      </c>
      <c r="C558" s="25">
        <f t="shared" si="149"/>
        <v>232740</v>
      </c>
      <c r="D558" s="785">
        <f t="shared" si="154"/>
        <v>103057.08630984229</v>
      </c>
      <c r="E558" s="785">
        <f t="shared" si="154"/>
        <v>32610.524964153487</v>
      </c>
      <c r="F558" s="785">
        <f t="shared" si="154"/>
        <v>70312.23917649324</v>
      </c>
      <c r="G558" s="785">
        <f t="shared" si="154"/>
        <v>5620.0449418965482</v>
      </c>
      <c r="H558" s="785">
        <f t="shared" si="154"/>
        <v>102328.41825925054</v>
      </c>
      <c r="I558" s="785">
        <f t="shared" si="154"/>
        <v>26280.831039869881</v>
      </c>
      <c r="J558" s="369">
        <f t="shared" si="154"/>
        <v>0</v>
      </c>
      <c r="K558" s="25">
        <f t="shared" si="150"/>
        <v>572948.14469150605</v>
      </c>
      <c r="L558" s="260">
        <v>262</v>
      </c>
      <c r="M558" s="785">
        <f t="shared" si="151"/>
        <v>2186.8249797385729</v>
      </c>
      <c r="N558" s="685">
        <v>1515</v>
      </c>
      <c r="O558" s="685"/>
      <c r="P558" s="189" t="s">
        <v>530</v>
      </c>
      <c r="Q558" s="191">
        <v>40899</v>
      </c>
      <c r="R558" s="801"/>
      <c r="S558" s="310">
        <v>27</v>
      </c>
      <c r="T558" s="832">
        <v>8620</v>
      </c>
      <c r="U558" s="25">
        <f t="shared" si="152"/>
        <v>232740</v>
      </c>
      <c r="V558" s="460"/>
      <c r="W558" s="800"/>
      <c r="X558" s="834"/>
      <c r="Y558" s="832"/>
      <c r="Z558" s="25">
        <f t="shared" si="153"/>
        <v>0</v>
      </c>
    </row>
    <row r="559" spans="1:26" ht="16.5" customHeight="1">
      <c r="A559" s="784">
        <f t="shared" si="148"/>
        <v>203</v>
      </c>
      <c r="B559" s="192" t="s">
        <v>1405</v>
      </c>
      <c r="C559" s="25">
        <f t="shared" si="149"/>
        <v>245547</v>
      </c>
      <c r="D559" s="785">
        <f t="shared" si="154"/>
        <v>125084.55513942688</v>
      </c>
      <c r="E559" s="785">
        <f t="shared" si="154"/>
        <v>39580.713506109954</v>
      </c>
      <c r="F559" s="785">
        <f t="shared" si="154"/>
        <v>85340.809382155931</v>
      </c>
      <c r="G559" s="785">
        <f t="shared" si="154"/>
        <v>6821.2759218439023</v>
      </c>
      <c r="H559" s="785">
        <f t="shared" si="154"/>
        <v>124200.14124596058</v>
      </c>
      <c r="I559" s="785">
        <f t="shared" si="154"/>
        <v>31898.107903353521</v>
      </c>
      <c r="J559" s="369">
        <f t="shared" si="154"/>
        <v>0</v>
      </c>
      <c r="K559" s="25">
        <f t="shared" si="150"/>
        <v>658471.60309885081</v>
      </c>
      <c r="L559" s="260">
        <v>318</v>
      </c>
      <c r="M559" s="785">
        <f t="shared" si="151"/>
        <v>2070.6654185498455</v>
      </c>
      <c r="N559" s="685">
        <v>1556</v>
      </c>
      <c r="O559" s="685"/>
      <c r="P559" s="40" t="s">
        <v>662</v>
      </c>
      <c r="Q559" s="191">
        <v>40899</v>
      </c>
      <c r="R559" s="801"/>
      <c r="S559" s="310">
        <v>9</v>
      </c>
      <c r="T559" s="832">
        <v>27283</v>
      </c>
      <c r="U559" s="25">
        <f t="shared" si="152"/>
        <v>245547</v>
      </c>
      <c r="V559" s="460"/>
      <c r="W559" s="800"/>
      <c r="X559" s="834"/>
      <c r="Y559" s="832"/>
      <c r="Z559" s="25">
        <f t="shared" si="153"/>
        <v>0</v>
      </c>
    </row>
    <row r="560" spans="1:26" ht="16.5" customHeight="1">
      <c r="A560" s="784">
        <f t="shared" si="148"/>
        <v>204</v>
      </c>
      <c r="B560" s="192" t="s">
        <v>1406</v>
      </c>
      <c r="C560" s="25">
        <f t="shared" si="149"/>
        <v>2637180</v>
      </c>
      <c r="D560" s="785">
        <f t="shared" si="154"/>
        <v>154192.28180709228</v>
      </c>
      <c r="E560" s="785">
        <f t="shared" si="154"/>
        <v>48791.319793695293</v>
      </c>
      <c r="F560" s="785">
        <f t="shared" si="154"/>
        <v>105199.99143963875</v>
      </c>
      <c r="G560" s="785">
        <f t="shared" si="154"/>
        <v>8408.6168596314765</v>
      </c>
      <c r="H560" s="785">
        <f t="shared" si="154"/>
        <v>153102.06090697029</v>
      </c>
      <c r="I560" s="785">
        <f t="shared" si="154"/>
        <v>39320.938044385475</v>
      </c>
      <c r="J560" s="369">
        <f t="shared" si="154"/>
        <v>0</v>
      </c>
      <c r="K560" s="25">
        <f t="shared" si="150"/>
        <v>3146194.2088514138</v>
      </c>
      <c r="L560" s="260">
        <v>392</v>
      </c>
      <c r="M560" s="785">
        <f t="shared" si="151"/>
        <v>8026.0056348250355</v>
      </c>
      <c r="N560" s="685">
        <v>11800</v>
      </c>
      <c r="O560" s="685"/>
      <c r="P560" s="40" t="s">
        <v>678</v>
      </c>
      <c r="Q560" s="191">
        <v>40907</v>
      </c>
      <c r="R560" s="801"/>
      <c r="S560" s="310">
        <v>196</v>
      </c>
      <c r="T560" s="832">
        <v>13455</v>
      </c>
      <c r="U560" s="25">
        <f t="shared" si="152"/>
        <v>2637180</v>
      </c>
      <c r="V560" s="460"/>
      <c r="W560" s="800"/>
      <c r="X560" s="834"/>
      <c r="Y560" s="832"/>
      <c r="Z560" s="25">
        <f t="shared" si="153"/>
        <v>0</v>
      </c>
    </row>
    <row r="561" spans="1:26" ht="16.5" customHeight="1">
      <c r="A561" s="784">
        <f t="shared" si="148"/>
        <v>205</v>
      </c>
      <c r="B561" s="192" t="s">
        <v>1408</v>
      </c>
      <c r="C561" s="25">
        <f t="shared" si="149"/>
        <v>1068535</v>
      </c>
      <c r="D561" s="785">
        <f t="shared" si="154"/>
        <v>25567.597748624994</v>
      </c>
      <c r="E561" s="785">
        <f t="shared" si="154"/>
        <v>8090.3974147709032</v>
      </c>
      <c r="F561" s="785">
        <f t="shared" si="154"/>
        <v>17443.876131572753</v>
      </c>
      <c r="G561" s="785">
        <f t="shared" si="154"/>
        <v>1394.2859588674642</v>
      </c>
      <c r="H561" s="785">
        <f t="shared" si="154"/>
        <v>25386.821323859869</v>
      </c>
      <c r="I561" s="785">
        <f t="shared" si="154"/>
        <v>6520.0535022577951</v>
      </c>
      <c r="J561" s="369">
        <f t="shared" si="154"/>
        <v>0</v>
      </c>
      <c r="K561" s="25">
        <f t="shared" si="150"/>
        <v>1152937.0320799539</v>
      </c>
      <c r="L561" s="260">
        <v>65</v>
      </c>
      <c r="M561" s="785">
        <f t="shared" si="151"/>
        <v>17737.492801230059</v>
      </c>
      <c r="N561" s="685">
        <v>22324</v>
      </c>
      <c r="O561" s="685"/>
      <c r="P561" s="40" t="s">
        <v>668</v>
      </c>
      <c r="Q561" s="191">
        <v>40907</v>
      </c>
      <c r="R561" s="801"/>
      <c r="S561" s="310">
        <f>L561/2</f>
        <v>32.5</v>
      </c>
      <c r="T561" s="832">
        <v>32878</v>
      </c>
      <c r="U561" s="25">
        <f t="shared" si="152"/>
        <v>1068535</v>
      </c>
      <c r="V561" s="460"/>
      <c r="W561" s="800"/>
      <c r="X561" s="834"/>
      <c r="Y561" s="832"/>
      <c r="Z561" s="25">
        <f t="shared" si="153"/>
        <v>0</v>
      </c>
    </row>
    <row r="562" spans="1:26" ht="16.5" customHeight="1">
      <c r="A562" s="784">
        <f t="shared" si="148"/>
        <v>206</v>
      </c>
      <c r="B562" s="192" t="s">
        <v>1409</v>
      </c>
      <c r="C562" s="25">
        <f t="shared" si="149"/>
        <v>174270</v>
      </c>
      <c r="D562" s="785">
        <f t="shared" si="154"/>
        <v>3933.4765767115373</v>
      </c>
      <c r="E562" s="785">
        <f t="shared" si="154"/>
        <v>1244.6765253493697</v>
      </c>
      <c r="F562" s="785">
        <f t="shared" si="154"/>
        <v>2683.6732510111924</v>
      </c>
      <c r="G562" s="785">
        <f t="shared" si="154"/>
        <v>214.50553213345603</v>
      </c>
      <c r="H562" s="785">
        <f t="shared" si="154"/>
        <v>3905.6648190553642</v>
      </c>
      <c r="I562" s="785">
        <f t="shared" si="154"/>
        <v>1003.0851541935069</v>
      </c>
      <c r="J562" s="369">
        <f t="shared" si="154"/>
        <v>0</v>
      </c>
      <c r="K562" s="25">
        <f t="shared" si="150"/>
        <v>187254.08185845445</v>
      </c>
      <c r="L562" s="260">
        <v>10</v>
      </c>
      <c r="M562" s="785">
        <f t="shared" si="151"/>
        <v>18725.408185845445</v>
      </c>
      <c r="N562" s="685">
        <v>18984</v>
      </c>
      <c r="O562" s="685"/>
      <c r="P562" s="189" t="s">
        <v>513</v>
      </c>
      <c r="Q562" s="191">
        <v>40907</v>
      </c>
      <c r="R562" s="801"/>
      <c r="S562" s="310">
        <f>L562</f>
        <v>10</v>
      </c>
      <c r="T562" s="832">
        <v>17427</v>
      </c>
      <c r="U562" s="25">
        <f t="shared" si="152"/>
        <v>174270</v>
      </c>
      <c r="V562" s="460"/>
      <c r="W562" s="800"/>
      <c r="X562" s="834"/>
      <c r="Y562" s="832"/>
      <c r="Z562" s="25">
        <f t="shared" si="153"/>
        <v>0</v>
      </c>
    </row>
    <row r="563" spans="1:26" ht="16.5" customHeight="1">
      <c r="A563" s="784">
        <f t="shared" si="148"/>
        <v>207</v>
      </c>
      <c r="B563" s="192" t="s">
        <v>1410</v>
      </c>
      <c r="C563" s="25">
        <f t="shared" si="149"/>
        <v>1762886</v>
      </c>
      <c r="D563" s="785">
        <f t="shared" si="154"/>
        <v>41694.8517131423</v>
      </c>
      <c r="E563" s="785">
        <f t="shared" si="154"/>
        <v>13193.57116870332</v>
      </c>
      <c r="F563" s="785">
        <f t="shared" si="154"/>
        <v>28446.936460718644</v>
      </c>
      <c r="G563" s="785">
        <f t="shared" si="154"/>
        <v>2273.7586406146338</v>
      </c>
      <c r="H563" s="785">
        <f t="shared" si="154"/>
        <v>41400.047081986864</v>
      </c>
      <c r="I563" s="785">
        <f t="shared" si="154"/>
        <v>10632.702634451174</v>
      </c>
      <c r="J563" s="369">
        <f t="shared" si="154"/>
        <v>0</v>
      </c>
      <c r="K563" s="25">
        <f t="shared" si="150"/>
        <v>1900526.8676996171</v>
      </c>
      <c r="L563" s="260">
        <v>106</v>
      </c>
      <c r="M563" s="785">
        <f t="shared" si="151"/>
        <v>17929.49875188318</v>
      </c>
      <c r="N563" s="685">
        <v>24273</v>
      </c>
      <c r="O563" s="685"/>
      <c r="P563" s="40" t="s">
        <v>679</v>
      </c>
      <c r="Q563" s="191">
        <v>40907</v>
      </c>
      <c r="R563" s="801"/>
      <c r="S563" s="310">
        <f>L563</f>
        <v>106</v>
      </c>
      <c r="T563" s="832">
        <v>16631</v>
      </c>
      <c r="U563" s="25">
        <f t="shared" si="152"/>
        <v>1762886</v>
      </c>
      <c r="V563" s="460"/>
      <c r="W563" s="800"/>
      <c r="X563" s="834"/>
      <c r="Y563" s="832"/>
      <c r="Z563" s="25">
        <f t="shared" si="153"/>
        <v>0</v>
      </c>
    </row>
    <row r="564" spans="1:26" ht="16.5" customHeight="1">
      <c r="A564" s="784">
        <f t="shared" si="148"/>
        <v>208</v>
      </c>
      <c r="B564" s="192" t="s">
        <v>1411</v>
      </c>
      <c r="C564" s="25">
        <f t="shared" si="149"/>
        <v>1022580</v>
      </c>
      <c r="D564" s="785">
        <f t="shared" si="154"/>
        <v>29894.421983007684</v>
      </c>
      <c r="E564" s="785">
        <f t="shared" si="154"/>
        <v>9459.5415926552105</v>
      </c>
      <c r="F564" s="785">
        <f t="shared" si="154"/>
        <v>20395.916707685064</v>
      </c>
      <c r="G564" s="785">
        <f t="shared" si="154"/>
        <v>1630.2420442142659</v>
      </c>
      <c r="H564" s="785">
        <f t="shared" si="154"/>
        <v>29683.052624820768</v>
      </c>
      <c r="I564" s="785">
        <f t="shared" si="154"/>
        <v>7623.4471718706527</v>
      </c>
      <c r="J564" s="369">
        <f t="shared" si="154"/>
        <v>0</v>
      </c>
      <c r="K564" s="25">
        <f t="shared" si="150"/>
        <v>1121265.6221242533</v>
      </c>
      <c r="L564" s="260">
        <v>76</v>
      </c>
      <c r="M564" s="785">
        <f t="shared" si="151"/>
        <v>14753.495027950701</v>
      </c>
      <c r="N564" s="685">
        <v>17216</v>
      </c>
      <c r="O564" s="685"/>
      <c r="P564" s="40" t="s">
        <v>678</v>
      </c>
      <c r="Q564" s="191">
        <v>40907</v>
      </c>
      <c r="R564" s="801"/>
      <c r="S564" s="310">
        <f>L564</f>
        <v>76</v>
      </c>
      <c r="T564" s="832">
        <v>13455</v>
      </c>
      <c r="U564" s="25">
        <f t="shared" si="152"/>
        <v>1022580</v>
      </c>
      <c r="V564" s="460"/>
      <c r="W564" s="800"/>
      <c r="X564" s="834"/>
      <c r="Y564" s="832"/>
      <c r="Z564" s="25">
        <f t="shared" si="153"/>
        <v>0</v>
      </c>
    </row>
    <row r="565" spans="1:26" ht="16.5" customHeight="1">
      <c r="A565" s="784">
        <f t="shared" si="148"/>
        <v>209</v>
      </c>
      <c r="B565" s="192" t="s">
        <v>1388</v>
      </c>
      <c r="C565" s="25">
        <f t="shared" si="149"/>
        <v>3459248</v>
      </c>
      <c r="D565" s="785">
        <f t="shared" si="154"/>
        <v>81816.312795599981</v>
      </c>
      <c r="E565" s="785">
        <f t="shared" si="154"/>
        <v>25889.271727266889</v>
      </c>
      <c r="F565" s="785">
        <f t="shared" si="154"/>
        <v>55820.403621032805</v>
      </c>
      <c r="G565" s="785">
        <f t="shared" si="154"/>
        <v>4461.7150683758855</v>
      </c>
      <c r="H565" s="785">
        <f t="shared" si="154"/>
        <v>81237.828236351575</v>
      </c>
      <c r="I565" s="785">
        <f t="shared" si="154"/>
        <v>20864.171207224947</v>
      </c>
      <c r="J565" s="369">
        <f t="shared" si="154"/>
        <v>0</v>
      </c>
      <c r="K565" s="25">
        <f t="shared" si="150"/>
        <v>3729336.7026558518</v>
      </c>
      <c r="L565" s="260">
        <v>208</v>
      </c>
      <c r="M565" s="785">
        <f t="shared" si="151"/>
        <v>17929.503378153135</v>
      </c>
      <c r="N565" s="685">
        <v>23012</v>
      </c>
      <c r="O565" s="685"/>
      <c r="P565" s="40" t="s">
        <v>679</v>
      </c>
      <c r="Q565" s="191">
        <v>40907</v>
      </c>
      <c r="R565" s="801"/>
      <c r="S565" s="310">
        <f>L565</f>
        <v>208</v>
      </c>
      <c r="T565" s="832">
        <v>16631</v>
      </c>
      <c r="U565" s="25">
        <f t="shared" si="152"/>
        <v>3459248</v>
      </c>
      <c r="V565" s="460"/>
      <c r="W565" s="800"/>
      <c r="X565" s="834"/>
      <c r="Y565" s="832"/>
      <c r="Z565" s="25">
        <f t="shared" si="153"/>
        <v>0</v>
      </c>
    </row>
    <row r="566" spans="1:26" ht="16.5" customHeight="1">
      <c r="A566" s="784">
        <f t="shared" si="148"/>
        <v>210</v>
      </c>
      <c r="B566" s="192" t="s">
        <v>1412</v>
      </c>
      <c r="C566" s="25">
        <f t="shared" si="149"/>
        <v>8620</v>
      </c>
      <c r="D566" s="785">
        <f t="shared" si="154"/>
        <v>393.34765767115374</v>
      </c>
      <c r="E566" s="785">
        <f t="shared" si="154"/>
        <v>124.46765253493697</v>
      </c>
      <c r="F566" s="785">
        <f t="shared" si="154"/>
        <v>268.36732510111926</v>
      </c>
      <c r="G566" s="785">
        <f t="shared" si="154"/>
        <v>21.450553213345604</v>
      </c>
      <c r="H566" s="785">
        <f t="shared" si="154"/>
        <v>390.56648190553642</v>
      </c>
      <c r="I566" s="785">
        <f t="shared" si="154"/>
        <v>100.3085154193507</v>
      </c>
      <c r="J566" s="369">
        <f t="shared" si="154"/>
        <v>0</v>
      </c>
      <c r="K566" s="25">
        <f t="shared" si="150"/>
        <v>9917.5081858454432</v>
      </c>
      <c r="L566" s="260">
        <v>1</v>
      </c>
      <c r="M566" s="785">
        <f t="shared" si="151"/>
        <v>9917.5081858454432</v>
      </c>
      <c r="N566" s="685">
        <v>10643</v>
      </c>
      <c r="O566" s="685"/>
      <c r="P566" s="189" t="s">
        <v>530</v>
      </c>
      <c r="Q566" s="191">
        <v>40907</v>
      </c>
      <c r="R566" s="801"/>
      <c r="S566" s="310">
        <f>L566</f>
        <v>1</v>
      </c>
      <c r="T566" s="832">
        <v>8620</v>
      </c>
      <c r="U566" s="25">
        <f t="shared" si="152"/>
        <v>8620</v>
      </c>
      <c r="V566" s="460"/>
      <c r="W566" s="800"/>
      <c r="X566" s="834"/>
      <c r="Y566" s="832"/>
      <c r="Z566" s="25">
        <f t="shared" si="153"/>
        <v>0</v>
      </c>
    </row>
    <row r="567" spans="1:26" ht="16.5" customHeight="1">
      <c r="A567" s="784">
        <f t="shared" si="148"/>
        <v>211</v>
      </c>
      <c r="B567" s="192" t="s">
        <v>1413</v>
      </c>
      <c r="C567" s="25">
        <f t="shared" si="149"/>
        <v>131512</v>
      </c>
      <c r="D567" s="785">
        <f t="shared" si="154"/>
        <v>4720.1718920538451</v>
      </c>
      <c r="E567" s="785">
        <f t="shared" si="154"/>
        <v>1493.6118304192437</v>
      </c>
      <c r="F567" s="785">
        <f t="shared" si="154"/>
        <v>3220.4079012134312</v>
      </c>
      <c r="G567" s="785">
        <f t="shared" si="154"/>
        <v>257.40663856014726</v>
      </c>
      <c r="H567" s="785">
        <f t="shared" si="154"/>
        <v>4686.797782866437</v>
      </c>
      <c r="I567" s="785">
        <f t="shared" si="154"/>
        <v>1203.7021850322085</v>
      </c>
      <c r="J567" s="369">
        <f t="shared" si="154"/>
        <v>0</v>
      </c>
      <c r="K567" s="25">
        <f t="shared" si="150"/>
        <v>147093.09823014532</v>
      </c>
      <c r="L567" s="260">
        <v>12</v>
      </c>
      <c r="M567" s="785">
        <f t="shared" si="151"/>
        <v>12257.758185845443</v>
      </c>
      <c r="N567" s="685">
        <v>14530</v>
      </c>
      <c r="O567" s="685"/>
      <c r="P567" s="40" t="s">
        <v>668</v>
      </c>
      <c r="Q567" s="191">
        <v>40907</v>
      </c>
      <c r="R567" s="801"/>
      <c r="S567" s="310">
        <v>4</v>
      </c>
      <c r="T567" s="832">
        <v>32878</v>
      </c>
      <c r="U567" s="25">
        <f t="shared" si="152"/>
        <v>131512</v>
      </c>
      <c r="V567" s="460"/>
      <c r="W567" s="800"/>
      <c r="X567" s="834"/>
      <c r="Y567" s="832"/>
      <c r="Z567" s="25">
        <f t="shared" si="153"/>
        <v>0</v>
      </c>
    </row>
    <row r="568" spans="1:26" ht="16.5" customHeight="1">
      <c r="A568" s="784">
        <f t="shared" si="148"/>
        <v>212</v>
      </c>
      <c r="B568" s="192" t="s">
        <v>956</v>
      </c>
      <c r="C568" s="25">
        <f t="shared" si="149"/>
        <v>905814</v>
      </c>
      <c r="D568" s="785">
        <f t="shared" si="154"/>
        <v>35794.636848074988</v>
      </c>
      <c r="E568" s="785">
        <f t="shared" si="154"/>
        <v>11326.556380679265</v>
      </c>
      <c r="F568" s="785">
        <f t="shared" si="154"/>
        <v>24421.426584201854</v>
      </c>
      <c r="G568" s="785">
        <f t="shared" si="154"/>
        <v>1952.00034241445</v>
      </c>
      <c r="H568" s="785">
        <f t="shared" si="154"/>
        <v>35541.549853403812</v>
      </c>
      <c r="I568" s="785">
        <f t="shared" si="154"/>
        <v>9128.0749031609139</v>
      </c>
      <c r="J568" s="369">
        <f t="shared" si="154"/>
        <v>0</v>
      </c>
      <c r="K568" s="25">
        <f t="shared" si="150"/>
        <v>1023977.2449119353</v>
      </c>
      <c r="L568" s="260">
        <v>91</v>
      </c>
      <c r="M568" s="785">
        <f t="shared" si="151"/>
        <v>11252.497196834454</v>
      </c>
      <c r="N568" s="685">
        <v>11840</v>
      </c>
      <c r="O568" s="685"/>
      <c r="P568" s="189" t="s">
        <v>653</v>
      </c>
      <c r="Q568" s="191">
        <v>40907</v>
      </c>
      <c r="R568" s="801"/>
      <c r="S568" s="310">
        <f>L568</f>
        <v>91</v>
      </c>
      <c r="T568" s="832">
        <v>9954</v>
      </c>
      <c r="U568" s="25">
        <f t="shared" si="152"/>
        <v>905814</v>
      </c>
      <c r="V568" s="460"/>
      <c r="W568" s="800"/>
      <c r="X568" s="834"/>
      <c r="Y568" s="832"/>
      <c r="Z568" s="25">
        <f t="shared" si="153"/>
        <v>0</v>
      </c>
    </row>
    <row r="569" spans="1:26" ht="16.5" customHeight="1">
      <c r="A569" s="784">
        <f t="shared" si="148"/>
        <v>213</v>
      </c>
      <c r="B569" s="192" t="s">
        <v>1414</v>
      </c>
      <c r="C569" s="25">
        <f t="shared" si="149"/>
        <v>537516</v>
      </c>
      <c r="D569" s="785">
        <f t="shared" si="154"/>
        <v>448416.32974511525</v>
      </c>
      <c r="E569" s="785">
        <f t="shared" si="154"/>
        <v>141893.12388982816</v>
      </c>
      <c r="F569" s="785">
        <f t="shared" si="154"/>
        <v>305938.75061527599</v>
      </c>
      <c r="G569" s="785">
        <f t="shared" si="154"/>
        <v>24453.630663213989</v>
      </c>
      <c r="H569" s="785">
        <f t="shared" si="154"/>
        <v>445245.7893723115</v>
      </c>
      <c r="I569" s="785">
        <f t="shared" si="154"/>
        <v>114351.7075780598</v>
      </c>
      <c r="J569" s="369">
        <f t="shared" si="154"/>
        <v>0</v>
      </c>
      <c r="K569" s="25">
        <f t="shared" si="150"/>
        <v>2017814.3318638045</v>
      </c>
      <c r="L569" s="260">
        <v>1140</v>
      </c>
      <c r="M569" s="785">
        <f t="shared" si="151"/>
        <v>1770.0125718103548</v>
      </c>
      <c r="N569" s="685">
        <v>1310</v>
      </c>
      <c r="O569" s="685"/>
      <c r="P569" s="189" t="s">
        <v>653</v>
      </c>
      <c r="Q569" s="191">
        <v>40907</v>
      </c>
      <c r="R569" s="801"/>
      <c r="S569" s="310">
        <v>54</v>
      </c>
      <c r="T569" s="832">
        <v>9954</v>
      </c>
      <c r="U569" s="25">
        <f t="shared" si="152"/>
        <v>537516</v>
      </c>
      <c r="V569" s="460"/>
      <c r="W569" s="800"/>
      <c r="X569" s="834"/>
      <c r="Y569" s="832"/>
      <c r="Z569" s="25">
        <f t="shared" si="153"/>
        <v>0</v>
      </c>
    </row>
    <row r="570" spans="1:26" ht="16.5" customHeight="1">
      <c r="A570" s="784">
        <f t="shared" si="148"/>
        <v>214</v>
      </c>
      <c r="B570" s="192" t="s">
        <v>1405</v>
      </c>
      <c r="C570" s="25">
        <f t="shared" si="149"/>
        <v>537516</v>
      </c>
      <c r="D570" s="785">
        <f t="shared" si="154"/>
        <v>448416.32974511525</v>
      </c>
      <c r="E570" s="785">
        <f t="shared" si="154"/>
        <v>141893.12388982816</v>
      </c>
      <c r="F570" s="785">
        <f t="shared" si="154"/>
        <v>305938.75061527599</v>
      </c>
      <c r="G570" s="785">
        <f t="shared" si="154"/>
        <v>24453.630663213989</v>
      </c>
      <c r="H570" s="785">
        <f t="shared" si="154"/>
        <v>445245.7893723115</v>
      </c>
      <c r="I570" s="785">
        <f t="shared" si="154"/>
        <v>114351.7075780598</v>
      </c>
      <c r="J570" s="369">
        <f t="shared" si="154"/>
        <v>0</v>
      </c>
      <c r="K570" s="25">
        <f t="shared" si="150"/>
        <v>2017814.3318638045</v>
      </c>
      <c r="L570" s="260">
        <v>1140</v>
      </c>
      <c r="M570" s="785">
        <f t="shared" si="151"/>
        <v>1770.0125718103548</v>
      </c>
      <c r="N570" s="685">
        <v>1556</v>
      </c>
      <c r="O570" s="685"/>
      <c r="P570" s="189" t="s">
        <v>653</v>
      </c>
      <c r="Q570" s="191">
        <v>40907</v>
      </c>
      <c r="R570" s="801"/>
      <c r="S570" s="310">
        <v>54</v>
      </c>
      <c r="T570" s="832">
        <v>9954</v>
      </c>
      <c r="U570" s="25">
        <f t="shared" si="152"/>
        <v>537516</v>
      </c>
      <c r="V570" s="460"/>
      <c r="W570" s="800"/>
      <c r="X570" s="834"/>
      <c r="Y570" s="832"/>
      <c r="Z570" s="25">
        <f t="shared" si="153"/>
        <v>0</v>
      </c>
    </row>
    <row r="571" spans="1:26" ht="16.5" customHeight="1">
      <c r="A571" s="784">
        <f t="shared" si="148"/>
        <v>215</v>
      </c>
      <c r="B571" s="192" t="s">
        <v>1383</v>
      </c>
      <c r="C571" s="25">
        <f t="shared" si="149"/>
        <v>17427</v>
      </c>
      <c r="D571" s="785">
        <f t="shared" si="154"/>
        <v>393.34765767115374</v>
      </c>
      <c r="E571" s="785">
        <f t="shared" si="154"/>
        <v>124.46765253493697</v>
      </c>
      <c r="F571" s="785">
        <f t="shared" si="154"/>
        <v>268.36732510111926</v>
      </c>
      <c r="G571" s="785">
        <f t="shared" si="154"/>
        <v>21.450553213345604</v>
      </c>
      <c r="H571" s="785">
        <f t="shared" si="154"/>
        <v>390.56648190553642</v>
      </c>
      <c r="I571" s="785">
        <f t="shared" si="154"/>
        <v>100.3085154193507</v>
      </c>
      <c r="J571" s="369">
        <f t="shared" si="154"/>
        <v>0</v>
      </c>
      <c r="K571" s="25">
        <f t="shared" si="150"/>
        <v>18724.508185845447</v>
      </c>
      <c r="L571" s="260">
        <v>1</v>
      </c>
      <c r="M571" s="785">
        <f t="shared" si="151"/>
        <v>18724.508185845447</v>
      </c>
      <c r="N571" s="685">
        <v>18928</v>
      </c>
      <c r="O571" s="685"/>
      <c r="P571" s="189" t="s">
        <v>513</v>
      </c>
      <c r="Q571" s="191">
        <v>40907</v>
      </c>
      <c r="R571" s="801"/>
      <c r="S571" s="310">
        <f t="shared" ref="S571:S578" si="155">L571</f>
        <v>1</v>
      </c>
      <c r="T571" s="832">
        <v>17427</v>
      </c>
      <c r="U571" s="25">
        <f t="shared" si="152"/>
        <v>17427</v>
      </c>
      <c r="V571" s="460"/>
      <c r="W571" s="800"/>
      <c r="X571" s="834"/>
      <c r="Y571" s="832"/>
      <c r="Z571" s="25">
        <f t="shared" si="153"/>
        <v>0</v>
      </c>
    </row>
    <row r="572" spans="1:26" ht="16.5" customHeight="1">
      <c r="A572" s="784">
        <f t="shared" si="148"/>
        <v>216</v>
      </c>
      <c r="B572" s="192" t="s">
        <v>1415</v>
      </c>
      <c r="C572" s="25">
        <f t="shared" si="149"/>
        <v>108101</v>
      </c>
      <c r="D572" s="785">
        <f t="shared" si="154"/>
        <v>2753.4336036980762</v>
      </c>
      <c r="E572" s="785">
        <f t="shared" si="154"/>
        <v>871.27356774455882</v>
      </c>
      <c r="F572" s="785">
        <f t="shared" si="154"/>
        <v>1878.571275707835</v>
      </c>
      <c r="G572" s="785">
        <f t="shared" si="154"/>
        <v>150.15387249341921</v>
      </c>
      <c r="H572" s="785">
        <f t="shared" si="154"/>
        <v>2733.9653733387549</v>
      </c>
      <c r="I572" s="785">
        <f t="shared" si="154"/>
        <v>702.15960793545491</v>
      </c>
      <c r="J572" s="369">
        <f t="shared" si="154"/>
        <v>0</v>
      </c>
      <c r="K572" s="25">
        <f t="shared" si="150"/>
        <v>117189.5573009181</v>
      </c>
      <c r="L572" s="260">
        <v>7</v>
      </c>
      <c r="M572" s="785">
        <f t="shared" si="151"/>
        <v>16741.365328702585</v>
      </c>
      <c r="N572" s="685">
        <v>17667</v>
      </c>
      <c r="O572" s="685"/>
      <c r="P572" s="40" t="s">
        <v>673</v>
      </c>
      <c r="Q572" s="191">
        <v>40907</v>
      </c>
      <c r="R572" s="801"/>
      <c r="S572" s="310">
        <f t="shared" si="155"/>
        <v>7</v>
      </c>
      <c r="T572" s="832">
        <v>15443</v>
      </c>
      <c r="U572" s="25">
        <f t="shared" si="152"/>
        <v>108101</v>
      </c>
      <c r="V572" s="460"/>
      <c r="W572" s="800"/>
      <c r="X572" s="834"/>
      <c r="Y572" s="832"/>
      <c r="Z572" s="25">
        <f t="shared" si="153"/>
        <v>0</v>
      </c>
    </row>
    <row r="573" spans="1:26" ht="16.5" customHeight="1">
      <c r="A573" s="784">
        <f t="shared" si="148"/>
        <v>217</v>
      </c>
      <c r="B573" s="192" t="s">
        <v>1388</v>
      </c>
      <c r="C573" s="25">
        <f t="shared" si="149"/>
        <v>405560</v>
      </c>
      <c r="D573" s="785">
        <f t="shared" si="154"/>
        <v>7866.9531534230746</v>
      </c>
      <c r="E573" s="785">
        <f t="shared" si="154"/>
        <v>2489.3530506987395</v>
      </c>
      <c r="F573" s="785">
        <f t="shared" si="154"/>
        <v>5367.3465020223848</v>
      </c>
      <c r="G573" s="785">
        <f t="shared" si="154"/>
        <v>429.01106426691206</v>
      </c>
      <c r="H573" s="785">
        <f t="shared" si="154"/>
        <v>7811.3296381107284</v>
      </c>
      <c r="I573" s="785">
        <f t="shared" si="154"/>
        <v>2006.1703083870138</v>
      </c>
      <c r="J573" s="369">
        <f t="shared" si="154"/>
        <v>0</v>
      </c>
      <c r="K573" s="25">
        <f t="shared" si="150"/>
        <v>431529.16371690889</v>
      </c>
      <c r="L573" s="260">
        <v>20</v>
      </c>
      <c r="M573" s="785">
        <f t="shared" si="151"/>
        <v>21576.458185845444</v>
      </c>
      <c r="N573" s="685">
        <v>23117</v>
      </c>
      <c r="O573" s="685"/>
      <c r="P573" s="40" t="s">
        <v>665</v>
      </c>
      <c r="Q573" s="191">
        <v>40907</v>
      </c>
      <c r="R573" s="801"/>
      <c r="S573" s="310">
        <f t="shared" si="155"/>
        <v>20</v>
      </c>
      <c r="T573" s="832">
        <v>20278</v>
      </c>
      <c r="U573" s="25">
        <f t="shared" si="152"/>
        <v>405560</v>
      </c>
      <c r="V573" s="460"/>
      <c r="W573" s="800"/>
      <c r="X573" s="834"/>
      <c r="Y573" s="832"/>
      <c r="Z573" s="25">
        <f t="shared" si="153"/>
        <v>0</v>
      </c>
    </row>
    <row r="574" spans="1:26" ht="16.5" customHeight="1">
      <c r="A574" s="784">
        <f t="shared" si="148"/>
        <v>218</v>
      </c>
      <c r="B574" s="192" t="s">
        <v>1416</v>
      </c>
      <c r="C574" s="25">
        <f t="shared" si="149"/>
        <v>173740</v>
      </c>
      <c r="D574" s="785">
        <f t="shared" si="154"/>
        <v>3933.4765767115373</v>
      </c>
      <c r="E574" s="785">
        <f t="shared" si="154"/>
        <v>1244.6765253493697</v>
      </c>
      <c r="F574" s="785">
        <f t="shared" si="154"/>
        <v>2683.6732510111924</v>
      </c>
      <c r="G574" s="785">
        <f t="shared" si="154"/>
        <v>214.50553213345603</v>
      </c>
      <c r="H574" s="785">
        <f t="shared" si="154"/>
        <v>3905.6648190553642</v>
      </c>
      <c r="I574" s="785">
        <f t="shared" si="154"/>
        <v>1003.0851541935069</v>
      </c>
      <c r="J574" s="369">
        <f t="shared" si="154"/>
        <v>0</v>
      </c>
      <c r="K574" s="25">
        <f t="shared" si="150"/>
        <v>186724.08185845445</v>
      </c>
      <c r="L574" s="260">
        <v>10</v>
      </c>
      <c r="M574" s="785">
        <f t="shared" si="151"/>
        <v>18672.408185845445</v>
      </c>
      <c r="N574" s="685">
        <v>19203</v>
      </c>
      <c r="O574" s="685"/>
      <c r="P574" s="40" t="s">
        <v>621</v>
      </c>
      <c r="Q574" s="191">
        <v>40907</v>
      </c>
      <c r="R574" s="801"/>
      <c r="S574" s="310">
        <f t="shared" si="155"/>
        <v>10</v>
      </c>
      <c r="T574" s="298">
        <v>17374</v>
      </c>
      <c r="U574" s="25">
        <f t="shared" si="152"/>
        <v>173740</v>
      </c>
      <c r="V574" s="460"/>
      <c r="W574" s="800"/>
      <c r="X574" s="834"/>
      <c r="Y574" s="832"/>
      <c r="Z574" s="25">
        <f t="shared" si="153"/>
        <v>0</v>
      </c>
    </row>
    <row r="575" spans="1:26" ht="16.5" customHeight="1">
      <c r="A575" s="784">
        <f t="shared" si="148"/>
        <v>219</v>
      </c>
      <c r="B575" s="192" t="s">
        <v>1334</v>
      </c>
      <c r="C575" s="25">
        <f t="shared" si="149"/>
        <v>30886</v>
      </c>
      <c r="D575" s="785">
        <f t="shared" si="154"/>
        <v>786.69531534230748</v>
      </c>
      <c r="E575" s="785">
        <f t="shared" si="154"/>
        <v>248.93530506987395</v>
      </c>
      <c r="F575" s="785">
        <f t="shared" si="154"/>
        <v>536.73465020223853</v>
      </c>
      <c r="G575" s="785">
        <f t="shared" si="154"/>
        <v>42.901106426691207</v>
      </c>
      <c r="H575" s="785">
        <f t="shared" si="154"/>
        <v>781.13296381107284</v>
      </c>
      <c r="I575" s="785">
        <f t="shared" si="154"/>
        <v>200.6170308387014</v>
      </c>
      <c r="J575" s="369">
        <f t="shared" si="154"/>
        <v>0</v>
      </c>
      <c r="K575" s="25">
        <f t="shared" si="150"/>
        <v>33482.016371690886</v>
      </c>
      <c r="L575" s="260">
        <v>2</v>
      </c>
      <c r="M575" s="785">
        <f t="shared" si="151"/>
        <v>16741.008185845443</v>
      </c>
      <c r="N575" s="685">
        <v>16215</v>
      </c>
      <c r="O575" s="685"/>
      <c r="P575" s="40" t="s">
        <v>673</v>
      </c>
      <c r="Q575" s="191">
        <v>40907</v>
      </c>
      <c r="R575" s="801"/>
      <c r="S575" s="310">
        <f t="shared" si="155"/>
        <v>2</v>
      </c>
      <c r="T575" s="832">
        <v>15443</v>
      </c>
      <c r="U575" s="25">
        <f t="shared" si="152"/>
        <v>30886</v>
      </c>
      <c r="V575" s="460"/>
      <c r="W575" s="800"/>
      <c r="X575" s="834"/>
      <c r="Y575" s="832"/>
      <c r="Z575" s="25">
        <f t="shared" si="153"/>
        <v>0</v>
      </c>
    </row>
    <row r="576" spans="1:26" ht="16.5" customHeight="1">
      <c r="A576" s="784">
        <f t="shared" si="148"/>
        <v>220</v>
      </c>
      <c r="B576" s="192" t="s">
        <v>1388</v>
      </c>
      <c r="C576" s="25">
        <f t="shared" si="149"/>
        <v>1796148</v>
      </c>
      <c r="D576" s="785">
        <f t="shared" si="154"/>
        <v>42481.547028484601</v>
      </c>
      <c r="E576" s="785">
        <f t="shared" si="154"/>
        <v>13442.506473773194</v>
      </c>
      <c r="F576" s="785">
        <f t="shared" si="154"/>
        <v>28983.671110920881</v>
      </c>
      <c r="G576" s="785">
        <f t="shared" si="154"/>
        <v>2316.6597470413253</v>
      </c>
      <c r="H576" s="785">
        <f t="shared" si="154"/>
        <v>42181.180045797933</v>
      </c>
      <c r="I576" s="785">
        <f t="shared" si="154"/>
        <v>10833.319665289875</v>
      </c>
      <c r="J576" s="369">
        <f t="shared" si="154"/>
        <v>0</v>
      </c>
      <c r="K576" s="25">
        <f t="shared" si="150"/>
        <v>1936385.8840713077</v>
      </c>
      <c r="L576" s="260">
        <v>108</v>
      </c>
      <c r="M576" s="785">
        <f t="shared" si="151"/>
        <v>17929.498926586184</v>
      </c>
      <c r="N576" s="685">
        <v>23012</v>
      </c>
      <c r="O576" s="685"/>
      <c r="P576" s="40" t="s">
        <v>679</v>
      </c>
      <c r="Q576" s="191">
        <v>40907</v>
      </c>
      <c r="R576" s="801"/>
      <c r="S576" s="310">
        <f t="shared" si="155"/>
        <v>108</v>
      </c>
      <c r="T576" s="832">
        <v>16631</v>
      </c>
      <c r="U576" s="25">
        <f t="shared" si="152"/>
        <v>1796148</v>
      </c>
      <c r="V576" s="460"/>
      <c r="W576" s="800"/>
      <c r="X576" s="834"/>
      <c r="Y576" s="832"/>
      <c r="Z576" s="25">
        <f t="shared" si="153"/>
        <v>0</v>
      </c>
    </row>
    <row r="577" spans="1:26" ht="16.5" customHeight="1">
      <c r="A577" s="784">
        <f t="shared" si="148"/>
        <v>221</v>
      </c>
      <c r="B577" s="192" t="s">
        <v>1415</v>
      </c>
      <c r="C577" s="25">
        <f t="shared" si="149"/>
        <v>30886</v>
      </c>
      <c r="D577" s="785">
        <f t="shared" si="154"/>
        <v>786.69531534230748</v>
      </c>
      <c r="E577" s="785">
        <f t="shared" si="154"/>
        <v>248.93530506987395</v>
      </c>
      <c r="F577" s="785">
        <f t="shared" si="154"/>
        <v>536.73465020223853</v>
      </c>
      <c r="G577" s="785">
        <f t="shared" si="154"/>
        <v>42.901106426691207</v>
      </c>
      <c r="H577" s="785">
        <f t="shared" si="154"/>
        <v>781.13296381107284</v>
      </c>
      <c r="I577" s="785">
        <f t="shared" si="154"/>
        <v>200.6170308387014</v>
      </c>
      <c r="J577" s="369">
        <f t="shared" si="154"/>
        <v>0</v>
      </c>
      <c r="K577" s="25">
        <f t="shared" si="150"/>
        <v>33482.016371690886</v>
      </c>
      <c r="L577" s="260">
        <v>2</v>
      </c>
      <c r="M577" s="785">
        <f t="shared" si="151"/>
        <v>16741.008185845443</v>
      </c>
      <c r="N577" s="685">
        <v>17667</v>
      </c>
      <c r="O577" s="685"/>
      <c r="P577" s="40" t="s">
        <v>673</v>
      </c>
      <c r="Q577" s="191">
        <v>40907</v>
      </c>
      <c r="R577" s="801"/>
      <c r="S577" s="310">
        <f t="shared" si="155"/>
        <v>2</v>
      </c>
      <c r="T577" s="832">
        <v>15443</v>
      </c>
      <c r="U577" s="25">
        <f t="shared" si="152"/>
        <v>30886</v>
      </c>
      <c r="V577" s="460"/>
      <c r="W577" s="800"/>
      <c r="X577" s="834"/>
      <c r="Y577" s="832"/>
      <c r="Z577" s="25">
        <f t="shared" si="153"/>
        <v>0</v>
      </c>
    </row>
    <row r="578" spans="1:26" ht="16.5" customHeight="1">
      <c r="A578" s="784">
        <f t="shared" si="148"/>
        <v>222</v>
      </c>
      <c r="B578" s="192" t="s">
        <v>1418</v>
      </c>
      <c r="C578" s="25">
        <f t="shared" si="149"/>
        <v>25860</v>
      </c>
      <c r="D578" s="785">
        <f t="shared" si="154"/>
        <v>1180.0429730134613</v>
      </c>
      <c r="E578" s="785">
        <f t="shared" si="154"/>
        <v>373.40295760481092</v>
      </c>
      <c r="F578" s="785">
        <f t="shared" si="154"/>
        <v>805.10197530335779</v>
      </c>
      <c r="G578" s="785">
        <f t="shared" si="154"/>
        <v>64.351659640036814</v>
      </c>
      <c r="H578" s="785">
        <f t="shared" si="154"/>
        <v>1171.6994457166093</v>
      </c>
      <c r="I578" s="785">
        <f t="shared" si="154"/>
        <v>300.92554625805212</v>
      </c>
      <c r="J578" s="369">
        <f t="shared" si="154"/>
        <v>0</v>
      </c>
      <c r="K578" s="25">
        <f t="shared" si="150"/>
        <v>29754.524557536326</v>
      </c>
      <c r="L578" s="260">
        <v>3</v>
      </c>
      <c r="M578" s="785">
        <f t="shared" si="151"/>
        <v>9918.1748525121093</v>
      </c>
      <c r="N578" s="685">
        <v>10778</v>
      </c>
      <c r="O578" s="685"/>
      <c r="P578" s="189" t="s">
        <v>530</v>
      </c>
      <c r="Q578" s="191">
        <v>40907</v>
      </c>
      <c r="R578" s="801"/>
      <c r="S578" s="310">
        <f t="shared" si="155"/>
        <v>3</v>
      </c>
      <c r="T578" s="832">
        <v>8620</v>
      </c>
      <c r="U578" s="25">
        <f t="shared" si="152"/>
        <v>25860</v>
      </c>
      <c r="V578" s="460"/>
      <c r="W578" s="800"/>
      <c r="X578" s="834"/>
      <c r="Y578" s="832"/>
      <c r="Z578" s="25">
        <f t="shared" si="153"/>
        <v>0</v>
      </c>
    </row>
    <row r="579" spans="1:26" ht="16.5" customHeight="1">
      <c r="A579" s="784">
        <f t="shared" si="148"/>
        <v>223</v>
      </c>
      <c r="B579" s="192" t="s">
        <v>1419</v>
      </c>
      <c r="C579" s="25">
        <f t="shared" si="149"/>
        <v>27908</v>
      </c>
      <c r="D579" s="785">
        <f t="shared" si="154"/>
        <v>786.69531534230748</v>
      </c>
      <c r="E579" s="785">
        <f t="shared" si="154"/>
        <v>248.93530506987395</v>
      </c>
      <c r="F579" s="785">
        <f t="shared" si="154"/>
        <v>536.73465020223853</v>
      </c>
      <c r="G579" s="785">
        <f t="shared" si="154"/>
        <v>42.901106426691207</v>
      </c>
      <c r="H579" s="785">
        <f t="shared" si="154"/>
        <v>781.13296381107284</v>
      </c>
      <c r="I579" s="785">
        <f t="shared" si="154"/>
        <v>200.6170308387014</v>
      </c>
      <c r="J579" s="369">
        <f t="shared" si="154"/>
        <v>0</v>
      </c>
      <c r="K579" s="25">
        <f t="shared" si="150"/>
        <v>30504.016371690886</v>
      </c>
      <c r="L579" s="260">
        <v>2</v>
      </c>
      <c r="M579" s="785">
        <f t="shared" si="151"/>
        <v>15252.008185845443</v>
      </c>
      <c r="N579" s="685">
        <v>18002</v>
      </c>
      <c r="O579" s="685"/>
      <c r="P579" s="189" t="s">
        <v>572</v>
      </c>
      <c r="Q579" s="191">
        <v>40907</v>
      </c>
      <c r="R579" s="801"/>
      <c r="S579" s="310">
        <v>2</v>
      </c>
      <c r="T579" s="832">
        <v>13954</v>
      </c>
      <c r="U579" s="25">
        <f t="shared" si="152"/>
        <v>27908</v>
      </c>
      <c r="V579" s="460"/>
      <c r="W579" s="800"/>
      <c r="X579" s="834"/>
      <c r="Y579" s="832"/>
      <c r="Z579" s="25">
        <f t="shared" si="153"/>
        <v>0</v>
      </c>
    </row>
    <row r="580" spans="1:26" ht="16.5" customHeight="1">
      <c r="A580" s="784">
        <f t="shared" si="148"/>
        <v>224</v>
      </c>
      <c r="B580" s="192" t="s">
        <v>1333</v>
      </c>
      <c r="C580" s="25">
        <f t="shared" si="149"/>
        <v>34854</v>
      </c>
      <c r="D580" s="785">
        <f t="shared" si="154"/>
        <v>1573.390630684615</v>
      </c>
      <c r="E580" s="785">
        <f t="shared" si="154"/>
        <v>497.8706101397479</v>
      </c>
      <c r="F580" s="785">
        <f t="shared" si="154"/>
        <v>1073.4693004044771</v>
      </c>
      <c r="G580" s="785">
        <f t="shared" si="154"/>
        <v>85.802212853382414</v>
      </c>
      <c r="H580" s="785">
        <f t="shared" si="154"/>
        <v>1562.2659276221457</v>
      </c>
      <c r="I580" s="785">
        <f t="shared" si="154"/>
        <v>401.23406167740279</v>
      </c>
      <c r="J580" s="369">
        <f t="shared" si="154"/>
        <v>0</v>
      </c>
      <c r="K580" s="25">
        <f t="shared" si="150"/>
        <v>40047.032743381773</v>
      </c>
      <c r="L580" s="260">
        <v>4</v>
      </c>
      <c r="M580" s="785">
        <f t="shared" si="151"/>
        <v>10011.758185845443</v>
      </c>
      <c r="N580" s="685">
        <v>11987</v>
      </c>
      <c r="O580" s="685"/>
      <c r="P580" s="189" t="s">
        <v>513</v>
      </c>
      <c r="Q580" s="191">
        <v>40907</v>
      </c>
      <c r="R580" s="801"/>
      <c r="S580" s="310">
        <v>2</v>
      </c>
      <c r="T580" s="832">
        <v>17427</v>
      </c>
      <c r="U580" s="25">
        <f t="shared" si="152"/>
        <v>34854</v>
      </c>
      <c r="V580" s="460"/>
      <c r="W580" s="800"/>
      <c r="X580" s="834"/>
      <c r="Y580" s="832"/>
      <c r="Z580" s="25">
        <f t="shared" si="153"/>
        <v>0</v>
      </c>
    </row>
    <row r="581" spans="1:26" ht="16.5" customHeight="1">
      <c r="A581" s="784">
        <f t="shared" si="148"/>
        <v>225</v>
      </c>
      <c r="B581" s="192" t="s">
        <v>1336</v>
      </c>
      <c r="C581" s="25">
        <f t="shared" si="149"/>
        <v>26910</v>
      </c>
      <c r="D581" s="785">
        <f t="shared" si="154"/>
        <v>786.69531534230748</v>
      </c>
      <c r="E581" s="785">
        <f t="shared" si="154"/>
        <v>248.93530506987395</v>
      </c>
      <c r="F581" s="785">
        <f t="shared" si="154"/>
        <v>536.73465020223853</v>
      </c>
      <c r="G581" s="785">
        <f t="shared" si="154"/>
        <v>42.901106426691207</v>
      </c>
      <c r="H581" s="785">
        <f t="shared" si="154"/>
        <v>781.13296381107284</v>
      </c>
      <c r="I581" s="785">
        <f t="shared" si="154"/>
        <v>200.6170308387014</v>
      </c>
      <c r="J581" s="369">
        <f t="shared" si="154"/>
        <v>0</v>
      </c>
      <c r="K581" s="25">
        <f t="shared" si="150"/>
        <v>29506.016371690886</v>
      </c>
      <c r="L581" s="260">
        <v>2</v>
      </c>
      <c r="M581" s="785">
        <f t="shared" si="151"/>
        <v>14753.008185845443</v>
      </c>
      <c r="N581" s="685">
        <v>14798</v>
      </c>
      <c r="O581" s="685"/>
      <c r="P581" s="40" t="s">
        <v>678</v>
      </c>
      <c r="Q581" s="191">
        <v>40907</v>
      </c>
      <c r="R581" s="801"/>
      <c r="S581" s="310">
        <f t="shared" ref="S581:S587" si="156">L581</f>
        <v>2</v>
      </c>
      <c r="T581" s="832">
        <v>13455</v>
      </c>
      <c r="U581" s="25">
        <f t="shared" si="152"/>
        <v>26910</v>
      </c>
      <c r="V581" s="460"/>
      <c r="W581" s="800"/>
      <c r="X581" s="834"/>
      <c r="Y581" s="832"/>
      <c r="Z581" s="25">
        <f t="shared" si="153"/>
        <v>0</v>
      </c>
    </row>
    <row r="582" spans="1:26" ht="16.5" customHeight="1">
      <c r="A582" s="784">
        <f t="shared" si="148"/>
        <v>226</v>
      </c>
      <c r="B582" s="192" t="s">
        <v>1420</v>
      </c>
      <c r="C582" s="25">
        <f t="shared" si="149"/>
        <v>13455</v>
      </c>
      <c r="D582" s="785">
        <f t="shared" si="154"/>
        <v>393.34765767115374</v>
      </c>
      <c r="E582" s="785">
        <f t="shared" si="154"/>
        <v>124.46765253493697</v>
      </c>
      <c r="F582" s="785">
        <f t="shared" si="154"/>
        <v>268.36732510111926</v>
      </c>
      <c r="G582" s="785">
        <f t="shared" si="154"/>
        <v>21.450553213345604</v>
      </c>
      <c r="H582" s="785">
        <f t="shared" si="154"/>
        <v>390.56648190553642</v>
      </c>
      <c r="I582" s="785">
        <f t="shared" si="154"/>
        <v>100.3085154193507</v>
      </c>
      <c r="J582" s="369">
        <f t="shared" si="154"/>
        <v>0</v>
      </c>
      <c r="K582" s="25">
        <f t="shared" si="150"/>
        <v>14752.508185845443</v>
      </c>
      <c r="L582" s="260">
        <v>1</v>
      </c>
      <c r="M582" s="785">
        <f t="shared" si="151"/>
        <v>14752.508185845443</v>
      </c>
      <c r="N582" s="685">
        <v>13310</v>
      </c>
      <c r="O582" s="685"/>
      <c r="P582" s="40" t="s">
        <v>678</v>
      </c>
      <c r="Q582" s="191">
        <v>40907</v>
      </c>
      <c r="R582" s="801"/>
      <c r="S582" s="310">
        <f t="shared" si="156"/>
        <v>1</v>
      </c>
      <c r="T582" s="832">
        <v>13455</v>
      </c>
      <c r="U582" s="25">
        <f t="shared" si="152"/>
        <v>13455</v>
      </c>
      <c r="V582" s="460"/>
      <c r="W582" s="800"/>
      <c r="X582" s="834"/>
      <c r="Y582" s="832"/>
      <c r="Z582" s="25">
        <f t="shared" si="153"/>
        <v>0</v>
      </c>
    </row>
    <row r="583" spans="1:26" ht="16.5" customHeight="1">
      <c r="A583" s="784">
        <f t="shared" si="148"/>
        <v>227</v>
      </c>
      <c r="B583" s="192" t="s">
        <v>1411</v>
      </c>
      <c r="C583" s="25">
        <f t="shared" si="149"/>
        <v>15443</v>
      </c>
      <c r="D583" s="785">
        <f t="shared" si="154"/>
        <v>393.34765767115374</v>
      </c>
      <c r="E583" s="785">
        <f t="shared" si="154"/>
        <v>124.46765253493697</v>
      </c>
      <c r="F583" s="785">
        <f t="shared" si="154"/>
        <v>268.36732510111926</v>
      </c>
      <c r="G583" s="785">
        <f t="shared" si="154"/>
        <v>21.450553213345604</v>
      </c>
      <c r="H583" s="785">
        <f t="shared" si="154"/>
        <v>390.56648190553642</v>
      </c>
      <c r="I583" s="785">
        <f t="shared" si="154"/>
        <v>100.3085154193507</v>
      </c>
      <c r="J583" s="369">
        <f t="shared" si="154"/>
        <v>0</v>
      </c>
      <c r="K583" s="25">
        <f t="shared" si="150"/>
        <v>16740.508185845443</v>
      </c>
      <c r="L583" s="260">
        <v>1</v>
      </c>
      <c r="M583" s="785">
        <f t="shared" si="151"/>
        <v>16740.508185845443</v>
      </c>
      <c r="N583" s="685">
        <v>17216</v>
      </c>
      <c r="O583" s="685"/>
      <c r="P583" s="40" t="s">
        <v>673</v>
      </c>
      <c r="Q583" s="191">
        <v>40907</v>
      </c>
      <c r="R583" s="801"/>
      <c r="S583" s="310">
        <f t="shared" si="156"/>
        <v>1</v>
      </c>
      <c r="T583" s="832">
        <v>15443</v>
      </c>
      <c r="U583" s="25">
        <f t="shared" si="152"/>
        <v>15443</v>
      </c>
      <c r="V583" s="460"/>
      <c r="W583" s="800"/>
      <c r="X583" s="834"/>
      <c r="Y583" s="832"/>
      <c r="Z583" s="25">
        <f t="shared" si="153"/>
        <v>0</v>
      </c>
    </row>
    <row r="584" spans="1:26" ht="16.5" customHeight="1">
      <c r="A584" s="784">
        <f t="shared" si="148"/>
        <v>228</v>
      </c>
      <c r="B584" s="192" t="s">
        <v>1421</v>
      </c>
      <c r="C584" s="25">
        <f t="shared" si="149"/>
        <v>26910</v>
      </c>
      <c r="D584" s="785">
        <f t="shared" si="154"/>
        <v>786.69531534230748</v>
      </c>
      <c r="E584" s="785">
        <f t="shared" si="154"/>
        <v>248.93530506987395</v>
      </c>
      <c r="F584" s="785">
        <f t="shared" si="154"/>
        <v>536.73465020223853</v>
      </c>
      <c r="G584" s="785">
        <f t="shared" si="154"/>
        <v>42.901106426691207</v>
      </c>
      <c r="H584" s="785">
        <f t="shared" si="154"/>
        <v>781.13296381107284</v>
      </c>
      <c r="I584" s="785">
        <f t="shared" si="154"/>
        <v>200.6170308387014</v>
      </c>
      <c r="J584" s="369">
        <f t="shared" si="154"/>
        <v>0</v>
      </c>
      <c r="K584" s="25">
        <f t="shared" si="150"/>
        <v>29506.016371690886</v>
      </c>
      <c r="L584" s="260">
        <v>2</v>
      </c>
      <c r="M584" s="785">
        <f t="shared" si="151"/>
        <v>14753.008185845443</v>
      </c>
      <c r="N584" s="685">
        <v>15261</v>
      </c>
      <c r="O584" s="685"/>
      <c r="P584" s="40" t="s">
        <v>678</v>
      </c>
      <c r="Q584" s="191">
        <v>40907</v>
      </c>
      <c r="R584" s="801"/>
      <c r="S584" s="310">
        <f t="shared" si="156"/>
        <v>2</v>
      </c>
      <c r="T584" s="832">
        <v>13455</v>
      </c>
      <c r="U584" s="25">
        <f t="shared" si="152"/>
        <v>26910</v>
      </c>
      <c r="V584" s="460"/>
      <c r="W584" s="800"/>
      <c r="X584" s="834"/>
      <c r="Y584" s="832"/>
      <c r="Z584" s="25">
        <f t="shared" si="153"/>
        <v>0</v>
      </c>
    </row>
    <row r="585" spans="1:26" ht="16.5" customHeight="1">
      <c r="A585" s="784">
        <f t="shared" si="148"/>
        <v>229</v>
      </c>
      <c r="B585" s="192" t="s">
        <v>767</v>
      </c>
      <c r="C585" s="25">
        <f t="shared" si="149"/>
        <v>13455</v>
      </c>
      <c r="D585" s="785">
        <f t="shared" si="154"/>
        <v>393.34765767115374</v>
      </c>
      <c r="E585" s="785">
        <f t="shared" si="154"/>
        <v>124.46765253493697</v>
      </c>
      <c r="F585" s="785">
        <f t="shared" si="154"/>
        <v>268.36732510111926</v>
      </c>
      <c r="G585" s="785">
        <f t="shared" si="154"/>
        <v>21.450553213345604</v>
      </c>
      <c r="H585" s="785">
        <f t="shared" si="154"/>
        <v>390.56648190553642</v>
      </c>
      <c r="I585" s="785">
        <f t="shared" si="154"/>
        <v>100.3085154193507</v>
      </c>
      <c r="J585" s="369">
        <f t="shared" si="154"/>
        <v>0</v>
      </c>
      <c r="K585" s="25">
        <f t="shared" si="150"/>
        <v>14752.508185845443</v>
      </c>
      <c r="L585" s="260">
        <v>1</v>
      </c>
      <c r="M585" s="785">
        <f t="shared" si="151"/>
        <v>14752.508185845443</v>
      </c>
      <c r="N585" s="685">
        <v>14462</v>
      </c>
      <c r="O585" s="685"/>
      <c r="P585" s="40" t="s">
        <v>678</v>
      </c>
      <c r="Q585" s="191">
        <v>40907</v>
      </c>
      <c r="R585" s="801"/>
      <c r="S585" s="310">
        <f t="shared" si="156"/>
        <v>1</v>
      </c>
      <c r="T585" s="832">
        <v>13455</v>
      </c>
      <c r="U585" s="25">
        <f t="shared" si="152"/>
        <v>13455</v>
      </c>
      <c r="V585" s="460"/>
      <c r="W585" s="800"/>
      <c r="X585" s="834"/>
      <c r="Y585" s="832"/>
      <c r="Z585" s="25">
        <f t="shared" si="153"/>
        <v>0</v>
      </c>
    </row>
    <row r="586" spans="1:26" ht="16.5" customHeight="1">
      <c r="A586" s="784">
        <f t="shared" si="148"/>
        <v>230</v>
      </c>
      <c r="B586" s="192" t="s">
        <v>1422</v>
      </c>
      <c r="C586" s="25">
        <f t="shared" si="149"/>
        <v>15443</v>
      </c>
      <c r="D586" s="785">
        <f t="shared" si="154"/>
        <v>393.34765767115374</v>
      </c>
      <c r="E586" s="785">
        <f t="shared" si="154"/>
        <v>124.46765253493697</v>
      </c>
      <c r="F586" s="785">
        <f t="shared" si="154"/>
        <v>268.36732510111926</v>
      </c>
      <c r="G586" s="785">
        <f t="shared" si="154"/>
        <v>21.450553213345604</v>
      </c>
      <c r="H586" s="785">
        <f t="shared" si="154"/>
        <v>390.56648190553642</v>
      </c>
      <c r="I586" s="785">
        <f t="shared" si="154"/>
        <v>100.3085154193507</v>
      </c>
      <c r="J586" s="369">
        <f t="shared" si="154"/>
        <v>0</v>
      </c>
      <c r="K586" s="25">
        <f t="shared" si="150"/>
        <v>16740.508185845443</v>
      </c>
      <c r="L586" s="260">
        <v>1</v>
      </c>
      <c r="M586" s="785">
        <f t="shared" si="151"/>
        <v>16740.508185845443</v>
      </c>
      <c r="N586" s="685">
        <v>16025</v>
      </c>
      <c r="O586" s="685"/>
      <c r="P586" s="40" t="s">
        <v>673</v>
      </c>
      <c r="Q586" s="191">
        <v>40907</v>
      </c>
      <c r="R586" s="801"/>
      <c r="S586" s="310">
        <f t="shared" si="156"/>
        <v>1</v>
      </c>
      <c r="T586" s="832">
        <v>15443</v>
      </c>
      <c r="U586" s="25">
        <f t="shared" si="152"/>
        <v>15443</v>
      </c>
      <c r="V586" s="460"/>
      <c r="W586" s="800"/>
      <c r="X586" s="834"/>
      <c r="Y586" s="832"/>
      <c r="Z586" s="25">
        <f t="shared" si="153"/>
        <v>0</v>
      </c>
    </row>
    <row r="587" spans="1:26" ht="16.5" customHeight="1">
      <c r="A587" s="784">
        <f t="shared" si="148"/>
        <v>231</v>
      </c>
      <c r="B587" s="192" t="s">
        <v>1423</v>
      </c>
      <c r="C587" s="25">
        <f t="shared" si="149"/>
        <v>13455</v>
      </c>
      <c r="D587" s="785">
        <f t="shared" si="154"/>
        <v>393.34765767115374</v>
      </c>
      <c r="E587" s="785">
        <f t="shared" si="154"/>
        <v>124.46765253493697</v>
      </c>
      <c r="F587" s="785">
        <f t="shared" si="154"/>
        <v>268.36732510111926</v>
      </c>
      <c r="G587" s="785">
        <f t="shared" si="154"/>
        <v>21.450553213345604</v>
      </c>
      <c r="H587" s="785">
        <f t="shared" si="154"/>
        <v>390.56648190553642</v>
      </c>
      <c r="I587" s="785">
        <f t="shared" si="154"/>
        <v>100.3085154193507</v>
      </c>
      <c r="J587" s="369">
        <f t="shared" si="154"/>
        <v>0</v>
      </c>
      <c r="K587" s="25">
        <f t="shared" si="150"/>
        <v>14752.508185845443</v>
      </c>
      <c r="L587" s="260">
        <v>1</v>
      </c>
      <c r="M587" s="785">
        <f t="shared" si="151"/>
        <v>14752.508185845443</v>
      </c>
      <c r="N587" s="685">
        <v>13871</v>
      </c>
      <c r="O587" s="685"/>
      <c r="P587" s="40" t="s">
        <v>678</v>
      </c>
      <c r="Q587" s="191">
        <v>40907</v>
      </c>
      <c r="R587" s="801"/>
      <c r="S587" s="310">
        <f t="shared" si="156"/>
        <v>1</v>
      </c>
      <c r="T587" s="832">
        <v>13455</v>
      </c>
      <c r="U587" s="25">
        <f t="shared" si="152"/>
        <v>13455</v>
      </c>
      <c r="V587" s="460"/>
      <c r="W587" s="800"/>
      <c r="X587" s="834"/>
      <c r="Y587" s="832"/>
      <c r="Z587" s="25">
        <f t="shared" si="153"/>
        <v>0</v>
      </c>
    </row>
    <row r="588" spans="1:26" ht="16.5" customHeight="1">
      <c r="A588" s="784">
        <f t="shared" si="148"/>
        <v>232</v>
      </c>
      <c r="B588" s="192" t="s">
        <v>1424</v>
      </c>
      <c r="C588" s="25">
        <f t="shared" si="149"/>
        <v>16439</v>
      </c>
      <c r="D588" s="785">
        <f t="shared" si="154"/>
        <v>393.34765767115374</v>
      </c>
      <c r="E588" s="785">
        <f t="shared" si="154"/>
        <v>124.46765253493697</v>
      </c>
      <c r="F588" s="785">
        <f t="shared" si="154"/>
        <v>268.36732510111926</v>
      </c>
      <c r="G588" s="785">
        <f t="shared" si="154"/>
        <v>21.450553213345604</v>
      </c>
      <c r="H588" s="785">
        <f t="shared" si="154"/>
        <v>390.56648190553642</v>
      </c>
      <c r="I588" s="785">
        <f t="shared" si="154"/>
        <v>100.3085154193507</v>
      </c>
      <c r="J588" s="369">
        <f t="shared" si="154"/>
        <v>0</v>
      </c>
      <c r="K588" s="25">
        <f t="shared" si="150"/>
        <v>17736.508185845447</v>
      </c>
      <c r="L588" s="260">
        <v>1</v>
      </c>
      <c r="M588" s="785">
        <f t="shared" si="151"/>
        <v>17736.508185845447</v>
      </c>
      <c r="N588" s="685">
        <v>19814</v>
      </c>
      <c r="O588" s="685"/>
      <c r="P588" s="40" t="s">
        <v>668</v>
      </c>
      <c r="Q588" s="191">
        <v>40907</v>
      </c>
      <c r="R588" s="801"/>
      <c r="S588" s="310">
        <f>L588/2</f>
        <v>0.5</v>
      </c>
      <c r="T588" s="832">
        <v>32878</v>
      </c>
      <c r="U588" s="25">
        <f t="shared" si="152"/>
        <v>16439</v>
      </c>
      <c r="V588" s="460"/>
      <c r="W588" s="800"/>
      <c r="X588" s="834"/>
      <c r="Y588" s="832"/>
      <c r="Z588" s="25">
        <f t="shared" si="153"/>
        <v>0</v>
      </c>
    </row>
    <row r="589" spans="1:26" ht="16.5" customHeight="1">
      <c r="A589" s="784">
        <f t="shared" si="148"/>
        <v>233</v>
      </c>
      <c r="B589" s="192" t="s">
        <v>1384</v>
      </c>
      <c r="C589" s="25">
        <f t="shared" si="149"/>
        <v>148005</v>
      </c>
      <c r="D589" s="785">
        <f t="shared" si="154"/>
        <v>4326.8242343826914</v>
      </c>
      <c r="E589" s="785">
        <f t="shared" si="154"/>
        <v>1369.1441778843068</v>
      </c>
      <c r="F589" s="785">
        <f t="shared" si="154"/>
        <v>2952.040576112312</v>
      </c>
      <c r="G589" s="785">
        <f t="shared" si="154"/>
        <v>235.95608534680164</v>
      </c>
      <c r="H589" s="785">
        <f t="shared" si="154"/>
        <v>4296.2313009609006</v>
      </c>
      <c r="I589" s="785">
        <f t="shared" si="154"/>
        <v>1103.3936696128576</v>
      </c>
      <c r="J589" s="369">
        <f t="shared" si="154"/>
        <v>0</v>
      </c>
      <c r="K589" s="25">
        <f t="shared" si="150"/>
        <v>162287.59004429987</v>
      </c>
      <c r="L589" s="260">
        <v>11</v>
      </c>
      <c r="M589" s="785">
        <f t="shared" si="151"/>
        <v>14753.417276754533</v>
      </c>
      <c r="N589" s="685">
        <v>15524</v>
      </c>
      <c r="O589" s="685"/>
      <c r="P589" s="40" t="s">
        <v>678</v>
      </c>
      <c r="Q589" s="191">
        <v>40907</v>
      </c>
      <c r="R589" s="801"/>
      <c r="S589" s="310">
        <f>L589</f>
        <v>11</v>
      </c>
      <c r="T589" s="832">
        <v>13455</v>
      </c>
      <c r="U589" s="25">
        <f t="shared" si="152"/>
        <v>148005</v>
      </c>
      <c r="V589" s="460"/>
      <c r="W589" s="800"/>
      <c r="X589" s="834"/>
      <c r="Y589" s="832"/>
      <c r="Z589" s="25">
        <f t="shared" si="153"/>
        <v>0</v>
      </c>
    </row>
    <row r="590" spans="1:26" ht="16.5" customHeight="1">
      <c r="A590" s="784">
        <f t="shared" si="148"/>
        <v>234</v>
      </c>
      <c r="B590" s="192" t="s">
        <v>1385</v>
      </c>
      <c r="C590" s="25">
        <f t="shared" si="149"/>
        <v>4324060</v>
      </c>
      <c r="D590" s="785">
        <f t="shared" si="154"/>
        <v>102270.39099449998</v>
      </c>
      <c r="E590" s="785">
        <f t="shared" si="154"/>
        <v>32361.589659083613</v>
      </c>
      <c r="F590" s="785">
        <f t="shared" si="154"/>
        <v>69775.504526291013</v>
      </c>
      <c r="G590" s="785">
        <f t="shared" si="154"/>
        <v>5577.1438354698566</v>
      </c>
      <c r="H590" s="785">
        <f t="shared" si="154"/>
        <v>101547.28529543948</v>
      </c>
      <c r="I590" s="785">
        <f t="shared" si="154"/>
        <v>26080.21400903118</v>
      </c>
      <c r="J590" s="369">
        <f t="shared" si="154"/>
        <v>0</v>
      </c>
      <c r="K590" s="25">
        <f t="shared" si="150"/>
        <v>4661671.1283198157</v>
      </c>
      <c r="L590" s="260">
        <v>260</v>
      </c>
      <c r="M590" s="785">
        <f t="shared" si="151"/>
        <v>17929.504339691601</v>
      </c>
      <c r="N590" s="685">
        <v>24159</v>
      </c>
      <c r="O590" s="685"/>
      <c r="P590" s="40" t="s">
        <v>679</v>
      </c>
      <c r="Q590" s="191">
        <v>40907</v>
      </c>
      <c r="R590" s="801"/>
      <c r="S590" s="310">
        <f>L590</f>
        <v>260</v>
      </c>
      <c r="T590" s="832">
        <v>16631</v>
      </c>
      <c r="U590" s="25">
        <f t="shared" si="152"/>
        <v>4324060</v>
      </c>
      <c r="V590" s="460"/>
      <c r="W590" s="800"/>
      <c r="X590" s="834"/>
      <c r="Y590" s="832"/>
      <c r="Z590" s="25">
        <f t="shared" si="153"/>
        <v>0</v>
      </c>
    </row>
    <row r="591" spans="1:26" ht="16.5" customHeight="1">
      <c r="A591" s="784">
        <f t="shared" si="148"/>
        <v>235</v>
      </c>
      <c r="B591" s="192" t="s">
        <v>1353</v>
      </c>
      <c r="C591" s="25">
        <f t="shared" si="149"/>
        <v>772150</v>
      </c>
      <c r="D591" s="785">
        <f t="shared" si="154"/>
        <v>19667.382883557686</v>
      </c>
      <c r="E591" s="785">
        <f t="shared" si="154"/>
        <v>6223.3826267468485</v>
      </c>
      <c r="F591" s="785">
        <f t="shared" si="154"/>
        <v>13418.366255055964</v>
      </c>
      <c r="G591" s="785">
        <f t="shared" si="154"/>
        <v>1072.5276606672801</v>
      </c>
      <c r="H591" s="785">
        <f t="shared" ref="D591:J597" si="157">IF($L$599&lt;&gt;0,H$599/$L$599*$L591,0)</f>
        <v>19528.324095276821</v>
      </c>
      <c r="I591" s="785">
        <f t="shared" si="157"/>
        <v>5015.4257709675348</v>
      </c>
      <c r="J591" s="369">
        <f t="shared" si="157"/>
        <v>0</v>
      </c>
      <c r="K591" s="25">
        <f t="shared" si="150"/>
        <v>837074.40929227218</v>
      </c>
      <c r="L591" s="260">
        <v>50</v>
      </c>
      <c r="M591" s="785">
        <f t="shared" si="151"/>
        <v>16741.488185845443</v>
      </c>
      <c r="N591" s="685">
        <v>18100</v>
      </c>
      <c r="O591" s="685"/>
      <c r="P591" s="40" t="s">
        <v>673</v>
      </c>
      <c r="Q591" s="191">
        <v>40907</v>
      </c>
      <c r="R591" s="801"/>
      <c r="S591" s="310">
        <f>L591</f>
        <v>50</v>
      </c>
      <c r="T591" s="832">
        <v>15443</v>
      </c>
      <c r="U591" s="25">
        <f t="shared" si="152"/>
        <v>772150</v>
      </c>
      <c r="V591" s="460"/>
      <c r="W591" s="800"/>
      <c r="X591" s="834"/>
      <c r="Y591" s="832"/>
      <c r="Z591" s="25">
        <f t="shared" si="153"/>
        <v>0</v>
      </c>
    </row>
    <row r="592" spans="1:26" ht="16.5" customHeight="1">
      <c r="A592" s="784">
        <f t="shared" si="148"/>
        <v>236</v>
      </c>
      <c r="B592" s="192" t="s">
        <v>1355</v>
      </c>
      <c r="C592" s="25">
        <f t="shared" si="149"/>
        <v>1663100</v>
      </c>
      <c r="D592" s="785">
        <f t="shared" si="157"/>
        <v>39334.765767115372</v>
      </c>
      <c r="E592" s="785">
        <f t="shared" si="157"/>
        <v>12446.765253493697</v>
      </c>
      <c r="F592" s="785">
        <f t="shared" si="157"/>
        <v>26836.732510111928</v>
      </c>
      <c r="G592" s="785">
        <f t="shared" si="157"/>
        <v>2145.0553213345602</v>
      </c>
      <c r="H592" s="785">
        <f t="shared" si="157"/>
        <v>39056.648190553642</v>
      </c>
      <c r="I592" s="785">
        <f t="shared" si="157"/>
        <v>10030.85154193507</v>
      </c>
      <c r="J592" s="369">
        <f t="shared" si="157"/>
        <v>0</v>
      </c>
      <c r="K592" s="25">
        <f t="shared" si="150"/>
        <v>1792949.8185845444</v>
      </c>
      <c r="L592" s="260">
        <v>100</v>
      </c>
      <c r="M592" s="785">
        <f t="shared" si="151"/>
        <v>17929.498185845445</v>
      </c>
      <c r="N592" s="685">
        <v>23260</v>
      </c>
      <c r="O592" s="685"/>
      <c r="P592" s="40" t="s">
        <v>679</v>
      </c>
      <c r="Q592" s="191">
        <v>40907</v>
      </c>
      <c r="R592" s="801"/>
      <c r="S592" s="310">
        <f>L592</f>
        <v>100</v>
      </c>
      <c r="T592" s="832">
        <v>16631</v>
      </c>
      <c r="U592" s="25">
        <f t="shared" si="152"/>
        <v>1663100</v>
      </c>
      <c r="V592" s="460"/>
      <c r="W592" s="800"/>
      <c r="X592" s="834"/>
      <c r="Y592" s="832"/>
      <c r="Z592" s="25">
        <f t="shared" si="153"/>
        <v>0</v>
      </c>
    </row>
    <row r="593" spans="1:26" ht="16.5" customHeight="1">
      <c r="A593" s="784">
        <f t="shared" si="148"/>
        <v>237</v>
      </c>
      <c r="B593" s="192" t="s">
        <v>1356</v>
      </c>
      <c r="C593" s="25">
        <f t="shared" si="149"/>
        <v>821950</v>
      </c>
      <c r="D593" s="785">
        <f t="shared" si="157"/>
        <v>19667.382883557686</v>
      </c>
      <c r="E593" s="785">
        <f t="shared" si="157"/>
        <v>6223.3826267468485</v>
      </c>
      <c r="F593" s="785">
        <f t="shared" si="157"/>
        <v>13418.366255055964</v>
      </c>
      <c r="G593" s="785">
        <f t="shared" si="157"/>
        <v>1072.5276606672801</v>
      </c>
      <c r="H593" s="785">
        <f t="shared" si="157"/>
        <v>19528.324095276821</v>
      </c>
      <c r="I593" s="785">
        <f t="shared" si="157"/>
        <v>5015.4257709675348</v>
      </c>
      <c r="J593" s="369">
        <f t="shared" si="157"/>
        <v>0</v>
      </c>
      <c r="K593" s="25">
        <f t="shared" si="150"/>
        <v>886874.40929227218</v>
      </c>
      <c r="L593" s="260">
        <v>50</v>
      </c>
      <c r="M593" s="785">
        <f t="shared" si="151"/>
        <v>17737.488185845443</v>
      </c>
      <c r="N593" s="685">
        <v>20090</v>
      </c>
      <c r="O593" s="685"/>
      <c r="P593" s="40" t="s">
        <v>668</v>
      </c>
      <c r="Q593" s="191">
        <v>40907</v>
      </c>
      <c r="R593" s="801"/>
      <c r="S593" s="310">
        <f>L593/2</f>
        <v>25</v>
      </c>
      <c r="T593" s="832">
        <v>32878</v>
      </c>
      <c r="U593" s="25">
        <f t="shared" si="152"/>
        <v>821950</v>
      </c>
      <c r="V593" s="460"/>
      <c r="W593" s="800"/>
      <c r="X593" s="834"/>
      <c r="Y593" s="832"/>
      <c r="Z593" s="25">
        <f t="shared" si="153"/>
        <v>0</v>
      </c>
    </row>
    <row r="594" spans="1:26" ht="16.5" customHeight="1">
      <c r="A594" s="784">
        <f t="shared" si="148"/>
        <v>238</v>
      </c>
      <c r="B594" s="192" t="s">
        <v>1357</v>
      </c>
      <c r="C594" s="25">
        <f t="shared" si="149"/>
        <v>3159890</v>
      </c>
      <c r="D594" s="785">
        <f t="shared" si="157"/>
        <v>74736.054957519213</v>
      </c>
      <c r="E594" s="785">
        <f t="shared" si="157"/>
        <v>23648.853981638025</v>
      </c>
      <c r="F594" s="785">
        <f t="shared" si="157"/>
        <v>50989.791769212658</v>
      </c>
      <c r="G594" s="785">
        <f t="shared" si="157"/>
        <v>4075.6051105356646</v>
      </c>
      <c r="H594" s="785">
        <f t="shared" si="157"/>
        <v>74207.631562051916</v>
      </c>
      <c r="I594" s="785">
        <f t="shared" si="157"/>
        <v>19058.617929676631</v>
      </c>
      <c r="J594" s="369">
        <f t="shared" si="157"/>
        <v>0</v>
      </c>
      <c r="K594" s="25">
        <f t="shared" si="150"/>
        <v>3406605.555310634</v>
      </c>
      <c r="L594" s="260">
        <v>190</v>
      </c>
      <c r="M594" s="785">
        <f t="shared" si="151"/>
        <v>17929.502922687549</v>
      </c>
      <c r="N594" s="685">
        <v>18170</v>
      </c>
      <c r="O594" s="685"/>
      <c r="P594" s="40" t="s">
        <v>679</v>
      </c>
      <c r="Q594" s="191">
        <v>40907</v>
      </c>
      <c r="R594" s="801"/>
      <c r="S594" s="310">
        <f>L594</f>
        <v>190</v>
      </c>
      <c r="T594" s="832">
        <v>16631</v>
      </c>
      <c r="U594" s="25">
        <f t="shared" si="152"/>
        <v>3159890</v>
      </c>
      <c r="V594" s="460"/>
      <c r="W594" s="800"/>
      <c r="X594" s="834"/>
      <c r="Y594" s="832"/>
      <c r="Z594" s="25">
        <f t="shared" si="153"/>
        <v>0</v>
      </c>
    </row>
    <row r="595" spans="1:26" ht="16.5" customHeight="1">
      <c r="A595" s="784">
        <f t="shared" si="148"/>
        <v>239</v>
      </c>
      <c r="B595" s="192" t="s">
        <v>1358</v>
      </c>
      <c r="C595" s="25">
        <f t="shared" si="149"/>
        <v>2162030</v>
      </c>
      <c r="D595" s="785">
        <f t="shared" si="157"/>
        <v>51135.195497249988</v>
      </c>
      <c r="E595" s="785">
        <f t="shared" si="157"/>
        <v>16180.794829541806</v>
      </c>
      <c r="F595" s="785">
        <f t="shared" si="157"/>
        <v>34887.752263145507</v>
      </c>
      <c r="G595" s="785">
        <f t="shared" si="157"/>
        <v>2788.5719177349283</v>
      </c>
      <c r="H595" s="785">
        <f t="shared" si="157"/>
        <v>50773.642647719738</v>
      </c>
      <c r="I595" s="785">
        <f t="shared" si="157"/>
        <v>13040.10700451559</v>
      </c>
      <c r="J595" s="369">
        <f t="shared" si="157"/>
        <v>0</v>
      </c>
      <c r="K595" s="25">
        <f t="shared" si="150"/>
        <v>2330835.0641599079</v>
      </c>
      <c r="L595" s="260">
        <v>130</v>
      </c>
      <c r="M595" s="785">
        <f t="shared" si="151"/>
        <v>17929.500493537751</v>
      </c>
      <c r="N595" s="685">
        <v>19420</v>
      </c>
      <c r="O595" s="685"/>
      <c r="P595" s="40" t="s">
        <v>679</v>
      </c>
      <c r="Q595" s="191">
        <v>40907</v>
      </c>
      <c r="R595" s="801"/>
      <c r="S595" s="310">
        <f>L595</f>
        <v>130</v>
      </c>
      <c r="T595" s="832">
        <v>16631</v>
      </c>
      <c r="U595" s="25">
        <f t="shared" si="152"/>
        <v>2162030</v>
      </c>
      <c r="V595" s="460"/>
      <c r="W595" s="800"/>
      <c r="X595" s="834"/>
      <c r="Y595" s="832"/>
      <c r="Z595" s="25">
        <f t="shared" si="153"/>
        <v>0</v>
      </c>
    </row>
    <row r="596" spans="1:26" ht="16.5" customHeight="1">
      <c r="A596" s="784">
        <f t="shared" si="148"/>
        <v>240</v>
      </c>
      <c r="B596" s="192" t="s">
        <v>1359</v>
      </c>
      <c r="C596" s="25">
        <f t="shared" si="149"/>
        <v>1829410</v>
      </c>
      <c r="D596" s="785">
        <f t="shared" si="157"/>
        <v>43268.242343826911</v>
      </c>
      <c r="E596" s="785">
        <f t="shared" si="157"/>
        <v>13691.441778843067</v>
      </c>
      <c r="F596" s="785">
        <f t="shared" si="157"/>
        <v>29520.405761123118</v>
      </c>
      <c r="G596" s="785">
        <f t="shared" si="157"/>
        <v>2359.5608534680164</v>
      </c>
      <c r="H596" s="785">
        <f t="shared" si="157"/>
        <v>42962.313009609003</v>
      </c>
      <c r="I596" s="785">
        <f t="shared" si="157"/>
        <v>11033.936696128576</v>
      </c>
      <c r="J596" s="369">
        <f t="shared" si="157"/>
        <v>0</v>
      </c>
      <c r="K596" s="25">
        <f t="shared" si="150"/>
        <v>1972244.9004429989</v>
      </c>
      <c r="L596" s="260">
        <v>110</v>
      </c>
      <c r="M596" s="785">
        <f t="shared" si="151"/>
        <v>17929.499094936353</v>
      </c>
      <c r="N596" s="685">
        <v>19450</v>
      </c>
      <c r="O596" s="685"/>
      <c r="P596" s="40" t="s">
        <v>679</v>
      </c>
      <c r="Q596" s="191">
        <v>40907</v>
      </c>
      <c r="R596" s="801"/>
      <c r="S596" s="310">
        <f>L596</f>
        <v>110</v>
      </c>
      <c r="T596" s="832">
        <v>16631</v>
      </c>
      <c r="U596" s="25">
        <f t="shared" si="152"/>
        <v>1829410</v>
      </c>
      <c r="V596" s="460"/>
      <c r="W596" s="800"/>
      <c r="X596" s="834"/>
      <c r="Y596" s="832"/>
      <c r="Z596" s="25">
        <f t="shared" si="153"/>
        <v>0</v>
      </c>
    </row>
    <row r="597" spans="1:26" ht="16.5" customHeight="1">
      <c r="A597" s="784">
        <f t="shared" si="148"/>
        <v>241</v>
      </c>
      <c r="B597" s="192" t="s">
        <v>1426</v>
      </c>
      <c r="C597" s="25">
        <f t="shared" si="149"/>
        <v>197268</v>
      </c>
      <c r="D597" s="785">
        <f t="shared" si="157"/>
        <v>4720.1718920538451</v>
      </c>
      <c r="E597" s="785">
        <f t="shared" si="157"/>
        <v>1493.6118304192437</v>
      </c>
      <c r="F597" s="785">
        <f t="shared" si="157"/>
        <v>3220.4079012134312</v>
      </c>
      <c r="G597" s="785">
        <f t="shared" si="157"/>
        <v>257.40663856014726</v>
      </c>
      <c r="H597" s="785">
        <f t="shared" si="157"/>
        <v>4686.797782866437</v>
      </c>
      <c r="I597" s="785">
        <f t="shared" si="157"/>
        <v>1203.7021850322085</v>
      </c>
      <c r="J597" s="369">
        <f t="shared" si="157"/>
        <v>0</v>
      </c>
      <c r="K597" s="25">
        <f t="shared" si="150"/>
        <v>212849.09823014532</v>
      </c>
      <c r="L597" s="260">
        <v>12</v>
      </c>
      <c r="M597" s="785">
        <f t="shared" si="151"/>
        <v>17737.424852512111</v>
      </c>
      <c r="N597" s="685">
        <v>19625</v>
      </c>
      <c r="O597" s="685"/>
      <c r="P597" s="40" t="s">
        <v>668</v>
      </c>
      <c r="Q597" s="191">
        <v>40907</v>
      </c>
      <c r="R597" s="801"/>
      <c r="S597" s="310">
        <f>L597/2</f>
        <v>6</v>
      </c>
      <c r="T597" s="832">
        <v>32878</v>
      </c>
      <c r="U597" s="25">
        <f t="shared" si="152"/>
        <v>197268</v>
      </c>
      <c r="V597" s="460"/>
      <c r="W597" s="800"/>
      <c r="X597" s="834"/>
      <c r="Y597" s="832"/>
      <c r="Z597" s="25">
        <f t="shared" si="153"/>
        <v>0</v>
      </c>
    </row>
    <row r="598" spans="1:26" ht="16.5" customHeight="1">
      <c r="A598" s="784"/>
      <c r="B598" s="302"/>
      <c r="C598" s="25"/>
      <c r="D598" s="785"/>
      <c r="E598" s="785"/>
      <c r="F598" s="785"/>
      <c r="G598" s="785"/>
      <c r="H598" s="785"/>
      <c r="I598" s="785"/>
      <c r="J598" s="369"/>
      <c r="K598" s="25"/>
      <c r="L598" s="785"/>
      <c r="M598" s="785"/>
      <c r="N598" s="685"/>
      <c r="O598" s="685"/>
      <c r="P598" s="460"/>
      <c r="Q598" s="800"/>
      <c r="R598" s="801"/>
      <c r="S598" s="310"/>
      <c r="T598" s="832"/>
      <c r="U598" s="25">
        <f t="shared" si="121"/>
        <v>0</v>
      </c>
      <c r="V598" s="460"/>
      <c r="W598" s="800"/>
      <c r="X598" s="834"/>
      <c r="Y598" s="832"/>
      <c r="Z598" s="25">
        <f t="shared" si="122"/>
        <v>0</v>
      </c>
    </row>
    <row r="599" spans="1:26" s="806" customFormat="1" ht="16.5" customHeight="1">
      <c r="A599" s="786"/>
      <c r="B599" s="787" t="s">
        <v>258</v>
      </c>
      <c r="C599" s="550">
        <f>SUM(C357:C598)</f>
        <v>337375734</v>
      </c>
      <c r="D599" s="550">
        <v>18379956</v>
      </c>
      <c r="E599" s="550">
        <f>$Z$599</f>
        <v>5816000</v>
      </c>
      <c r="F599" s="550">
        <v>12540000</v>
      </c>
      <c r="G599" s="550">
        <v>1002320</v>
      </c>
      <c r="H599" s="550">
        <v>18250000</v>
      </c>
      <c r="I599" s="550">
        <v>4687116</v>
      </c>
      <c r="J599" s="461"/>
      <c r="K599" s="550">
        <f>SUM(K357:K598)</f>
        <v>398051099.09153324</v>
      </c>
      <c r="L599" s="550">
        <f>ROUND(SUM(L357:L598),0)</f>
        <v>46727</v>
      </c>
      <c r="M599" s="550"/>
      <c r="N599" s="685"/>
      <c r="O599" s="685"/>
      <c r="P599" s="807"/>
      <c r="Q599" s="808"/>
      <c r="R599" s="809"/>
      <c r="S599" s="861"/>
      <c r="T599" s="831"/>
      <c r="U599" s="47">
        <f>SUM(U357:U598)</f>
        <v>337375734</v>
      </c>
      <c r="V599" s="807"/>
      <c r="W599" s="808"/>
      <c r="X599" s="821"/>
      <c r="Y599" s="831"/>
      <c r="Z599" s="47">
        <f>SUM(Z357:Z598)</f>
        <v>5816000</v>
      </c>
    </row>
    <row r="600" spans="1:26" s="781" customFormat="1">
      <c r="A600" s="780"/>
      <c r="B600" s="780"/>
      <c r="C600" s="780"/>
      <c r="D600" s="780"/>
      <c r="E600" s="780"/>
      <c r="F600" s="780"/>
      <c r="G600" s="780"/>
      <c r="H600" s="780"/>
      <c r="I600" s="780"/>
      <c r="J600" s="447"/>
      <c r="K600" s="298"/>
      <c r="L600" s="780"/>
      <c r="M600" s="780"/>
      <c r="N600" s="685"/>
      <c r="O600" s="685"/>
      <c r="P600" s="780"/>
      <c r="Q600" s="793"/>
      <c r="R600" s="794"/>
      <c r="S600" s="852"/>
      <c r="T600" s="298"/>
      <c r="U600" s="780"/>
      <c r="V600" s="780"/>
      <c r="W600" s="793"/>
      <c r="X600" s="298"/>
      <c r="Y600" s="298"/>
      <c r="Z600" s="780"/>
    </row>
    <row r="601" spans="1:26">
      <c r="N601" s="685"/>
      <c r="O601" s="685"/>
    </row>
    <row r="602" spans="1:26">
      <c r="K602" s="813"/>
      <c r="N602" s="685"/>
      <c r="O602" s="685"/>
    </row>
    <row r="603" spans="1:26">
      <c r="N603" s="685"/>
      <c r="O603" s="685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601" customWidth="1"/>
    <col min="2" max="2" width="15.7109375" style="601" customWidth="1"/>
    <col min="3" max="3" width="16.85546875" style="601" customWidth="1"/>
    <col min="4" max="9" width="15.28515625" style="601" customWidth="1"/>
    <col min="10" max="10" width="10.140625" style="601" customWidth="1"/>
    <col min="11" max="11" width="5.85546875" style="601" customWidth="1"/>
    <col min="12" max="16384" width="10.28515625" style="601"/>
  </cols>
  <sheetData>
    <row r="1" spans="1:11" s="465" customFormat="1" ht="19.5" customHeight="1">
      <c r="A1" s="588" t="str">
        <f>TH!A1</f>
        <v>Đơn vị: CÔNG TY TNHH SX TM KIM DUNG PHÁT</v>
      </c>
      <c r="B1" s="588"/>
      <c r="D1" s="466"/>
      <c r="E1" s="466"/>
      <c r="F1" s="466"/>
      <c r="G1" s="1096" t="s">
        <v>259</v>
      </c>
      <c r="H1" s="1096"/>
      <c r="I1" s="1096"/>
      <c r="J1" s="467"/>
      <c r="K1" s="468"/>
    </row>
    <row r="2" spans="1:11" s="465" customFormat="1" ht="19.5" customHeight="1">
      <c r="A2" s="638" t="str">
        <f>TH!A2</f>
        <v>Địa chỉ: 1A227/1 Ấp 1, Phạm Văn Hai, Bình Chánh, TPHCM</v>
      </c>
      <c r="B2" s="588"/>
      <c r="D2" s="469"/>
      <c r="E2" s="469"/>
      <c r="F2" s="469"/>
      <c r="G2" s="1097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97"/>
      <c r="I2" s="1097"/>
      <c r="J2" s="467"/>
      <c r="K2" s="445">
        <v>1</v>
      </c>
    </row>
    <row r="3" spans="1:11" s="465" customFormat="1" ht="15">
      <c r="A3" s="589"/>
      <c r="B3" s="590"/>
      <c r="C3" s="469"/>
      <c r="D3" s="469"/>
      <c r="E3" s="469"/>
      <c r="F3" s="469"/>
      <c r="G3" s="1097"/>
      <c r="H3" s="1097"/>
      <c r="I3" s="1097"/>
      <c r="J3" s="467"/>
    </row>
    <row r="4" spans="1:11" s="592" customFormat="1" ht="17.25" customHeight="1">
      <c r="A4" s="1098" t="s">
        <v>260</v>
      </c>
      <c r="B4" s="1098"/>
      <c r="C4" s="1098"/>
      <c r="D4" s="1098"/>
      <c r="E4" s="1098"/>
      <c r="F4" s="1098"/>
      <c r="G4" s="1098"/>
      <c r="H4" s="1098"/>
      <c r="I4" s="1098"/>
      <c r="J4" s="591"/>
    </row>
    <row r="5" spans="1:11" s="593" customFormat="1" ht="17.25" customHeight="1">
      <c r="B5" s="594"/>
      <c r="C5" s="595" t="s">
        <v>368</v>
      </c>
      <c r="D5" s="594" t="str">
        <f>IF($K$2&lt;10,"0"&amp;$K$2&amp;"  năm 2011",$K$2&amp;"  năm 2011")</f>
        <v>01  năm 2011</v>
      </c>
      <c r="E5" s="594"/>
      <c r="F5" s="594"/>
      <c r="G5" s="594"/>
      <c r="H5" s="594"/>
      <c r="I5" s="594"/>
      <c r="J5" s="594"/>
    </row>
    <row r="6" spans="1:11" s="593" customFormat="1" ht="17.25" customHeight="1">
      <c r="B6" s="596"/>
      <c r="C6" s="1099" t="s">
        <v>261</v>
      </c>
      <c r="D6" s="1099"/>
      <c r="E6" s="1100"/>
      <c r="F6" s="1100"/>
      <c r="G6" s="1100"/>
      <c r="H6" s="726"/>
      <c r="I6" s="596"/>
      <c r="J6" s="594"/>
    </row>
    <row r="7" spans="1:11" s="598" customFormat="1" ht="9.75" customHeight="1">
      <c r="A7" s="597"/>
      <c r="B7" s="597"/>
      <c r="C7" s="597"/>
      <c r="D7" s="597"/>
      <c r="E7" s="597"/>
      <c r="F7" s="597"/>
      <c r="G7" s="597"/>
      <c r="H7" s="597"/>
      <c r="I7" s="597"/>
      <c r="J7" s="596"/>
    </row>
    <row r="8" spans="1:11" s="471" customFormat="1" ht="17.25" customHeight="1">
      <c r="A8" s="1101" t="s">
        <v>262</v>
      </c>
      <c r="B8" s="1102" t="s">
        <v>263</v>
      </c>
      <c r="C8" s="1102" t="s">
        <v>264</v>
      </c>
      <c r="D8" s="1102"/>
      <c r="E8" s="1102"/>
      <c r="F8" s="1102"/>
      <c r="G8" s="1102"/>
      <c r="H8" s="1102"/>
      <c r="I8" s="1102"/>
      <c r="J8" s="470"/>
    </row>
    <row r="9" spans="1:11" s="474" customFormat="1" ht="35.25" customHeight="1">
      <c r="A9" s="1101"/>
      <c r="B9" s="1102"/>
      <c r="C9" s="472" t="s">
        <v>799</v>
      </c>
      <c r="D9" s="472" t="s">
        <v>265</v>
      </c>
      <c r="E9" s="472" t="s">
        <v>800</v>
      </c>
      <c r="F9" s="472" t="s">
        <v>801</v>
      </c>
      <c r="G9" s="472" t="s">
        <v>266</v>
      </c>
      <c r="H9" s="472" t="s">
        <v>267</v>
      </c>
      <c r="I9" s="472" t="s">
        <v>802</v>
      </c>
      <c r="J9" s="473"/>
    </row>
    <row r="10" spans="1:11" s="477" customFormat="1" ht="15">
      <c r="A10" s="475" t="s">
        <v>2</v>
      </c>
      <c r="B10" s="476">
        <v>1</v>
      </c>
      <c r="C10" s="476">
        <v>2</v>
      </c>
      <c r="D10" s="476">
        <v>3</v>
      </c>
      <c r="E10" s="476">
        <v>4</v>
      </c>
      <c r="F10" s="476">
        <v>5</v>
      </c>
      <c r="G10" s="476">
        <v>6</v>
      </c>
      <c r="H10" s="476">
        <v>7</v>
      </c>
      <c r="I10" s="476">
        <v>8</v>
      </c>
      <c r="J10" s="467"/>
    </row>
    <row r="11" spans="1:11" s="593" customFormat="1" ht="24.75" customHeight="1">
      <c r="A11" s="599" t="s">
        <v>268</v>
      </c>
      <c r="B11" s="600">
        <f>ROUND(SUM(C11:I11),0)</f>
        <v>0</v>
      </c>
      <c r="C11" s="600">
        <v>0</v>
      </c>
      <c r="D11" s="600">
        <v>0</v>
      </c>
      <c r="E11" s="600">
        <v>0</v>
      </c>
      <c r="F11" s="600">
        <v>0</v>
      </c>
      <c r="G11" s="600">
        <v>0</v>
      </c>
      <c r="H11" s="600">
        <v>0</v>
      </c>
      <c r="I11" s="600">
        <v>0</v>
      </c>
      <c r="J11" s="594"/>
    </row>
    <row r="12" spans="1:11" s="593" customFormat="1" ht="24.75" customHeight="1">
      <c r="A12" s="599" t="s">
        <v>269</v>
      </c>
      <c r="B12" s="600">
        <f ca="1">ROUND(SUM(C12:I12),0)</f>
        <v>0</v>
      </c>
      <c r="C12" s="600">
        <f ca="1">IF(ISNA(VLOOKUP($E6,INDIRECT("DSSP"&amp;$K$2),5,0)),0,VLOOKUP($E6,INDIRECT("DSSP"&amp;$K$2),5,0))</f>
        <v>0</v>
      </c>
      <c r="D12" s="600">
        <f ca="1">IF(ISNA(VLOOKUP($E6,INDIRECT("DSSP"&amp;$K$2),6,0)),0,VLOOKUP($E6,INDIRECT("DSSP"&amp;$K$2),6,0))</f>
        <v>0</v>
      </c>
      <c r="E12" s="600">
        <f ca="1">IF(ISNA(VLOOKUP($E6,INDIRECT("DSSP"&amp;$K$2),7,0)),0,VLOOKUP($E6,INDIRECT("DSSP"&amp;$K$2),7,0))</f>
        <v>0</v>
      </c>
      <c r="F12" s="600">
        <f ca="1">IF(ISNA(VLOOKUP($E6,INDIRECT("DSSP"&amp;$K$2),8,0)),0,VLOOKUP($E6,INDIRECT("DSSP"&amp;$K$2),8,0))</f>
        <v>0</v>
      </c>
      <c r="G12" s="600">
        <f ca="1">IF(ISNA(VLOOKUP($E6,INDIRECT("DSSP"&amp;$K$2),9,0)),0,VLOOKUP($E6,INDIRECT("DSSP"&amp;$K$2),9,0))</f>
        <v>0</v>
      </c>
      <c r="H12" s="600">
        <f ca="1">IF(ISNA(VLOOKUP($E6,INDIRECT("DSSP"&amp;$K$2),10,0)),0,VLOOKUP($E6,INDIRECT("DSSP"&amp;$K$2),10,0))</f>
        <v>0</v>
      </c>
      <c r="I12" s="600">
        <f ca="1">IF(ISNA(VLOOKUP($E6,INDIRECT("DSSP"&amp;$K$2),11,0)),0,VLOOKUP($E6,INDIRECT("DSSP"&amp;$K$2),11,0))</f>
        <v>0</v>
      </c>
      <c r="J12" s="594"/>
    </row>
    <row r="13" spans="1:11" s="593" customFormat="1" ht="24.75" customHeight="1">
      <c r="A13" s="599" t="s">
        <v>270</v>
      </c>
      <c r="B13" s="600">
        <f ca="1">ROUND(IF(ISNA(VLOOKUP($E6,INDIRECT("DSSP"&amp;$K$2),13,0)),0,VLOOKUP($E6,INDIRECT("DSSP"&amp;$K$2),13,0)),0)</f>
        <v>0</v>
      </c>
      <c r="C13" s="600">
        <f t="shared" ref="C13:I13" ca="1" si="0">C12</f>
        <v>0</v>
      </c>
      <c r="D13" s="600">
        <f t="shared" ca="1" si="0"/>
        <v>0</v>
      </c>
      <c r="E13" s="600">
        <f t="shared" ca="1" si="0"/>
        <v>0</v>
      </c>
      <c r="F13" s="600"/>
      <c r="G13" s="600">
        <f t="shared" ca="1" si="0"/>
        <v>0</v>
      </c>
      <c r="H13" s="600"/>
      <c r="I13" s="600">
        <f t="shared" ca="1" si="0"/>
        <v>0</v>
      </c>
      <c r="J13" s="594"/>
    </row>
    <row r="14" spans="1:11" s="593" customFormat="1" ht="24.75" customHeight="1">
      <c r="A14" s="599" t="s">
        <v>271</v>
      </c>
      <c r="B14" s="600">
        <f ca="1">B12-B13</f>
        <v>0</v>
      </c>
      <c r="C14" s="600">
        <f t="shared" ref="C14:I14" ca="1" si="1">C12-C13</f>
        <v>0</v>
      </c>
      <c r="D14" s="600">
        <f t="shared" ca="1" si="1"/>
        <v>0</v>
      </c>
      <c r="E14" s="600">
        <f t="shared" ca="1" si="1"/>
        <v>0</v>
      </c>
      <c r="F14" s="600"/>
      <c r="G14" s="600">
        <f t="shared" ca="1" si="1"/>
        <v>0</v>
      </c>
      <c r="H14" s="600"/>
      <c r="I14" s="600">
        <f t="shared" ca="1" si="1"/>
        <v>0</v>
      </c>
      <c r="J14" s="594"/>
    </row>
    <row r="15" spans="1:11" s="593" customFormat="1" ht="15">
      <c r="B15" s="594"/>
      <c r="C15" s="594"/>
      <c r="D15" s="594"/>
      <c r="E15" s="594"/>
      <c r="F15" s="594"/>
      <c r="G15" s="594"/>
      <c r="H15" s="594"/>
      <c r="I15" s="594"/>
      <c r="J15" s="594"/>
    </row>
    <row r="16" spans="1:11" s="593" customFormat="1" ht="15">
      <c r="B16" s="594"/>
      <c r="C16" s="594"/>
      <c r="D16" s="594"/>
      <c r="E16" s="1095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5"/>
      <c r="G16" s="1095"/>
      <c r="H16" s="1095"/>
      <c r="I16" s="1095"/>
      <c r="J16" s="594"/>
    </row>
    <row r="17" spans="2:10" s="593" customFormat="1" ht="15">
      <c r="B17" s="477" t="s">
        <v>272</v>
      </c>
      <c r="C17" s="594"/>
      <c r="D17" s="594"/>
      <c r="E17" s="1095" t="s">
        <v>12</v>
      </c>
      <c r="F17" s="1095"/>
      <c r="G17" s="1095"/>
      <c r="H17" s="1095"/>
      <c r="I17" s="1095"/>
      <c r="J17" s="594"/>
    </row>
    <row r="19" spans="2:10" ht="15">
      <c r="E19" s="602"/>
      <c r="F19" s="602"/>
    </row>
    <row r="26" spans="2:10">
      <c r="B26" s="57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11" customWidth="1"/>
    <col min="2" max="2" width="9.140625" style="511" customWidth="1"/>
    <col min="3" max="3" width="9" style="512" customWidth="1"/>
    <col min="4" max="4" width="28.140625" style="511" customWidth="1"/>
    <col min="5" max="5" width="9.140625" style="511" customWidth="1"/>
    <col min="6" max="6" width="9.28515625" style="512" customWidth="1"/>
    <col min="7" max="7" width="9" style="511" customWidth="1"/>
    <col min="8" max="8" width="14.5703125" style="511" customWidth="1"/>
    <col min="9" max="9" width="6" style="511" customWidth="1"/>
    <col min="10" max="10" width="14.140625" style="511" customWidth="1"/>
    <col min="11" max="11" width="14.85546875" style="513" customWidth="1"/>
    <col min="12" max="12" width="14.42578125" style="511" customWidth="1"/>
    <col min="13" max="13" width="5.85546875" style="511" customWidth="1"/>
    <col min="14" max="14" width="7.42578125" style="511" customWidth="1"/>
    <col min="15" max="15" width="11.7109375" style="511" customWidth="1"/>
    <col min="16" max="16" width="4.5703125" style="577" customWidth="1"/>
    <col min="17" max="17" width="11.140625" style="511" bestFit="1" customWidth="1"/>
    <col min="18" max="18" width="12" style="511" bestFit="1" customWidth="1"/>
    <col min="19" max="16384" width="9.140625" style="511"/>
  </cols>
  <sheetData>
    <row r="1" spans="1:18" ht="15" customHeight="1">
      <c r="A1" s="639" t="str">
        <f>TH!A1</f>
        <v>Đơn vị: CÔNG TY TNHH SX TM KIM DUNG PHÁT</v>
      </c>
      <c r="L1" s="1104" t="s">
        <v>299</v>
      </c>
      <c r="M1" s="1104"/>
      <c r="N1" s="1104"/>
      <c r="O1" s="1104"/>
    </row>
    <row r="2" spans="1:18" ht="15" customHeight="1">
      <c r="A2" s="510" t="str">
        <f>TH!A2</f>
        <v>Địa chỉ: 1A227/1 Ấp 1, Phạm Văn Hai, Bình Chánh, TPHCM</v>
      </c>
      <c r="L2" s="110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3"/>
      <c r="N2" s="1103"/>
      <c r="O2" s="1103"/>
    </row>
    <row r="3" spans="1:18" ht="15" customHeight="1">
      <c r="L3" s="1103"/>
      <c r="M3" s="1103"/>
      <c r="N3" s="1103"/>
      <c r="O3" s="1103"/>
    </row>
    <row r="5" spans="1:18" s="516" customFormat="1" ht="24" customHeight="1">
      <c r="A5" s="1105" t="s">
        <v>300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578"/>
    </row>
    <row r="6" spans="1:18" s="516" customFormat="1" ht="21" customHeight="1">
      <c r="A6" s="1106" t="s">
        <v>803</v>
      </c>
      <c r="B6" s="1106"/>
      <c r="C6" s="1106"/>
      <c r="D6" s="1106"/>
      <c r="E6" s="1106"/>
      <c r="F6" s="1106"/>
      <c r="G6" s="1106"/>
      <c r="H6" s="1106"/>
      <c r="I6" s="1106"/>
      <c r="J6" s="1106"/>
      <c r="K6" s="1106"/>
      <c r="L6" s="1106"/>
      <c r="M6" s="1106"/>
      <c r="N6" s="1106"/>
      <c r="O6" s="1106"/>
      <c r="P6" s="578"/>
    </row>
    <row r="7" spans="1:18" s="516" customFormat="1" ht="21" customHeight="1">
      <c r="A7" s="1107" t="s">
        <v>342</v>
      </c>
      <c r="B7" s="1107"/>
      <c r="C7" s="1107"/>
      <c r="D7" s="1107"/>
      <c r="E7" s="1107"/>
      <c r="F7" s="1107"/>
      <c r="G7" s="1107"/>
      <c r="H7" s="1107"/>
      <c r="I7" s="1107"/>
      <c r="J7" s="1107"/>
      <c r="K7" s="1107"/>
      <c r="L7" s="1107"/>
      <c r="M7" s="1107"/>
      <c r="N7" s="1107"/>
      <c r="O7" s="1107"/>
      <c r="P7" s="578"/>
    </row>
    <row r="8" spans="1:18">
      <c r="D8" s="512"/>
    </row>
    <row r="9" spans="1:18" s="517" customFormat="1" ht="24" customHeight="1">
      <c r="A9" s="1108" t="s">
        <v>239</v>
      </c>
      <c r="B9" s="1111" t="s">
        <v>301</v>
      </c>
      <c r="C9" s="1112"/>
      <c r="D9" s="1112"/>
      <c r="E9" s="1112"/>
      <c r="F9" s="1112"/>
      <c r="G9" s="1112"/>
      <c r="H9" s="1113"/>
      <c r="I9" s="1111" t="s">
        <v>302</v>
      </c>
      <c r="J9" s="1112"/>
      <c r="K9" s="1112"/>
      <c r="L9" s="1113"/>
      <c r="M9" s="1114" t="s">
        <v>303</v>
      </c>
      <c r="N9" s="1114"/>
      <c r="O9" s="1114"/>
      <c r="P9" s="579"/>
    </row>
    <row r="10" spans="1:18" s="517" customFormat="1" ht="24" customHeight="1">
      <c r="A10" s="1109"/>
      <c r="B10" s="1111" t="s">
        <v>304</v>
      </c>
      <c r="C10" s="1113"/>
      <c r="D10" s="1108" t="s">
        <v>305</v>
      </c>
      <c r="E10" s="1108" t="s">
        <v>306</v>
      </c>
      <c r="F10" s="1108" t="s">
        <v>307</v>
      </c>
      <c r="G10" s="1108" t="s">
        <v>308</v>
      </c>
      <c r="H10" s="1108" t="s">
        <v>309</v>
      </c>
      <c r="I10" s="1111" t="s">
        <v>310</v>
      </c>
      <c r="J10" s="1113"/>
      <c r="K10" s="1115" t="s">
        <v>311</v>
      </c>
      <c r="L10" s="1108" t="s">
        <v>312</v>
      </c>
      <c r="M10" s="1114" t="s">
        <v>304</v>
      </c>
      <c r="N10" s="1114"/>
      <c r="O10" s="1114" t="s">
        <v>313</v>
      </c>
      <c r="P10" s="579"/>
    </row>
    <row r="11" spans="1:18" s="517" customFormat="1" ht="55.5" customHeight="1">
      <c r="A11" s="1110"/>
      <c r="B11" s="518" t="s">
        <v>314</v>
      </c>
      <c r="C11" s="518" t="s">
        <v>240</v>
      </c>
      <c r="D11" s="1110"/>
      <c r="E11" s="1110"/>
      <c r="F11" s="1110"/>
      <c r="G11" s="1110"/>
      <c r="H11" s="1110"/>
      <c r="I11" s="518" t="s">
        <v>315</v>
      </c>
      <c r="J11" s="518" t="s">
        <v>316</v>
      </c>
      <c r="K11" s="1116"/>
      <c r="L11" s="1110"/>
      <c r="M11" s="518" t="s">
        <v>15</v>
      </c>
      <c r="N11" s="518" t="s">
        <v>240</v>
      </c>
      <c r="O11" s="1114"/>
      <c r="P11" s="579"/>
    </row>
    <row r="12" spans="1:18" s="521" customFormat="1" ht="13.5">
      <c r="A12" s="519" t="s">
        <v>2</v>
      </c>
      <c r="B12" s="519" t="s">
        <v>3</v>
      </c>
      <c r="C12" s="519" t="s">
        <v>4</v>
      </c>
      <c r="D12" s="519" t="s">
        <v>5</v>
      </c>
      <c r="E12" s="519" t="s">
        <v>6</v>
      </c>
      <c r="F12" s="519" t="s">
        <v>131</v>
      </c>
      <c r="G12" s="519" t="s">
        <v>317</v>
      </c>
      <c r="H12" s="519">
        <v>1</v>
      </c>
      <c r="I12" s="519">
        <v>2</v>
      </c>
      <c r="J12" s="519">
        <v>3</v>
      </c>
      <c r="K12" s="520"/>
      <c r="L12" s="519">
        <v>4</v>
      </c>
      <c r="M12" s="519" t="s">
        <v>318</v>
      </c>
      <c r="N12" s="519" t="s">
        <v>319</v>
      </c>
      <c r="O12" s="519" t="s">
        <v>320</v>
      </c>
      <c r="P12" s="580"/>
    </row>
    <row r="13" spans="1:18" s="521" customFormat="1" ht="21.75" customHeight="1">
      <c r="A13" s="541" t="s">
        <v>318</v>
      </c>
      <c r="B13" s="543" t="s">
        <v>341</v>
      </c>
      <c r="C13" s="541"/>
      <c r="D13" s="541"/>
      <c r="E13" s="541"/>
      <c r="F13" s="541"/>
      <c r="G13" s="581"/>
      <c r="H13" s="548"/>
      <c r="I13" s="548"/>
      <c r="J13" s="548"/>
      <c r="K13" s="548"/>
      <c r="L13" s="8"/>
      <c r="M13" s="541"/>
      <c r="N13" s="541"/>
      <c r="O13" s="182"/>
      <c r="P13" s="580" t="str">
        <f>IF(D13='THE-TS'!$D$11,"x","")</f>
        <v/>
      </c>
    </row>
    <row r="14" spans="1:18" ht="21.75" customHeight="1">
      <c r="A14" s="542">
        <v>1</v>
      </c>
      <c r="B14" s="552" t="s">
        <v>694</v>
      </c>
      <c r="C14" s="522">
        <v>40682</v>
      </c>
      <c r="D14" s="210" t="s">
        <v>482</v>
      </c>
      <c r="E14" s="460" t="s">
        <v>321</v>
      </c>
      <c r="F14" s="551" t="s">
        <v>811</v>
      </c>
      <c r="G14" s="581" t="s">
        <v>749</v>
      </c>
      <c r="H14" s="262">
        <v>18000000</v>
      </c>
      <c r="I14" s="262">
        <v>5</v>
      </c>
      <c r="J14" s="8">
        <v>2100000</v>
      </c>
      <c r="K14" s="8"/>
      <c r="L14" s="8">
        <f t="shared" ref="L14:L16" si="0">K14+J14</f>
        <v>2100000</v>
      </c>
      <c r="M14" s="538"/>
      <c r="N14" s="460"/>
      <c r="O14" s="182"/>
      <c r="P14" s="580" t="str">
        <f>IF(D14='THE-TS'!$D$11,"x","")</f>
        <v>x</v>
      </c>
      <c r="Q14" s="298"/>
      <c r="R14" s="298"/>
    </row>
    <row r="15" spans="1:18" ht="21.75" customHeight="1">
      <c r="A15" s="542">
        <v>2</v>
      </c>
      <c r="B15" s="551" t="s">
        <v>697</v>
      </c>
      <c r="C15" s="522">
        <v>40686</v>
      </c>
      <c r="D15" s="210" t="s">
        <v>485</v>
      </c>
      <c r="E15" s="460" t="s">
        <v>321</v>
      </c>
      <c r="F15" s="551" t="s">
        <v>811</v>
      </c>
      <c r="G15" s="581" t="s">
        <v>750</v>
      </c>
      <c r="H15" s="262">
        <v>27000000</v>
      </c>
      <c r="I15" s="262">
        <v>5</v>
      </c>
      <c r="J15" s="8">
        <v>3150000</v>
      </c>
      <c r="K15" s="8"/>
      <c r="L15" s="8">
        <f t="shared" si="0"/>
        <v>3150000</v>
      </c>
      <c r="M15" s="538"/>
      <c r="N15" s="460"/>
      <c r="O15" s="182"/>
      <c r="P15" s="580" t="str">
        <f>IF(D15='THE-TS'!$D$11,"x","")</f>
        <v/>
      </c>
      <c r="Q15" s="298"/>
      <c r="R15" s="298"/>
    </row>
    <row r="16" spans="1:18" ht="21.75" customHeight="1">
      <c r="A16" s="542">
        <v>3</v>
      </c>
      <c r="B16" s="551" t="s">
        <v>360</v>
      </c>
      <c r="C16" s="522">
        <v>40710</v>
      </c>
      <c r="D16" s="210" t="s">
        <v>551</v>
      </c>
      <c r="E16" s="460" t="s">
        <v>321</v>
      </c>
      <c r="F16" s="551" t="s">
        <v>812</v>
      </c>
      <c r="G16" s="581" t="s">
        <v>751</v>
      </c>
      <c r="H16" s="262">
        <v>320000000</v>
      </c>
      <c r="I16" s="262">
        <v>5</v>
      </c>
      <c r="J16" s="8">
        <v>32000000</v>
      </c>
      <c r="K16" s="8"/>
      <c r="L16" s="8">
        <f t="shared" si="0"/>
        <v>32000000</v>
      </c>
      <c r="M16" s="538"/>
      <c r="N16" s="182"/>
      <c r="O16" s="182"/>
      <c r="P16" s="580" t="str">
        <f>IF(D16='THE-TS'!$D$11,"x","")</f>
        <v/>
      </c>
      <c r="Q16" s="298"/>
      <c r="R16" s="298"/>
    </row>
    <row r="17" spans="1:18" ht="21.75" customHeight="1">
      <c r="A17" s="523"/>
      <c r="B17" s="544"/>
      <c r="C17" s="545"/>
      <c r="D17" s="546"/>
      <c r="E17" s="524"/>
      <c r="F17" s="545"/>
      <c r="G17" s="544"/>
      <c r="H17" s="549"/>
      <c r="I17" s="549"/>
      <c r="J17" s="305"/>
      <c r="K17" s="305"/>
      <c r="L17" s="305"/>
      <c r="M17" s="524"/>
      <c r="N17" s="524"/>
      <c r="O17" s="524"/>
      <c r="P17" s="580" t="str">
        <f>IF(D17='THE-TS'!$D$11,"x","")</f>
        <v/>
      </c>
      <c r="R17" s="539"/>
    </row>
    <row r="18" spans="1:18" s="527" customFormat="1" ht="21.75" customHeight="1">
      <c r="A18" s="525"/>
      <c r="B18" s="526"/>
      <c r="C18" s="525"/>
      <c r="D18" s="525" t="s">
        <v>322</v>
      </c>
      <c r="E18" s="525" t="s">
        <v>19</v>
      </c>
      <c r="F18" s="525" t="s">
        <v>19</v>
      </c>
      <c r="G18" s="525" t="s">
        <v>19</v>
      </c>
      <c r="H18" s="550">
        <f>SUM(H13:H17)</f>
        <v>365000000</v>
      </c>
      <c r="I18" s="550"/>
      <c r="J18" s="550">
        <f>SUM(J13:J17)</f>
        <v>37250000</v>
      </c>
      <c r="K18" s="550">
        <f>SUM(K13:K17)</f>
        <v>0</v>
      </c>
      <c r="L18" s="550">
        <f>SUM(L13:L17)</f>
        <v>37250000</v>
      </c>
      <c r="M18" s="586" t="s">
        <v>19</v>
      </c>
      <c r="N18" s="586" t="s">
        <v>19</v>
      </c>
      <c r="O18" s="586" t="s">
        <v>19</v>
      </c>
      <c r="P18" s="580" t="str">
        <f>IF(D18='THE-TS'!$D$11,"x","")</f>
        <v/>
      </c>
    </row>
    <row r="19" spans="1:18" ht="6.75" customHeight="1">
      <c r="A19" s="463"/>
      <c r="B19" s="463"/>
      <c r="C19" s="528"/>
      <c r="D19" s="463"/>
      <c r="E19" s="528"/>
      <c r="F19" s="528"/>
      <c r="G19" s="528"/>
      <c r="H19" s="463"/>
      <c r="I19" s="463"/>
      <c r="J19" s="463"/>
      <c r="K19" s="529"/>
      <c r="L19" s="463"/>
      <c r="M19" s="463"/>
      <c r="N19" s="463"/>
      <c r="O19" s="463"/>
      <c r="P19" s="580" t="str">
        <f>IF(D19='THE-TS'!$D$11,"x","")</f>
        <v/>
      </c>
    </row>
    <row r="20" spans="1:18" ht="13.5" customHeight="1">
      <c r="A20" s="463"/>
      <c r="B20" s="463"/>
      <c r="C20" s="528"/>
      <c r="D20" s="463" t="s">
        <v>323</v>
      </c>
      <c r="E20" s="463"/>
      <c r="F20" s="528"/>
      <c r="G20" s="463"/>
      <c r="H20" s="513"/>
      <c r="I20" s="513"/>
      <c r="J20" s="587"/>
      <c r="L20" s="513"/>
      <c r="M20" s="463"/>
      <c r="N20" s="463"/>
      <c r="O20" s="463"/>
      <c r="P20" s="580" t="str">
        <f>IF(D20='THE-TS'!$D$11,"x","")</f>
        <v/>
      </c>
    </row>
    <row r="21" spans="1:18" ht="13.5" customHeight="1">
      <c r="A21" s="463"/>
      <c r="B21" s="463"/>
      <c r="C21" s="528"/>
      <c r="D21" s="463" t="s">
        <v>805</v>
      </c>
      <c r="E21" s="463"/>
      <c r="F21" s="528"/>
      <c r="G21" s="463"/>
      <c r="H21" s="539"/>
      <c r="I21" s="463"/>
      <c r="J21" s="547"/>
      <c r="K21" s="529"/>
      <c r="L21" s="463"/>
      <c r="M21" s="463"/>
      <c r="N21" s="463"/>
      <c r="O21" s="463"/>
      <c r="P21" s="580" t="str">
        <f>IF(D21='THE-TS'!$D$11,"x","")</f>
        <v/>
      </c>
    </row>
    <row r="22" spans="1:18" ht="13.5" customHeight="1">
      <c r="K22" s="530"/>
      <c r="L22" s="515" t="s">
        <v>804</v>
      </c>
      <c r="P22" s="580" t="str">
        <f>IF(D22='THE-TS'!$D$11,"x","")</f>
        <v/>
      </c>
    </row>
    <row r="23" spans="1:18" ht="13.5" customHeight="1">
      <c r="B23" s="512"/>
      <c r="D23" s="512" t="s">
        <v>11</v>
      </c>
      <c r="F23" s="512" t="s">
        <v>324</v>
      </c>
      <c r="I23" s="531"/>
      <c r="K23" s="528"/>
      <c r="L23" s="528" t="s">
        <v>109</v>
      </c>
      <c r="P23" s="580" t="str">
        <f>IF(D23='THE-TS'!$D$11,"x","")</f>
        <v/>
      </c>
    </row>
    <row r="24" spans="1:18" ht="13.5" customHeight="1">
      <c r="B24" s="512"/>
      <c r="D24" s="512"/>
      <c r="P24" s="580" t="str">
        <f>IF(D24='THE-TS'!$D$11,"x","")</f>
        <v/>
      </c>
    </row>
    <row r="25" spans="1:18" ht="13.5" customHeight="1">
      <c r="H25" s="532"/>
      <c r="J25" s="532"/>
      <c r="L25" s="532"/>
      <c r="P25" s="580" t="str">
        <f>IF(D25='THE-TS'!$D$11,"x","")</f>
        <v/>
      </c>
    </row>
    <row r="26" spans="1:18" ht="13.5" customHeight="1">
      <c r="H26" s="533"/>
      <c r="P26" s="580" t="str">
        <f>IF(D26='THE-TS'!$D$11,"x","")</f>
        <v/>
      </c>
    </row>
    <row r="27" spans="1:18" ht="13.5" customHeight="1">
      <c r="H27" s="533"/>
      <c r="J27" s="532"/>
      <c r="P27" s="580" t="str">
        <f>IF(D27='THE-TS'!$D$11,"x","")</f>
        <v/>
      </c>
    </row>
    <row r="28" spans="1:18" ht="13.5" customHeight="1">
      <c r="H28" s="533"/>
      <c r="P28" s="580" t="str">
        <f>IF(D28='THE-TS'!$D$11,"x","")</f>
        <v/>
      </c>
    </row>
    <row r="29" spans="1:18" ht="13.5" customHeight="1">
      <c r="H29" s="533"/>
      <c r="P29" s="580" t="str">
        <f>IF(D29='THE-TS'!$D$11,"x","")</f>
        <v/>
      </c>
    </row>
    <row r="30" spans="1:18" s="534" customFormat="1" ht="13.5" customHeight="1">
      <c r="C30" s="535"/>
      <c r="D30" s="535"/>
      <c r="F30" s="535"/>
      <c r="H30" s="536"/>
      <c r="K30" s="537"/>
      <c r="P30" s="580"/>
    </row>
    <row r="31" spans="1:18" ht="13.5">
      <c r="P31" s="580" t="str">
        <f>IF(D31='THE-TS'!$D$11,"x","")</f>
        <v/>
      </c>
    </row>
    <row r="32" spans="1:18" ht="13.5" customHeight="1">
      <c r="H32" s="533"/>
      <c r="P32" s="580" t="str">
        <f>IF(D32='THE-TS'!$D$11,"x","")</f>
        <v/>
      </c>
    </row>
    <row r="33" spans="16:16" ht="13.5">
      <c r="P33" s="58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4" customWidth="1"/>
    <col min="2" max="2" width="10.140625" style="554" customWidth="1"/>
    <col min="3" max="3" width="11.5703125" style="554" customWidth="1"/>
    <col min="4" max="4" width="28.7109375" style="554" customWidth="1"/>
    <col min="5" max="5" width="13.28515625" style="554" customWidth="1"/>
    <col min="6" max="6" width="9.140625" style="554"/>
    <col min="7" max="7" width="14" style="554" customWidth="1"/>
    <col min="8" max="8" width="14.7109375" style="554" customWidth="1"/>
    <col min="9" max="10" width="9.140625" style="554"/>
    <col min="11" max="11" width="13.85546875" style="554" customWidth="1"/>
    <col min="12" max="16384" width="9.140625" style="554"/>
  </cols>
  <sheetData>
    <row r="1" spans="1:11" hidden="1"/>
    <row r="2" spans="1:11">
      <c r="A2" s="640" t="str">
        <f>TH!A1</f>
        <v>Đơn vị: CÔNG TY TNHH SX TM KIM DUNG PHÁT</v>
      </c>
      <c r="B2" s="553"/>
      <c r="C2" s="553"/>
      <c r="D2" s="553"/>
      <c r="E2" s="514"/>
      <c r="F2" s="1104" t="s">
        <v>325</v>
      </c>
      <c r="G2" s="1104"/>
      <c r="H2" s="1104"/>
    </row>
    <row r="3" spans="1:11">
      <c r="A3" s="570" t="str">
        <f>TH!A2</f>
        <v>Địa chỉ: 1A227/1 Ấp 1, Phạm Văn Hai, Bình Chánh, TPHCM</v>
      </c>
      <c r="B3" s="553"/>
      <c r="C3" s="553"/>
      <c r="D3" s="553"/>
      <c r="E3" s="515"/>
      <c r="F3" s="110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3"/>
      <c r="H3" s="1103"/>
    </row>
    <row r="4" spans="1:11">
      <c r="A4" s="512"/>
      <c r="B4" s="512"/>
      <c r="C4" s="515"/>
      <c r="D4" s="515"/>
      <c r="E4" s="515"/>
      <c r="F4" s="1103"/>
      <c r="G4" s="1103"/>
      <c r="H4" s="1103"/>
    </row>
    <row r="5" spans="1:11">
      <c r="A5" s="512"/>
      <c r="B5" s="512"/>
      <c r="C5" s="515"/>
      <c r="D5" s="515"/>
      <c r="E5" s="515"/>
      <c r="F5" s="515"/>
      <c r="G5" s="515"/>
      <c r="H5" s="515"/>
    </row>
    <row r="6" spans="1:11" ht="23.25" customHeight="1" thickBot="1">
      <c r="A6" s="1134" t="s">
        <v>326</v>
      </c>
      <c r="B6" s="1134"/>
      <c r="C6" s="1134"/>
      <c r="D6" s="1134"/>
      <c r="E6" s="1134"/>
      <c r="F6" s="1134"/>
      <c r="G6" s="1134"/>
      <c r="H6" s="1134"/>
    </row>
    <row r="7" spans="1:11" ht="17.25" customHeight="1" thickBot="1">
      <c r="A7" s="1133" t="str">
        <f ca="1" xml:space="preserve"> IF(ROWS($1:1)&gt;COUNT(Dong3),"","Số: "&amp;OFFSET('SO-TS'!$G$1,SMALL(Dong3,ROWS($1:1)),))</f>
        <v>Số: SX01/11</v>
      </c>
      <c r="B7" s="1133"/>
      <c r="C7" s="1133"/>
      <c r="D7" s="1133"/>
      <c r="E7" s="1133"/>
      <c r="F7" s="1133"/>
      <c r="G7" s="1133"/>
      <c r="H7" s="1133"/>
      <c r="J7" s="571" t="s">
        <v>343</v>
      </c>
      <c r="K7" s="572" t="s">
        <v>349</v>
      </c>
    </row>
    <row r="8" spans="1:11" ht="17.25" customHeight="1">
      <c r="A8" s="113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35"/>
      <c r="C8" s="1135"/>
      <c r="D8" s="1135"/>
      <c r="E8" s="1135"/>
      <c r="F8" s="1135"/>
      <c r="G8" s="1135"/>
      <c r="H8" s="1135"/>
    </row>
    <row r="9" spans="1:11" ht="12" customHeight="1">
      <c r="A9" s="512"/>
      <c r="B9" s="512"/>
      <c r="C9" s="512"/>
      <c r="D9" s="512"/>
      <c r="E9" s="512"/>
      <c r="F9" s="512"/>
      <c r="G9" s="515"/>
      <c r="H9" s="515"/>
    </row>
    <row r="10" spans="1:11" ht="15" customHeight="1">
      <c r="A10" s="511" t="str">
        <f ca="1">"Căn cứ vào biên bản giao nhận TSCĐ "&amp;"  "&amp;A7&amp;"  "&amp;A8</f>
        <v>Căn cứ vào biên bản giao nhận TSCĐ   Số: SX01/11  Ngày   19   tháng   5  năm   2011</v>
      </c>
      <c r="B10" s="511"/>
      <c r="C10" s="511"/>
      <c r="D10" s="511"/>
      <c r="E10" s="511"/>
      <c r="F10" s="511"/>
      <c r="G10" s="511"/>
      <c r="H10" s="511"/>
    </row>
    <row r="11" spans="1:11" ht="15" customHeight="1">
      <c r="A11" s="511" t="s">
        <v>344</v>
      </c>
      <c r="B11" s="511"/>
      <c r="C11" s="511"/>
      <c r="D11" s="511" t="s">
        <v>482</v>
      </c>
      <c r="E11" s="511" t="str">
        <f ca="1" xml:space="preserve"> IF(ROWS($1:1)&gt;COUNT(Dong3),"","Số hiệu TSCĐ:   "&amp;OFFSET('SO-TS'!$G$1,SMALL(Dong3,ROWS($1:1)),))</f>
        <v>Số hiệu TSCĐ:   SX01/11</v>
      </c>
      <c r="F11" s="511"/>
      <c r="H11" s="511"/>
    </row>
    <row r="12" spans="1:11" ht="15" customHeight="1">
      <c r="A12" s="511" t="str">
        <f ca="1" xml:space="preserve"> IF(ROWS($1:1)&gt;COUNT(Dong3),"","Nước sản xuất:   "&amp;OFFSET('SO-TS'!$E$1,SMALL(Dong3,ROWS($1:1)),))</f>
        <v>Nước sản xuất:   Việt Nam</v>
      </c>
      <c r="B12" s="511"/>
      <c r="C12" s="511"/>
      <c r="D12" s="511"/>
      <c r="E12" s="511" t="s">
        <v>345</v>
      </c>
      <c r="F12" s="511"/>
      <c r="G12" s="511"/>
      <c r="H12" s="511"/>
    </row>
    <row r="13" spans="1:11" ht="15" customHeight="1">
      <c r="A13" s="51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1"/>
      <c r="C13" s="511"/>
      <c r="D13" s="511"/>
      <c r="E13" s="511" t="str">
        <f ca="1" xml:space="preserve"> IF(ROWS($1:1)&gt;COUNT(Dong3),"","Tháng, năm đưa vào sử dụng:    "&amp;OFFSET('SO-TS'!$F$1,SMALL(Dong3,ROWS($1:1)),))</f>
        <v>Tháng, năm đưa vào sử dụng:    06/2011</v>
      </c>
      <c r="F13" s="511"/>
      <c r="G13" s="511"/>
      <c r="H13" s="511"/>
    </row>
    <row r="14" spans="1:11" ht="15" customHeight="1">
      <c r="A14" s="511" t="s">
        <v>327</v>
      </c>
      <c r="B14" s="511"/>
      <c r="C14" s="511"/>
      <c r="D14" s="511"/>
      <c r="E14" s="511"/>
      <c r="F14" s="511"/>
      <c r="G14" s="511"/>
      <c r="H14" s="511"/>
    </row>
    <row r="15" spans="1:11" ht="15" customHeight="1">
      <c r="A15" s="511" t="s">
        <v>347</v>
      </c>
      <c r="B15" s="511"/>
      <c r="C15" s="511"/>
      <c r="D15" s="511"/>
      <c r="E15" s="511"/>
      <c r="F15" s="511"/>
      <c r="G15" s="511"/>
      <c r="H15" s="511"/>
    </row>
    <row r="16" spans="1:11" ht="15" customHeight="1">
      <c r="A16" s="573" t="s">
        <v>346</v>
      </c>
      <c r="B16" s="573"/>
      <c r="C16" s="573"/>
      <c r="D16" s="573"/>
      <c r="E16" s="573"/>
      <c r="F16" s="573"/>
      <c r="G16" s="573"/>
      <c r="H16" s="573"/>
    </row>
    <row r="17" spans="1:8" s="567" customFormat="1" ht="18" customHeight="1">
      <c r="A17" s="1119" t="s">
        <v>125</v>
      </c>
      <c r="B17" s="1120"/>
      <c r="C17" s="1123" t="s">
        <v>328</v>
      </c>
      <c r="D17" s="1124"/>
      <c r="E17" s="1125"/>
      <c r="F17" s="1126" t="s">
        <v>329</v>
      </c>
      <c r="G17" s="1127"/>
      <c r="H17" s="1128"/>
    </row>
    <row r="18" spans="1:8" s="567" customFormat="1" ht="28.5" customHeight="1">
      <c r="A18" s="1121"/>
      <c r="B18" s="1122"/>
      <c r="C18" s="540" t="s">
        <v>330</v>
      </c>
      <c r="D18" s="540" t="s">
        <v>0</v>
      </c>
      <c r="E18" s="540" t="s">
        <v>331</v>
      </c>
      <c r="F18" s="540" t="s">
        <v>332</v>
      </c>
      <c r="G18" s="540" t="s">
        <v>333</v>
      </c>
      <c r="H18" s="540" t="s">
        <v>334</v>
      </c>
    </row>
    <row r="19" spans="1:8" s="569" customFormat="1">
      <c r="A19" s="1129" t="s">
        <v>2</v>
      </c>
      <c r="B19" s="1130"/>
      <c r="C19" s="568" t="s">
        <v>3</v>
      </c>
      <c r="D19" s="568" t="s">
        <v>4</v>
      </c>
      <c r="E19" s="568">
        <v>1</v>
      </c>
      <c r="F19" s="568">
        <v>2</v>
      </c>
      <c r="G19" s="568">
        <v>3</v>
      </c>
      <c r="H19" s="568">
        <v>4</v>
      </c>
    </row>
    <row r="20" spans="1:8" ht="17.25" customHeight="1">
      <c r="A20" s="480">
        <f ca="1">IF(B20&lt;&gt;"",ROW()-19,"")</f>
        <v>1</v>
      </c>
      <c r="B20" s="555" t="str">
        <f ca="1" xml:space="preserve"> IF(ROWS($1:1)&gt;COUNT(Dong3),"",OFFSET('SO-TS'!G$1,SMALL(Dong3,ROWS($1:1)),))</f>
        <v>SX01/11</v>
      </c>
      <c r="C20" s="555" t="str">
        <f ca="1" xml:space="preserve"> IF(ROWS($1:1)&gt;COUNT(Dong3),"",OFFSET('SO-TS'!F$1,SMALL(Dong3,ROWS($1:1)),))</f>
        <v>06/2011</v>
      </c>
      <c r="D20" s="582" t="str">
        <f ca="1" xml:space="preserve"> IF(ROWS($1:1)&gt;COUNT(Dong3),"",OFFSET('SO-TS'!D$1,SMALL(Dong3,ROWS($1:1)),))</f>
        <v>Máy chap khe khổ 2m</v>
      </c>
      <c r="E20" s="583">
        <f ca="1" xml:space="preserve"> IF(ROWS($1:1)&gt;COUNT(Dong3),"",OFFSET('SO-TS'!H$1,SMALL(Dong3,ROWS($1:1)),))</f>
        <v>18000000</v>
      </c>
      <c r="F20" s="58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0" t="str">
        <f t="shared" ref="A21" si="0">IF(B21&lt;&gt;"",ROW()-19,"")</f>
        <v/>
      </c>
      <c r="B21" s="523"/>
      <c r="C21" s="556"/>
      <c r="D21" s="556"/>
      <c r="E21" s="585"/>
      <c r="F21" s="584"/>
      <c r="G21" s="585"/>
      <c r="H21" s="585"/>
    </row>
    <row r="22" spans="1:8" ht="17.25" customHeight="1">
      <c r="A22" s="525"/>
      <c r="B22" s="525" t="s">
        <v>335</v>
      </c>
      <c r="C22" s="557"/>
      <c r="D22" s="557"/>
      <c r="E22" s="586">
        <f ca="1">SUM(E20:E21)</f>
        <v>18000000</v>
      </c>
      <c r="F22" s="557"/>
      <c r="G22" s="586">
        <f ca="1">SUM(G20:G21)</f>
        <v>2100000</v>
      </c>
      <c r="H22" s="586"/>
    </row>
    <row r="23" spans="1:8" ht="17.25" customHeight="1">
      <c r="A23" s="558"/>
      <c r="B23" s="558"/>
      <c r="C23" s="559"/>
      <c r="D23" s="559"/>
      <c r="E23" s="559"/>
      <c r="F23" s="559"/>
      <c r="G23" s="560"/>
      <c r="H23" s="560"/>
    </row>
    <row r="24" spans="1:8" ht="17.25" customHeight="1">
      <c r="A24" s="558"/>
      <c r="B24" s="558"/>
      <c r="C24" s="559"/>
      <c r="D24" s="559"/>
      <c r="E24" s="559"/>
      <c r="F24" s="559"/>
      <c r="G24" s="560"/>
      <c r="H24" s="560"/>
    </row>
    <row r="25" spans="1:8" ht="17.25" customHeight="1">
      <c r="A25" s="1131" t="s">
        <v>336</v>
      </c>
      <c r="B25" s="1131"/>
      <c r="C25" s="1131"/>
      <c r="D25" s="1131"/>
      <c r="E25" s="1131"/>
      <c r="F25" s="1131"/>
      <c r="G25" s="1131"/>
      <c r="H25" s="1131"/>
    </row>
    <row r="26" spans="1:8" ht="27" customHeight="1">
      <c r="A26" s="525" t="s">
        <v>35</v>
      </c>
      <c r="B26" s="1111" t="s">
        <v>337</v>
      </c>
      <c r="C26" s="1113"/>
      <c r="D26" s="557" t="s">
        <v>200</v>
      </c>
      <c r="E26" s="557" t="s">
        <v>338</v>
      </c>
      <c r="F26" s="557" t="s">
        <v>339</v>
      </c>
      <c r="G26" s="560"/>
      <c r="H26" s="560"/>
    </row>
    <row r="27" spans="1:8" ht="17.25" customHeight="1">
      <c r="A27" s="525" t="s">
        <v>2</v>
      </c>
      <c r="B27" s="525" t="s">
        <v>3</v>
      </c>
      <c r="C27" s="557"/>
      <c r="D27" s="557" t="s">
        <v>4</v>
      </c>
      <c r="E27" s="557">
        <v>1</v>
      </c>
      <c r="F27" s="557">
        <v>2</v>
      </c>
      <c r="G27" s="560"/>
      <c r="H27" s="560"/>
    </row>
    <row r="28" spans="1:8" ht="17.25" customHeight="1">
      <c r="A28" s="561"/>
      <c r="B28" s="561"/>
      <c r="C28" s="562"/>
      <c r="D28" s="562"/>
      <c r="E28" s="562"/>
      <c r="F28" s="562"/>
      <c r="G28" s="560"/>
      <c r="H28" s="560"/>
    </row>
    <row r="29" spans="1:8" ht="17.25" customHeight="1">
      <c r="A29" s="563"/>
      <c r="B29" s="563"/>
      <c r="C29" s="564"/>
      <c r="D29" s="564"/>
      <c r="E29" s="564"/>
      <c r="F29" s="564"/>
      <c r="G29" s="560"/>
      <c r="H29" s="560"/>
    </row>
    <row r="30" spans="1:8" ht="17.25" customHeight="1">
      <c r="A30" s="563"/>
      <c r="B30" s="563"/>
      <c r="C30" s="564"/>
      <c r="D30" s="564"/>
      <c r="E30" s="564"/>
      <c r="F30" s="564"/>
      <c r="G30" s="560"/>
      <c r="H30" s="560"/>
    </row>
    <row r="31" spans="1:8" ht="17.25" customHeight="1">
      <c r="A31" s="563"/>
      <c r="B31" s="563"/>
      <c r="C31" s="564"/>
      <c r="D31" s="564"/>
      <c r="E31" s="564"/>
      <c r="F31" s="564"/>
      <c r="G31" s="560"/>
      <c r="H31" s="560"/>
    </row>
    <row r="32" spans="1:8" ht="17.25" customHeight="1">
      <c r="A32" s="565"/>
      <c r="B32" s="565"/>
      <c r="C32" s="566"/>
      <c r="D32" s="566"/>
      <c r="E32" s="566"/>
      <c r="F32" s="566"/>
      <c r="G32" s="560"/>
      <c r="H32" s="560"/>
    </row>
    <row r="33" spans="1:8">
      <c r="A33" s="558"/>
      <c r="B33" s="558"/>
      <c r="C33" s="559"/>
      <c r="D33" s="559"/>
      <c r="E33" s="559"/>
      <c r="F33" s="559"/>
      <c r="G33" s="560"/>
      <c r="H33" s="560"/>
    </row>
    <row r="34" spans="1:8">
      <c r="A34" s="1132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2"/>
      <c r="C34" s="1132"/>
      <c r="D34" s="1132"/>
      <c r="E34" s="1132"/>
      <c r="F34" s="1132"/>
      <c r="G34" s="1132"/>
      <c r="H34" s="1132"/>
    </row>
    <row r="35" spans="1:8">
      <c r="A35" s="1132" t="str">
        <f ca="1" xml:space="preserve"> IF(ROWS($1:1)&gt;COUNT(Dong3),"","Lý do giảm:   "&amp;OFFSET('SO-TS'!$O$1,SMALL(Dong3,ROWS($1:1)),))</f>
        <v xml:space="preserve">Lý do giảm:   </v>
      </c>
      <c r="B35" s="1132"/>
      <c r="C35" s="1132"/>
      <c r="D35" s="1132"/>
      <c r="E35" s="1132"/>
      <c r="F35" s="1132"/>
      <c r="G35" s="1132"/>
      <c r="H35" s="1132"/>
    </row>
    <row r="36" spans="1:8">
      <c r="A36" s="535"/>
      <c r="B36" s="535"/>
      <c r="C36" s="530"/>
      <c r="D36" s="530"/>
      <c r="E36" s="1118" t="s">
        <v>752</v>
      </c>
      <c r="F36" s="1118"/>
      <c r="G36" s="1118"/>
      <c r="H36" s="1118"/>
    </row>
    <row r="37" spans="1:8">
      <c r="A37" s="1133" t="s">
        <v>340</v>
      </c>
      <c r="B37" s="1133"/>
      <c r="C37" s="1133" t="s">
        <v>12</v>
      </c>
      <c r="D37" s="1133"/>
      <c r="E37" s="1104" t="s">
        <v>109</v>
      </c>
      <c r="F37" s="1104"/>
      <c r="G37" s="1104"/>
      <c r="H37" s="1104"/>
    </row>
    <row r="38" spans="1:8">
      <c r="A38" s="512"/>
      <c r="B38" s="512"/>
      <c r="C38" s="515"/>
      <c r="D38" s="515"/>
      <c r="E38" s="515"/>
      <c r="F38" s="515"/>
      <c r="G38" s="515"/>
      <c r="H38" s="515"/>
    </row>
    <row r="39" spans="1:8">
      <c r="A39" s="512"/>
      <c r="B39" s="512"/>
      <c r="C39" s="515"/>
      <c r="D39" s="515"/>
      <c r="E39" s="515"/>
      <c r="F39" s="515"/>
      <c r="G39" s="515"/>
      <c r="H39" s="515"/>
    </row>
    <row r="40" spans="1:8">
      <c r="A40" s="512"/>
      <c r="B40" s="512"/>
      <c r="C40" s="515"/>
      <c r="D40" s="515"/>
      <c r="E40" s="515"/>
      <c r="F40" s="515"/>
      <c r="G40" s="515"/>
      <c r="H40" s="515"/>
    </row>
    <row r="41" spans="1:8">
      <c r="A41" s="512"/>
      <c r="B41" s="512"/>
      <c r="C41" s="515"/>
      <c r="D41" s="515"/>
      <c r="E41" s="515"/>
      <c r="F41" s="515"/>
      <c r="G41" s="515"/>
      <c r="H41" s="515"/>
    </row>
    <row r="42" spans="1:8">
      <c r="A42" s="512"/>
      <c r="B42" s="512"/>
      <c r="C42" s="515"/>
      <c r="D42" s="515"/>
      <c r="E42" s="515"/>
      <c r="F42" s="515"/>
      <c r="G42" s="515"/>
      <c r="H42" s="515"/>
    </row>
    <row r="43" spans="1:8">
      <c r="A43" s="512"/>
      <c r="B43" s="512"/>
      <c r="C43" s="515"/>
      <c r="D43" s="515"/>
      <c r="E43" s="515"/>
      <c r="F43" s="515"/>
      <c r="G43" s="515"/>
      <c r="H43" s="515"/>
    </row>
    <row r="44" spans="1:8">
      <c r="A44" s="512"/>
      <c r="B44" s="512"/>
      <c r="C44" s="515"/>
      <c r="D44" s="515"/>
      <c r="E44" s="515"/>
      <c r="F44" s="515"/>
      <c r="G44" s="515"/>
      <c r="H44" s="515"/>
    </row>
    <row r="45" spans="1:8">
      <c r="A45" s="1117" t="s">
        <v>151</v>
      </c>
      <c r="B45" s="1117"/>
      <c r="C45" s="530"/>
      <c r="D45" s="530"/>
      <c r="E45" s="1118" t="s">
        <v>103</v>
      </c>
      <c r="F45" s="1118"/>
      <c r="G45" s="1118"/>
      <c r="H45" s="1118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43.42578125" style="734" customWidth="1"/>
    <col min="5" max="5" width="7.140625" style="734" customWidth="1"/>
    <col min="6" max="6" width="14.140625" style="734" customWidth="1"/>
    <col min="7" max="7" width="14.85546875" style="734" customWidth="1"/>
    <col min="8" max="9" width="12" style="734" customWidth="1"/>
    <col min="10" max="10" width="12.85546875" style="734" customWidth="1"/>
    <col min="11" max="12" width="13.5703125" style="734" customWidth="1"/>
    <col min="13" max="13" width="12.7109375" style="734" customWidth="1"/>
    <col min="14" max="14" width="6.28515625" style="734" customWidth="1"/>
    <col min="15" max="15" width="8.42578125" style="734" customWidth="1"/>
    <col min="16" max="16384" width="9.140625" style="734"/>
  </cols>
  <sheetData>
    <row r="2" spans="1:16">
      <c r="A2" s="733" t="str">
        <f>'IN-NX'!A2</f>
        <v>Đơn vị: CÔNG TY TNHH SX TM KIM DUNG PHÁT</v>
      </c>
      <c r="F2" s="735"/>
      <c r="G2" s="735"/>
      <c r="H2" s="735"/>
      <c r="I2" s="735"/>
      <c r="J2" s="1137" t="s">
        <v>813</v>
      </c>
      <c r="K2" s="1137"/>
      <c r="L2" s="1137"/>
      <c r="M2" s="1137"/>
    </row>
    <row r="3" spans="1:16" ht="15" customHeight="1">
      <c r="A3" s="763" t="str">
        <f>'IN-NX'!A3</f>
        <v>Địa chỉ: 1A227/1 Ấp 1, Phạm Văn Hai, Bình Chánh, TPHCM</v>
      </c>
      <c r="J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40"/>
      <c r="L3" s="1140"/>
      <c r="M3" s="1140"/>
    </row>
    <row r="4" spans="1:16">
      <c r="J4" s="1140"/>
      <c r="K4" s="1140"/>
      <c r="L4" s="1140"/>
      <c r="M4" s="1140"/>
    </row>
    <row r="5" spans="1:16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1138"/>
      <c r="N5" s="736" t="s">
        <v>167</v>
      </c>
      <c r="O5" s="649">
        <f>IF(O13="Quý I",1,IF(O13="Quý II",4,IF(O13="Quý III",7,IF(O13="Quý IV",10,""))))</f>
        <v>4</v>
      </c>
      <c r="P5" s="649">
        <f>IF(O13="Quý I",3,IF(O13="Quý II",6,IF(O13="Quý III",9,IF(O13="Quý IV",12,""))))</f>
        <v>6</v>
      </c>
    </row>
    <row r="6" spans="1:16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761"/>
    </row>
    <row r="7" spans="1:16">
      <c r="B7" s="737"/>
      <c r="C7" s="737"/>
      <c r="D7" s="737"/>
      <c r="E7" s="738" t="s">
        <v>816</v>
      </c>
      <c r="G7" s="737"/>
      <c r="H7" s="737"/>
      <c r="I7" s="737"/>
      <c r="J7" s="737"/>
      <c r="K7" s="737"/>
      <c r="L7" s="737"/>
      <c r="M7" s="737"/>
    </row>
    <row r="8" spans="1:16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  <c r="M8" s="737"/>
    </row>
    <row r="9" spans="1:16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  <c r="M9" s="739"/>
    </row>
    <row r="10" spans="1:16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  <c r="M10" s="1136"/>
    </row>
    <row r="11" spans="1:16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819</v>
      </c>
      <c r="G11" s="1142"/>
      <c r="H11" s="1142"/>
      <c r="I11" s="1142"/>
      <c r="J11" s="1142"/>
      <c r="K11" s="1142"/>
      <c r="L11" s="1142"/>
      <c r="M11" s="1142"/>
    </row>
    <row r="12" spans="1:16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  <c r="M12" s="1143"/>
    </row>
    <row r="13" spans="1:16" ht="31.5" customHeight="1" thickBot="1">
      <c r="A13" s="1141"/>
      <c r="B13" s="1143"/>
      <c r="C13" s="1143"/>
      <c r="D13" s="1141"/>
      <c r="E13" s="1141"/>
      <c r="F13" s="1143"/>
      <c r="G13" s="740" t="s">
        <v>799</v>
      </c>
      <c r="H13" s="740" t="s">
        <v>800</v>
      </c>
      <c r="I13" s="740" t="s">
        <v>801</v>
      </c>
      <c r="J13" s="740" t="s">
        <v>822</v>
      </c>
      <c r="K13" s="740" t="s">
        <v>823</v>
      </c>
      <c r="L13" s="740" t="s">
        <v>793</v>
      </c>
      <c r="M13" s="740" t="s">
        <v>824</v>
      </c>
      <c r="O13" s="762" t="s">
        <v>388</v>
      </c>
    </row>
    <row r="14" spans="1:16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/>
      <c r="J14" s="741">
        <v>4</v>
      </c>
      <c r="K14" s="741">
        <v>5</v>
      </c>
      <c r="L14" s="741"/>
      <c r="M14" s="741">
        <v>6</v>
      </c>
    </row>
    <row r="15" spans="1:16" ht="22.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  <c r="M15" s="744"/>
    </row>
    <row r="16" spans="1:16" ht="22.5" customHeight="1">
      <c r="A16" s="745">
        <f ca="1">IF(ROWS($1:1)&gt;COUNT(Dong9),"",OFFSET(TH!C$1,SMALL(Dong9,ROWS($1:1)),))</f>
        <v>40644</v>
      </c>
      <c r="B16" s="745" t="str">
        <f ca="1">IF(ROWS($1:1)&gt;COUNT(Dong9),"",OFFSET(TH!D$1,SMALL(Dong9,ROWS($1:1)),))</f>
        <v>VL/X01</v>
      </c>
      <c r="C16" s="745">
        <f ca="1">IF(ROWS($1:1)&gt;COUNT(Dong9),"",OFFSET(TH!E$1,SMALL(Dong9,ROWS($1:1)),))</f>
        <v>40644</v>
      </c>
      <c r="D16" s="746" t="str">
        <f ca="1">IF(ROWS($1:1)&gt;COUNT(Dong9),"",OFFSET(TH!F$1,SMALL(Dong9,ROWS($1:1)),))</f>
        <v>Kẽm đóng bao bì</v>
      </c>
      <c r="E16" s="745" t="str">
        <f ca="1">IF(ROWS($1:1)&gt;COUNT(Dong9),"",OFFSET(TH!M$1,SMALL(Dong9,ROWS($1:1)),))</f>
        <v>1522</v>
      </c>
      <c r="F16" s="747">
        <f ca="1">IF(ROWS($1:1)&gt;COUNT(Dong9),"",OFFSET(TH!K$1,SMALL(Dong9,ROWS($1:1)),))</f>
        <v>1175000</v>
      </c>
      <c r="G16" s="747">
        <f ca="1">IF($E16="1521",$F16,0)</f>
        <v>0</v>
      </c>
      <c r="H16" s="747">
        <f ca="1">IF($E16="1522",$F16,0)</f>
        <v>1175000</v>
      </c>
      <c r="I16" s="747">
        <f ca="1">IF(LEFT(D16,6)="Mực in",F16,0)</f>
        <v>0</v>
      </c>
      <c r="J16" s="747">
        <f ca="1">IF(OR(LEFT($E16,3)="334",LEFT($E16,3)="338"),$F16,0)</f>
        <v>0</v>
      </c>
      <c r="K16" s="747">
        <f ca="1">IF(OR(LEFT($E16,3)="331",AND(LEFT($E16,3)="111",$D16="Tiền điện")),$F16,0)</f>
        <v>0</v>
      </c>
      <c r="L16" s="747">
        <f ca="1">IF($E16="142",$F16,0)</f>
        <v>0</v>
      </c>
      <c r="M16" s="747">
        <f ca="1">IF(OR(LEFT($E16,3)="214",LEFT($E16,3)="242",AND(LEFT($E16,3)="111",$D16&lt;&gt;"Tiền điện",LEFT($D16,6)&lt;&gt;"Mực in")),$F16,0)</f>
        <v>0</v>
      </c>
    </row>
    <row r="17" spans="1:13" ht="22.5" customHeight="1">
      <c r="A17" s="745">
        <f ca="1">IF(ROWS($1:2)&gt;COUNT(Dong9),"",OFFSET(TH!C$1,SMALL(Dong9,ROWS($1:2)),))</f>
        <v>40644</v>
      </c>
      <c r="B17" s="745" t="str">
        <f ca="1">IF(ROWS($1:2)&gt;COUNT(Dong9),"",OFFSET(TH!D$1,SMALL(Dong9,ROWS($1:2)),))</f>
        <v>VL/X01</v>
      </c>
      <c r="C17" s="745">
        <f ca="1">IF(ROWS($1:2)&gt;COUNT(Dong9),"",OFFSET(TH!E$1,SMALL(Dong9,ROWS($1:2)),))</f>
        <v>40644</v>
      </c>
      <c r="D17" s="746" t="str">
        <f ca="1">IF(ROWS($1:2)&gt;COUNT(Dong9),"",OFFSET(TH!F$1,SMALL(Dong9,ROWS($1:2)),))</f>
        <v>Dây nylon</v>
      </c>
      <c r="E17" s="745" t="str">
        <f ca="1">IF(ROWS($1:2)&gt;COUNT(Dong9),"",OFFSET(TH!M$1,SMALL(Dong9,ROWS($1:2)),))</f>
        <v>1522</v>
      </c>
      <c r="F17" s="747">
        <f ca="1">IF(ROWS($1:2)&gt;COUNT(Dong9),"",OFFSET(TH!K$1,SMALL(Dong9,ROWS($1:2)),))</f>
        <v>840000</v>
      </c>
      <c r="G17" s="747">
        <f t="shared" ref="G17:G33" ca="1" si="0">IF($E17="1521",$F17,0)</f>
        <v>0</v>
      </c>
      <c r="H17" s="747">
        <f t="shared" ref="H17:H33" ca="1" si="1">IF($E17="1522",$F17,0)</f>
        <v>840000</v>
      </c>
      <c r="I17" s="747">
        <f t="shared" ref="I17:I33" ca="1" si="2">IF(LEFT(D17,6)="Mực in",F17,0)</f>
        <v>0</v>
      </c>
      <c r="J17" s="747">
        <f t="shared" ref="J17:J33" ca="1" si="3">IF(OR(LEFT($E17,3)="334",LEFT($E17,3)="338"),$F17,0)</f>
        <v>0</v>
      </c>
      <c r="K17" s="747">
        <f t="shared" ref="K17:K33" ca="1" si="4">IF(OR(LEFT($E17,3)="331",AND(LEFT($E17,3)="111",$D17="Tiền điện")),$F17,0)</f>
        <v>0</v>
      </c>
      <c r="L17" s="747">
        <f t="shared" ref="L17:L33" ca="1" si="5">IF($E17="142",$F17,0)</f>
        <v>0</v>
      </c>
      <c r="M17" s="747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45">
        <f ca="1">IF(ROWS($1:3)&gt;COUNT(Dong9),"",OFFSET(TH!C$1,SMALL(Dong9,ROWS($1:3)),))</f>
        <v>40649</v>
      </c>
      <c r="B18" s="745" t="str">
        <f ca="1">IF(ROWS($1:3)&gt;COUNT(Dong9),"",OFFSET(TH!D$1,SMALL(Dong9,ROWS($1:3)),))</f>
        <v>C17</v>
      </c>
      <c r="C18" s="745">
        <f ca="1">IF(ROWS($1:3)&gt;COUNT(Dong9),"",OFFSET(TH!E$1,SMALL(Dong9,ROWS($1:3)),))</f>
        <v>40649</v>
      </c>
      <c r="D18" s="746" t="str">
        <f ca="1">IF(ROWS($1:3)&gt;COUNT(Dong9),"",OFFSET(TH!F$1,SMALL(Dong9,ROWS($1:3)),))</f>
        <v>Mực in VFLEX 1563 Black-378, VFLEX 6417 Green Chrome Green C</v>
      </c>
      <c r="E18" s="745" t="str">
        <f ca="1">IF(ROWS($1:3)&gt;COUNT(Dong9),"",OFFSET(TH!M$1,SMALL(Dong9,ROWS($1:3)),))</f>
        <v>1111</v>
      </c>
      <c r="F18" s="747">
        <f ca="1">IF(ROWS($1:3)&gt;COUNT(Dong9),"",OFFSET(TH!K$1,SMALL(Dong9,ROWS($1:3)),))</f>
        <v>2180000</v>
      </c>
      <c r="G18" s="747">
        <f t="shared" ca="1" si="0"/>
        <v>0</v>
      </c>
      <c r="H18" s="747">
        <f t="shared" ca="1" si="1"/>
        <v>0</v>
      </c>
      <c r="I18" s="747">
        <f t="shared" ca="1" si="2"/>
        <v>2180000</v>
      </c>
      <c r="J18" s="747">
        <f t="shared" ca="1" si="3"/>
        <v>0</v>
      </c>
      <c r="K18" s="747">
        <f t="shared" ca="1" si="4"/>
        <v>0</v>
      </c>
      <c r="L18" s="747">
        <f t="shared" ca="1" si="5"/>
        <v>0</v>
      </c>
      <c r="M18" s="747">
        <f t="shared" ca="1" si="6"/>
        <v>0</v>
      </c>
    </row>
    <row r="19" spans="1:13" ht="22.5" customHeight="1">
      <c r="A19" s="745">
        <f ca="1">IF(ROWS($1:4)&gt;COUNT(Dong9),"",OFFSET(TH!C$1,SMALL(Dong9,ROWS($1:4)),))</f>
        <v>40656</v>
      </c>
      <c r="B19" s="745" t="str">
        <f ca="1">IF(ROWS($1:4)&gt;COUNT(Dong9),"",OFFSET(TH!D$1,SMALL(Dong9,ROWS($1:4)),))</f>
        <v>C19</v>
      </c>
      <c r="C19" s="745">
        <f ca="1">IF(ROWS($1:4)&gt;COUNT(Dong9),"",OFFSET(TH!E$1,SMALL(Dong9,ROWS($1:4)),))</f>
        <v>40656</v>
      </c>
      <c r="D19" s="746" t="str">
        <f ca="1">IF(ROWS($1:4)&gt;COUNT(Dong9),"",OFFSET(TH!F$1,SMALL(Dong9,ROWS($1:4)),))</f>
        <v>Ethylen Vinyl Acctate TP</v>
      </c>
      <c r="E19" s="745" t="str">
        <f ca="1">IF(ROWS($1:4)&gt;COUNT(Dong9),"",OFFSET(TH!M$1,SMALL(Dong9,ROWS($1:4)),))</f>
        <v>1111</v>
      </c>
      <c r="F19" s="747">
        <f ca="1">IF(ROWS($1:4)&gt;COUNT(Dong9),"",OFFSET(TH!K$1,SMALL(Dong9,ROWS($1:4)),))</f>
        <v>2300000</v>
      </c>
      <c r="G19" s="747">
        <f t="shared" ca="1" si="0"/>
        <v>0</v>
      </c>
      <c r="H19" s="747">
        <f t="shared" ca="1" si="1"/>
        <v>0</v>
      </c>
      <c r="I19" s="747">
        <f t="shared" ca="1" si="2"/>
        <v>0</v>
      </c>
      <c r="J19" s="747">
        <f t="shared" ca="1" si="3"/>
        <v>0</v>
      </c>
      <c r="K19" s="747">
        <f t="shared" ca="1" si="4"/>
        <v>0</v>
      </c>
      <c r="L19" s="747">
        <f t="shared" ca="1" si="5"/>
        <v>0</v>
      </c>
      <c r="M19" s="747">
        <f t="shared" ca="1" si="6"/>
        <v>2300000</v>
      </c>
    </row>
    <row r="20" spans="1:13" ht="22.5" customHeight="1">
      <c r="A20" s="745">
        <f ca="1">IF(ROWS($1:5)&gt;COUNT(Dong9),"",OFFSET(TH!C$1,SMALL(Dong9,ROWS($1:5)),))</f>
        <v>40660</v>
      </c>
      <c r="B20" s="745" t="str">
        <f ca="1">IF(ROWS($1:5)&gt;COUNT(Dong9),"",OFFSET(TH!D$1,SMALL(Dong9,ROWS($1:5)),))</f>
        <v>VL/X02</v>
      </c>
      <c r="C20" s="745">
        <f ca="1">IF(ROWS($1:5)&gt;COUNT(Dong9),"",OFFSET(TH!E$1,SMALL(Dong9,ROWS($1:5)),))</f>
        <v>40660</v>
      </c>
      <c r="D20" s="746" t="str">
        <f ca="1">IF(ROWS($1:5)&gt;COUNT(Dong9),"",OFFSET(TH!F$1,SMALL(Dong9,ROWS($1:5)),))</f>
        <v>Bản in cao su</v>
      </c>
      <c r="E20" s="745" t="str">
        <f ca="1">IF(ROWS($1:5)&gt;COUNT(Dong9),"",OFFSET(TH!M$1,SMALL(Dong9,ROWS($1:5)),))</f>
        <v>1522</v>
      </c>
      <c r="F20" s="747">
        <f ca="1">IF(ROWS($1:5)&gt;COUNT(Dong9),"",OFFSET(TH!K$1,SMALL(Dong9,ROWS($1:5)),))</f>
        <v>1100000</v>
      </c>
      <c r="G20" s="747">
        <f t="shared" ca="1" si="0"/>
        <v>0</v>
      </c>
      <c r="H20" s="747">
        <f t="shared" ca="1" si="1"/>
        <v>1100000</v>
      </c>
      <c r="I20" s="747">
        <f t="shared" ca="1" si="2"/>
        <v>0</v>
      </c>
      <c r="J20" s="747">
        <f t="shared" ca="1" si="3"/>
        <v>0</v>
      </c>
      <c r="K20" s="747">
        <f t="shared" ca="1" si="4"/>
        <v>0</v>
      </c>
      <c r="L20" s="747">
        <f t="shared" ca="1" si="5"/>
        <v>0</v>
      </c>
      <c r="M20" s="747">
        <f t="shared" ca="1" si="6"/>
        <v>0</v>
      </c>
    </row>
    <row r="21" spans="1:13" ht="22.5" customHeight="1">
      <c r="A21" s="745">
        <f ca="1">IF(ROWS($1:6)&gt;COUNT(Dong9),"",OFFSET(TH!C$1,SMALL(Dong9,ROWS($1:6)),))</f>
        <v>40664</v>
      </c>
      <c r="B21" s="745" t="str">
        <f ca="1">IF(ROWS($1:6)&gt;COUNT(Dong9),"",OFFSET(TH!D$1,SMALL(Dong9,ROWS($1:6)),))</f>
        <v>CTGS</v>
      </c>
      <c r="C21" s="745">
        <f ca="1">IF(ROWS($1:6)&gt;COUNT(Dong9),"",OFFSET(TH!E$1,SMALL(Dong9,ROWS($1:6)),))</f>
        <v>40664</v>
      </c>
      <c r="D21" s="746" t="str">
        <f ca="1">IF(ROWS($1:6)&gt;COUNT(Dong9),"",OFFSET(TH!F$1,SMALL(Dong9,ROWS($1:6)),))</f>
        <v>Trích khấu hao TSCĐ Hữu hình</v>
      </c>
      <c r="E21" s="745" t="str">
        <f ca="1">IF(ROWS($1:6)&gt;COUNT(Dong9),"",OFFSET(TH!M$1,SMALL(Dong9,ROWS($1:6)),))</f>
        <v>2141</v>
      </c>
      <c r="F21" s="747">
        <f ca="1">IF(ROWS($1:6)&gt;COUNT(Dong9),"",OFFSET(TH!K$1,SMALL(Dong9,ROWS($1:6)),))</f>
        <v>750000</v>
      </c>
      <c r="G21" s="747">
        <f t="shared" ca="1" si="0"/>
        <v>0</v>
      </c>
      <c r="H21" s="747">
        <f t="shared" ca="1" si="1"/>
        <v>0</v>
      </c>
      <c r="I21" s="747">
        <f t="shared" ca="1" si="2"/>
        <v>0</v>
      </c>
      <c r="J21" s="747">
        <f t="shared" ca="1" si="3"/>
        <v>0</v>
      </c>
      <c r="K21" s="747">
        <f t="shared" ca="1" si="4"/>
        <v>0</v>
      </c>
      <c r="L21" s="747">
        <f t="shared" ca="1" si="5"/>
        <v>0</v>
      </c>
      <c r="M21" s="747">
        <f t="shared" ca="1" si="6"/>
        <v>750000</v>
      </c>
    </row>
    <row r="22" spans="1:13" ht="22.5" customHeight="1">
      <c r="A22" s="745">
        <f ca="1">IF(ROWS($1:7)&gt;COUNT(Dong9),"",OFFSET(TH!C$1,SMALL(Dong9,ROWS($1:7)),))</f>
        <v>40664</v>
      </c>
      <c r="B22" s="745" t="str">
        <f ca="1">IF(ROWS($1:7)&gt;COUNT(Dong9),"",OFFSET(TH!D$1,SMALL(Dong9,ROWS($1:7)),))</f>
        <v>CTGS</v>
      </c>
      <c r="C22" s="745">
        <f ca="1">IF(ROWS($1:7)&gt;COUNT(Dong9),"",OFFSET(TH!E$1,SMALL(Dong9,ROWS($1:7)),))</f>
        <v>40664</v>
      </c>
      <c r="D22" s="746" t="str">
        <f ca="1">IF(ROWS($1:7)&gt;COUNT(Dong9),"",OFFSET(TH!F$1,SMALL(Dong9,ROWS($1:7)),))</f>
        <v>Phân bổ chi phí trả trước ngắn hạn</v>
      </c>
      <c r="E22" s="745" t="str">
        <f ca="1">IF(ROWS($1:7)&gt;COUNT(Dong9),"",OFFSET(TH!M$1,SMALL(Dong9,ROWS($1:7)),))</f>
        <v>142</v>
      </c>
      <c r="F22" s="747">
        <f ca="1">IF(ROWS($1:7)&gt;COUNT(Dong9),"",OFFSET(TH!K$1,SMALL(Dong9,ROWS($1:7)),))</f>
        <v>3164845</v>
      </c>
      <c r="G22" s="747">
        <f t="shared" ca="1" si="0"/>
        <v>0</v>
      </c>
      <c r="H22" s="747">
        <f t="shared" ca="1" si="1"/>
        <v>0</v>
      </c>
      <c r="I22" s="747">
        <f t="shared" ca="1" si="2"/>
        <v>0</v>
      </c>
      <c r="J22" s="747">
        <f t="shared" ca="1" si="3"/>
        <v>0</v>
      </c>
      <c r="K22" s="747">
        <f t="shared" ca="1" si="4"/>
        <v>0</v>
      </c>
      <c r="L22" s="747">
        <f t="shared" ca="1" si="5"/>
        <v>3164845</v>
      </c>
      <c r="M22" s="747">
        <f t="shared" ca="1" si="6"/>
        <v>0</v>
      </c>
    </row>
    <row r="23" spans="1:13" ht="22.5" customHeight="1">
      <c r="A23" s="745">
        <f ca="1">IF(ROWS($1:8)&gt;COUNT(Dong9),"",OFFSET(TH!C$1,SMALL(Dong9,ROWS($1:8)),))</f>
        <v>40668</v>
      </c>
      <c r="B23" s="745" t="str">
        <f ca="1">IF(ROWS($1:8)&gt;COUNT(Dong9),"",OFFSET(TH!D$1,SMALL(Dong9,ROWS($1:8)),))</f>
        <v>NL/X01</v>
      </c>
      <c r="C23" s="745">
        <f ca="1">IF(ROWS($1:8)&gt;COUNT(Dong9),"",OFFSET(TH!E$1,SMALL(Dong9,ROWS($1:8)),))</f>
        <v>40668</v>
      </c>
      <c r="D23" s="746" t="str">
        <f ca="1">IF(ROWS($1:8)&gt;COUNT(Dong9),"",OFFSET(TH!F$1,SMALL(Dong9,ROWS($1:8)),))</f>
        <v>Giấy tấm 2V+1X ( 1520x1500)</v>
      </c>
      <c r="E23" s="745" t="str">
        <f ca="1">IF(ROWS($1:8)&gt;COUNT(Dong9),"",OFFSET(TH!M$1,SMALL(Dong9,ROWS($1:8)),))</f>
        <v>1521</v>
      </c>
      <c r="F23" s="747">
        <f ca="1">IF(ROWS($1:8)&gt;COUNT(Dong9),"",OFFSET(TH!K$1,SMALL(Dong9,ROWS($1:8)),))</f>
        <v>1613276</v>
      </c>
      <c r="G23" s="747">
        <f t="shared" ca="1" si="0"/>
        <v>1613276</v>
      </c>
      <c r="H23" s="747">
        <f t="shared" ca="1" si="1"/>
        <v>0</v>
      </c>
      <c r="I23" s="747">
        <f t="shared" ca="1" si="2"/>
        <v>0</v>
      </c>
      <c r="J23" s="747">
        <f t="shared" ca="1" si="3"/>
        <v>0</v>
      </c>
      <c r="K23" s="747">
        <f t="shared" ca="1" si="4"/>
        <v>0</v>
      </c>
      <c r="L23" s="747">
        <f t="shared" ca="1" si="5"/>
        <v>0</v>
      </c>
      <c r="M23" s="747">
        <f t="shared" ca="1" si="6"/>
        <v>0</v>
      </c>
    </row>
    <row r="24" spans="1:13" ht="22.5" customHeight="1">
      <c r="A24" s="745">
        <f ca="1">IF(ROWS($1:9)&gt;COUNT(Dong9),"",OFFSET(TH!C$1,SMALL(Dong9,ROWS($1:9)),))</f>
        <v>40668</v>
      </c>
      <c r="B24" s="745" t="str">
        <f ca="1">IF(ROWS($1:9)&gt;COUNT(Dong9),"",OFFSET(TH!D$1,SMALL(Dong9,ROWS($1:9)),))</f>
        <v>NL/X01</v>
      </c>
      <c r="C24" s="745">
        <f ca="1">IF(ROWS($1:9)&gt;COUNT(Dong9),"",OFFSET(TH!E$1,SMALL(Dong9,ROWS($1:9)),))</f>
        <v>40668</v>
      </c>
      <c r="D24" s="746" t="str">
        <f ca="1">IF(ROWS($1:9)&gt;COUNT(Dong9),"",OFFSET(TH!F$1,SMALL(Dong9,ROWS($1:9)),))</f>
        <v>Giấy tấm 2V+3X ( 1780x1248)</v>
      </c>
      <c r="E24" s="745" t="str">
        <f ca="1">IF(ROWS($1:9)&gt;COUNT(Dong9),"",OFFSET(TH!M$1,SMALL(Dong9,ROWS($1:9)),))</f>
        <v>1521</v>
      </c>
      <c r="F24" s="747">
        <f ca="1">IF(ROWS($1:9)&gt;COUNT(Dong9),"",OFFSET(TH!K$1,SMALL(Dong9,ROWS($1:9)),))</f>
        <v>2189250</v>
      </c>
      <c r="G24" s="747">
        <f t="shared" ca="1" si="0"/>
        <v>2189250</v>
      </c>
      <c r="H24" s="747">
        <f t="shared" ca="1" si="1"/>
        <v>0</v>
      </c>
      <c r="I24" s="747">
        <f t="shared" ca="1" si="2"/>
        <v>0</v>
      </c>
      <c r="J24" s="747">
        <f t="shared" ca="1" si="3"/>
        <v>0</v>
      </c>
      <c r="K24" s="747">
        <f t="shared" ca="1" si="4"/>
        <v>0</v>
      </c>
      <c r="L24" s="747">
        <f t="shared" ca="1" si="5"/>
        <v>0</v>
      </c>
      <c r="M24" s="747">
        <f t="shared" ca="1" si="6"/>
        <v>0</v>
      </c>
    </row>
    <row r="25" spans="1:13" ht="22.5" customHeight="1">
      <c r="A25" s="745">
        <f ca="1">IF(ROWS($1:10)&gt;COUNT(Dong9),"",OFFSET(TH!C$1,SMALL(Dong9,ROWS($1:10)),))</f>
        <v>40668</v>
      </c>
      <c r="B25" s="745" t="str">
        <f ca="1">IF(ROWS($1:10)&gt;COUNT(Dong9),"",OFFSET(TH!D$1,SMALL(Dong9,ROWS($1:10)),))</f>
        <v>NL/X01</v>
      </c>
      <c r="C25" s="745">
        <f ca="1">IF(ROWS($1:10)&gt;COUNT(Dong9),"",OFFSET(TH!E$1,SMALL(Dong9,ROWS($1:10)),))</f>
        <v>40668</v>
      </c>
      <c r="D25" s="746" t="str">
        <f ca="1">IF(ROWS($1:10)&gt;COUNT(Dong9),"",OFFSET(TH!F$1,SMALL(Dong9,ROWS($1:10)),))</f>
        <v>Giấy tấm 2V+1X ( 1720x1250)</v>
      </c>
      <c r="E25" s="745" t="str">
        <f ca="1">IF(ROWS($1:10)&gt;COUNT(Dong9),"",OFFSET(TH!M$1,SMALL(Dong9,ROWS($1:10)),))</f>
        <v>1521</v>
      </c>
      <c r="F25" s="747">
        <f ca="1">IF(ROWS($1:10)&gt;COUNT(Dong9),"",OFFSET(TH!K$1,SMALL(Dong9,ROWS($1:10)),))</f>
        <v>3370125</v>
      </c>
      <c r="G25" s="747">
        <f t="shared" ca="1" si="0"/>
        <v>3370125</v>
      </c>
      <c r="H25" s="747">
        <f t="shared" ca="1" si="1"/>
        <v>0</v>
      </c>
      <c r="I25" s="747">
        <f t="shared" ca="1" si="2"/>
        <v>0</v>
      </c>
      <c r="J25" s="747">
        <f t="shared" ca="1" si="3"/>
        <v>0</v>
      </c>
      <c r="K25" s="747">
        <f t="shared" ca="1" si="4"/>
        <v>0</v>
      </c>
      <c r="L25" s="747">
        <f t="shared" ca="1" si="5"/>
        <v>0</v>
      </c>
      <c r="M25" s="747">
        <f t="shared" ca="1" si="6"/>
        <v>0</v>
      </c>
    </row>
    <row r="26" spans="1:13" ht="22.5" customHeight="1">
      <c r="A26" s="745">
        <f ca="1">IF(ROWS($1:11)&gt;COUNT(Dong9),"",OFFSET(TH!C$1,SMALL(Dong9,ROWS($1:11)),))</f>
        <v>40668</v>
      </c>
      <c r="B26" s="745" t="str">
        <f ca="1">IF(ROWS($1:11)&gt;COUNT(Dong9),"",OFFSET(TH!D$1,SMALL(Dong9,ROWS($1:11)),))</f>
        <v>NL/X01</v>
      </c>
      <c r="C26" s="745">
        <f ca="1">IF(ROWS($1:11)&gt;COUNT(Dong9),"",OFFSET(TH!E$1,SMALL(Dong9,ROWS($1:11)),))</f>
        <v>40668</v>
      </c>
      <c r="D26" s="746" t="str">
        <f ca="1">IF(ROWS($1:11)&gt;COUNT(Dong9),"",OFFSET(TH!F$1,SMALL(Dong9,ROWS($1:11)),))</f>
        <v>Giấy tấm 2V+1X ( 1700x570)</v>
      </c>
      <c r="E26" s="745" t="str">
        <f ca="1">IF(ROWS($1:11)&gt;COUNT(Dong9),"",OFFSET(TH!M$1,SMALL(Dong9,ROWS($1:11)),))</f>
        <v>1521</v>
      </c>
      <c r="F26" s="747">
        <f ca="1">IF(ROWS($1:11)&gt;COUNT(Dong9),"",OFFSET(TH!K$1,SMALL(Dong9,ROWS($1:11)),))</f>
        <v>2056844</v>
      </c>
      <c r="G26" s="747">
        <f t="shared" ca="1" si="0"/>
        <v>2056844</v>
      </c>
      <c r="H26" s="747">
        <f t="shared" ca="1" si="1"/>
        <v>0</v>
      </c>
      <c r="I26" s="747">
        <f t="shared" ca="1" si="2"/>
        <v>0</v>
      </c>
      <c r="J26" s="747">
        <f t="shared" ca="1" si="3"/>
        <v>0</v>
      </c>
      <c r="K26" s="747">
        <f t="shared" ca="1" si="4"/>
        <v>0</v>
      </c>
      <c r="L26" s="747">
        <f t="shared" ca="1" si="5"/>
        <v>0</v>
      </c>
      <c r="M26" s="747">
        <f t="shared" ca="1" si="6"/>
        <v>0</v>
      </c>
    </row>
    <row r="27" spans="1:13" ht="22.5" customHeight="1">
      <c r="A27" s="745">
        <f ca="1">IF(ROWS($1:12)&gt;COUNT(Dong9),"",OFFSET(TH!C$1,SMALL(Dong9,ROWS($1:12)),))</f>
        <v>40668</v>
      </c>
      <c r="B27" s="745" t="str">
        <f ca="1">IF(ROWS($1:12)&gt;COUNT(Dong9),"",OFFSET(TH!D$1,SMALL(Dong9,ROWS($1:12)),))</f>
        <v>NL/X01</v>
      </c>
      <c r="C27" s="745">
        <f ca="1">IF(ROWS($1:12)&gt;COUNT(Dong9),"",OFFSET(TH!E$1,SMALL(Dong9,ROWS($1:12)),))</f>
        <v>40668</v>
      </c>
      <c r="D27" s="746" t="str">
        <f ca="1">IF(ROWS($1:12)&gt;COUNT(Dong9),"",OFFSET(TH!F$1,SMALL(Dong9,ROWS($1:12)),))</f>
        <v>Giấy tấm 2V+3X ( 1170x420)</v>
      </c>
      <c r="E27" s="745" t="str">
        <f ca="1">IF(ROWS($1:12)&gt;COUNT(Dong9),"",OFFSET(TH!M$1,SMALL(Dong9,ROWS($1:12)),))</f>
        <v>1521</v>
      </c>
      <c r="F27" s="747">
        <f ca="1">IF(ROWS($1:12)&gt;COUNT(Dong9),"",OFFSET(TH!K$1,SMALL(Dong9,ROWS($1:12)),))</f>
        <v>2772328</v>
      </c>
      <c r="G27" s="747">
        <f t="shared" ca="1" si="0"/>
        <v>2772328</v>
      </c>
      <c r="H27" s="747">
        <f t="shared" ca="1" si="1"/>
        <v>0</v>
      </c>
      <c r="I27" s="747">
        <f t="shared" ca="1" si="2"/>
        <v>0</v>
      </c>
      <c r="J27" s="747">
        <f t="shared" ca="1" si="3"/>
        <v>0</v>
      </c>
      <c r="K27" s="747">
        <f t="shared" ca="1" si="4"/>
        <v>0</v>
      </c>
      <c r="L27" s="747">
        <f t="shared" ca="1" si="5"/>
        <v>0</v>
      </c>
      <c r="M27" s="747">
        <f t="shared" ca="1" si="6"/>
        <v>0</v>
      </c>
    </row>
    <row r="28" spans="1:13" ht="22.5" customHeight="1">
      <c r="A28" s="745">
        <f ca="1">IF(ROWS($1:13)&gt;COUNT(Dong9),"",OFFSET(TH!C$1,SMALL(Dong9,ROWS($1:13)),))</f>
        <v>40668</v>
      </c>
      <c r="B28" s="745" t="str">
        <f ca="1">IF(ROWS($1:13)&gt;COUNT(Dong9),"",OFFSET(TH!D$1,SMALL(Dong9,ROWS($1:13)),))</f>
        <v>NL/X01</v>
      </c>
      <c r="C28" s="745">
        <f ca="1">IF(ROWS($1:13)&gt;COUNT(Dong9),"",OFFSET(TH!E$1,SMALL(Dong9,ROWS($1:13)),))</f>
        <v>40668</v>
      </c>
      <c r="D28" s="746" t="str">
        <f ca="1">IF(ROWS($1:13)&gt;COUNT(Dong9),"",OFFSET(TH!F$1,SMALL(Dong9,ROWS($1:13)),))</f>
        <v>Giấy tấm 2V+3X ( 1150x444)</v>
      </c>
      <c r="E28" s="745" t="str">
        <f ca="1">IF(ROWS($1:13)&gt;COUNT(Dong9),"",OFFSET(TH!M$1,SMALL(Dong9,ROWS($1:13)),))</f>
        <v>1521</v>
      </c>
      <c r="F28" s="747">
        <f ca="1">IF(ROWS($1:13)&gt;COUNT(Dong9),"",OFFSET(TH!K$1,SMALL(Dong9,ROWS($1:13)),))</f>
        <v>2320738</v>
      </c>
      <c r="G28" s="747">
        <f t="shared" ca="1" si="0"/>
        <v>2320738</v>
      </c>
      <c r="H28" s="747">
        <f t="shared" ca="1" si="1"/>
        <v>0</v>
      </c>
      <c r="I28" s="747">
        <f t="shared" ca="1" si="2"/>
        <v>0</v>
      </c>
      <c r="J28" s="747">
        <f t="shared" ca="1" si="3"/>
        <v>0</v>
      </c>
      <c r="K28" s="747">
        <f t="shared" ca="1" si="4"/>
        <v>0</v>
      </c>
      <c r="L28" s="747">
        <f t="shared" ca="1" si="5"/>
        <v>0</v>
      </c>
      <c r="M28" s="747">
        <f t="shared" ca="1" si="6"/>
        <v>0</v>
      </c>
    </row>
    <row r="29" spans="1:13" ht="22.5" customHeight="1">
      <c r="A29" s="745">
        <f ca="1">IF(ROWS($1:14)&gt;COUNT(Dong9),"",OFFSET(TH!C$1,SMALL(Dong9,ROWS($1:14)),))</f>
        <v>40668</v>
      </c>
      <c r="B29" s="745" t="str">
        <f ca="1">IF(ROWS($1:14)&gt;COUNT(Dong9),"",OFFSET(TH!D$1,SMALL(Dong9,ROWS($1:14)),))</f>
        <v>NL/X01</v>
      </c>
      <c r="C29" s="745">
        <f ca="1">IF(ROWS($1:14)&gt;COUNT(Dong9),"",OFFSET(TH!E$1,SMALL(Dong9,ROWS($1:14)),))</f>
        <v>40668</v>
      </c>
      <c r="D29" s="746" t="str">
        <f ca="1">IF(ROWS($1:14)&gt;COUNT(Dong9),"",OFFSET(TH!F$1,SMALL(Dong9,ROWS($1:14)),))</f>
        <v>Giấy tấm 1V+4X ( 1720x669)</v>
      </c>
      <c r="E29" s="745" t="str">
        <f ca="1">IF(ROWS($1:14)&gt;COUNT(Dong9),"",OFFSET(TH!M$1,SMALL(Dong9,ROWS($1:14)),))</f>
        <v>1521</v>
      </c>
      <c r="F29" s="747">
        <f ca="1">IF(ROWS($1:14)&gt;COUNT(Dong9),"",OFFSET(TH!K$1,SMALL(Dong9,ROWS($1:14)),))</f>
        <v>1212200</v>
      </c>
      <c r="G29" s="747">
        <f t="shared" ca="1" si="0"/>
        <v>1212200</v>
      </c>
      <c r="H29" s="747">
        <f t="shared" ca="1" si="1"/>
        <v>0</v>
      </c>
      <c r="I29" s="747">
        <f t="shared" ca="1" si="2"/>
        <v>0</v>
      </c>
      <c r="J29" s="747">
        <f t="shared" ca="1" si="3"/>
        <v>0</v>
      </c>
      <c r="K29" s="747">
        <f t="shared" ca="1" si="4"/>
        <v>0</v>
      </c>
      <c r="L29" s="747">
        <f t="shared" ca="1" si="5"/>
        <v>0</v>
      </c>
      <c r="M29" s="747">
        <f t="shared" ca="1" si="6"/>
        <v>0</v>
      </c>
    </row>
    <row r="30" spans="1:13" ht="22.5" customHeight="1">
      <c r="A30" s="745">
        <f ca="1">IF(ROWS($1:15)&gt;COUNT(Dong9),"",OFFSET(TH!C$1,SMALL(Dong9,ROWS($1:15)),))</f>
        <v>40668</v>
      </c>
      <c r="B30" s="745" t="str">
        <f ca="1">IF(ROWS($1:15)&gt;COUNT(Dong9),"",OFFSET(TH!D$1,SMALL(Dong9,ROWS($1:15)),))</f>
        <v>NL/X01</v>
      </c>
      <c r="C30" s="745">
        <f ca="1">IF(ROWS($1:15)&gt;COUNT(Dong9),"",OFFSET(TH!E$1,SMALL(Dong9,ROWS($1:15)),))</f>
        <v>40668</v>
      </c>
      <c r="D30" s="746" t="str">
        <f ca="1">IF(ROWS($1:15)&gt;COUNT(Dong9),"",OFFSET(TH!F$1,SMALL(Dong9,ROWS($1:15)),))</f>
        <v>Giấy tấm 2V+1X ( 2440x1750)</v>
      </c>
      <c r="E30" s="745" t="str">
        <f ca="1">IF(ROWS($1:15)&gt;COUNT(Dong9),"",OFFSET(TH!M$1,SMALL(Dong9,ROWS($1:15)),))</f>
        <v>1521</v>
      </c>
      <c r="F30" s="747">
        <f ca="1">IF(ROWS($1:15)&gt;COUNT(Dong9),"",OFFSET(TH!K$1,SMALL(Dong9,ROWS($1:15)),))</f>
        <v>3042375</v>
      </c>
      <c r="G30" s="747">
        <f t="shared" ca="1" si="0"/>
        <v>3042375</v>
      </c>
      <c r="H30" s="747">
        <f t="shared" ca="1" si="1"/>
        <v>0</v>
      </c>
      <c r="I30" s="747">
        <f t="shared" ca="1" si="2"/>
        <v>0</v>
      </c>
      <c r="J30" s="747">
        <f t="shared" ca="1" si="3"/>
        <v>0</v>
      </c>
      <c r="K30" s="747">
        <f t="shared" ca="1" si="4"/>
        <v>0</v>
      </c>
      <c r="L30" s="747">
        <f t="shared" ca="1" si="5"/>
        <v>0</v>
      </c>
      <c r="M30" s="747">
        <f t="shared" ca="1" si="6"/>
        <v>0</v>
      </c>
    </row>
    <row r="31" spans="1:13" ht="22.5" customHeight="1">
      <c r="A31" s="745">
        <f ca="1">IF(ROWS($1:16)&gt;COUNT(Dong9),"",OFFSET(TH!C$1,SMALL(Dong9,ROWS($1:16)),))</f>
        <v>40668</v>
      </c>
      <c r="B31" s="745" t="str">
        <f ca="1">IF(ROWS($1:16)&gt;COUNT(Dong9),"",OFFSET(TH!D$1,SMALL(Dong9,ROWS($1:16)),))</f>
        <v>NL/X01</v>
      </c>
      <c r="C31" s="745">
        <f ca="1">IF(ROWS($1:16)&gt;COUNT(Dong9),"",OFFSET(TH!E$1,SMALL(Dong9,ROWS($1:16)),))</f>
        <v>40668</v>
      </c>
      <c r="D31" s="746" t="str">
        <f ca="1">IF(ROWS($1:16)&gt;COUNT(Dong9),"",OFFSET(TH!F$1,SMALL(Dong9,ROWS($1:16)),))</f>
        <v>Giấy tấm 2V+3X ( 1310x941)</v>
      </c>
      <c r="E31" s="745" t="str">
        <f ca="1">IF(ROWS($1:16)&gt;COUNT(Dong9),"",OFFSET(TH!M$1,SMALL(Dong9,ROWS($1:16)),))</f>
        <v>1521</v>
      </c>
      <c r="F31" s="747">
        <f ca="1">IF(ROWS($1:16)&gt;COUNT(Dong9),"",OFFSET(TH!K$1,SMALL(Dong9,ROWS($1:16)),))</f>
        <v>2780588</v>
      </c>
      <c r="G31" s="747">
        <f t="shared" ca="1" si="0"/>
        <v>2780588</v>
      </c>
      <c r="H31" s="747">
        <f t="shared" ca="1" si="1"/>
        <v>0</v>
      </c>
      <c r="I31" s="747">
        <f t="shared" ca="1" si="2"/>
        <v>0</v>
      </c>
      <c r="J31" s="747">
        <f t="shared" ca="1" si="3"/>
        <v>0</v>
      </c>
      <c r="K31" s="747">
        <f t="shared" ca="1" si="4"/>
        <v>0</v>
      </c>
      <c r="L31" s="747">
        <f t="shared" ca="1" si="5"/>
        <v>0</v>
      </c>
      <c r="M31" s="747">
        <f t="shared" ca="1" si="6"/>
        <v>0</v>
      </c>
    </row>
    <row r="32" spans="1:13" ht="22.5" customHeight="1">
      <c r="A32" s="745">
        <f ca="1">IF(ROWS($1:17)&gt;COUNT(Dong9),"",OFFSET(TH!C$1,SMALL(Dong9,ROWS($1:17)),))</f>
        <v>40670</v>
      </c>
      <c r="B32" s="745" t="str">
        <f ca="1">IF(ROWS($1:17)&gt;COUNT(Dong9),"",OFFSET(TH!D$1,SMALL(Dong9,ROWS($1:17)),))</f>
        <v>NL/X02</v>
      </c>
      <c r="C32" s="745">
        <f ca="1">IF(ROWS($1:17)&gt;COUNT(Dong9),"",OFFSET(TH!E$1,SMALL(Dong9,ROWS($1:17)),))</f>
        <v>40670</v>
      </c>
      <c r="D32" s="746" t="str">
        <f ca="1">IF(ROWS($1:17)&gt;COUNT(Dong9),"",OFFSET(TH!F$1,SMALL(Dong9,ROWS($1:17)),))</f>
        <v>Giấy tấm 2V+1X ( 1000x1500)</v>
      </c>
      <c r="E32" s="745" t="str">
        <f ca="1">IF(ROWS($1:17)&gt;COUNT(Dong9),"",OFFSET(TH!M$1,SMALL(Dong9,ROWS($1:17)),))</f>
        <v>1521</v>
      </c>
      <c r="F32" s="747">
        <f ca="1">IF(ROWS($1:17)&gt;COUNT(Dong9),"",OFFSET(TH!K$1,SMALL(Dong9,ROWS($1:17)),))</f>
        <v>541500</v>
      </c>
      <c r="G32" s="747">
        <f t="shared" ca="1" si="0"/>
        <v>541500</v>
      </c>
      <c r="H32" s="747">
        <f t="shared" ca="1" si="1"/>
        <v>0</v>
      </c>
      <c r="I32" s="747">
        <f t="shared" ca="1" si="2"/>
        <v>0</v>
      </c>
      <c r="J32" s="747">
        <f t="shared" ca="1" si="3"/>
        <v>0</v>
      </c>
      <c r="K32" s="747">
        <f t="shared" ca="1" si="4"/>
        <v>0</v>
      </c>
      <c r="L32" s="747">
        <f t="shared" ca="1" si="5"/>
        <v>0</v>
      </c>
      <c r="M32" s="747">
        <f t="shared" ca="1" si="6"/>
        <v>0</v>
      </c>
    </row>
    <row r="33" spans="1:13" ht="22.5" customHeight="1">
      <c r="A33" s="745">
        <f ca="1">IF(ROWS($1:18)&gt;COUNT(Dong9),"",OFFSET(TH!C$1,SMALL(Dong9,ROWS($1:18)),))</f>
        <v>40670</v>
      </c>
      <c r="B33" s="745" t="str">
        <f ca="1">IF(ROWS($1:18)&gt;COUNT(Dong9),"",OFFSET(TH!D$1,SMALL(Dong9,ROWS($1:18)),))</f>
        <v>NL/X02</v>
      </c>
      <c r="C33" s="745">
        <f ca="1">IF(ROWS($1:18)&gt;COUNT(Dong9),"",OFFSET(TH!E$1,SMALL(Dong9,ROWS($1:18)),))</f>
        <v>40670</v>
      </c>
      <c r="D33" s="746" t="str">
        <f ca="1">IF(ROWS($1:18)&gt;COUNT(Dong9),"",OFFSET(TH!F$1,SMALL(Dong9,ROWS($1:18)),))</f>
        <v>Giấy tấm 1V+2X ( 1460x444)</v>
      </c>
      <c r="E33" s="745" t="str">
        <f ca="1">IF(ROWS($1:18)&gt;COUNT(Dong9),"",OFFSET(TH!M$1,SMALL(Dong9,ROWS($1:18)),))</f>
        <v>1521</v>
      </c>
      <c r="F33" s="747">
        <f ca="1">IF(ROWS($1:18)&gt;COUNT(Dong9),"",OFFSET(TH!K$1,SMALL(Dong9,ROWS($1:18)),))</f>
        <v>333675</v>
      </c>
      <c r="G33" s="747">
        <f t="shared" ca="1" si="0"/>
        <v>333675</v>
      </c>
      <c r="H33" s="747">
        <f t="shared" ca="1" si="1"/>
        <v>0</v>
      </c>
      <c r="I33" s="747">
        <f t="shared" ca="1" si="2"/>
        <v>0</v>
      </c>
      <c r="J33" s="747">
        <f t="shared" ca="1" si="3"/>
        <v>0</v>
      </c>
      <c r="K33" s="747">
        <f t="shared" ca="1" si="4"/>
        <v>0</v>
      </c>
      <c r="L33" s="747">
        <f t="shared" ca="1" si="5"/>
        <v>0</v>
      </c>
      <c r="M33" s="747">
        <f t="shared" ca="1" si="6"/>
        <v>0</v>
      </c>
    </row>
    <row r="34" spans="1:13" ht="22.5" customHeight="1">
      <c r="A34" s="745"/>
      <c r="B34" s="748"/>
      <c r="C34" s="745"/>
      <c r="D34" s="749"/>
      <c r="E34" s="750"/>
      <c r="F34" s="751"/>
      <c r="G34" s="751"/>
      <c r="H34" s="751"/>
      <c r="I34" s="751"/>
      <c r="J34" s="751"/>
      <c r="K34" s="751"/>
      <c r="L34" s="751"/>
      <c r="M34" s="751"/>
    </row>
    <row r="35" spans="1:13" ht="22.5" customHeight="1">
      <c r="A35" s="745"/>
      <c r="B35" s="748"/>
      <c r="C35" s="745"/>
      <c r="D35" s="743" t="s">
        <v>133</v>
      </c>
      <c r="E35" s="742" t="s">
        <v>19</v>
      </c>
      <c r="F35" s="744">
        <f t="shared" ref="F35:M35" ca="1" si="7">SUM(F15:F34)</f>
        <v>33742744</v>
      </c>
      <c r="G35" s="744">
        <f t="shared" ca="1" si="7"/>
        <v>22232899</v>
      </c>
      <c r="H35" s="744">
        <f t="shared" ca="1" si="7"/>
        <v>3115000</v>
      </c>
      <c r="I35" s="744">
        <f t="shared" ca="1" si="7"/>
        <v>2180000</v>
      </c>
      <c r="J35" s="744">
        <f t="shared" ca="1" si="7"/>
        <v>0</v>
      </c>
      <c r="K35" s="744">
        <f t="shared" ca="1" si="7"/>
        <v>0</v>
      </c>
      <c r="L35" s="744">
        <f t="shared" ca="1" si="7"/>
        <v>3164845</v>
      </c>
      <c r="M35" s="744">
        <f t="shared" ca="1" si="7"/>
        <v>3050000</v>
      </c>
    </row>
    <row r="36" spans="1:13" ht="22.5" customHeight="1">
      <c r="A36" s="752"/>
      <c r="B36" s="750"/>
      <c r="C36" s="752"/>
      <c r="D36" s="753" t="s">
        <v>825</v>
      </c>
      <c r="E36" s="748"/>
      <c r="F36" s="754">
        <f ca="1">SUM(G36:M36)</f>
        <v>33742744</v>
      </c>
      <c r="G36" s="754">
        <f t="shared" ref="G36:M36" ca="1" si="8">G35</f>
        <v>22232899</v>
      </c>
      <c r="H36" s="754">
        <f t="shared" ca="1" si="8"/>
        <v>3115000</v>
      </c>
      <c r="I36" s="754">
        <f t="shared" ref="I36" ca="1" si="9">I35</f>
        <v>2180000</v>
      </c>
      <c r="J36" s="754">
        <f t="shared" ca="1" si="8"/>
        <v>0</v>
      </c>
      <c r="K36" s="754">
        <f t="shared" ca="1" si="8"/>
        <v>0</v>
      </c>
      <c r="L36" s="754">
        <f t="shared" ref="L36" ca="1" si="10">L35</f>
        <v>3164845</v>
      </c>
      <c r="M36" s="754">
        <f t="shared" ca="1" si="8"/>
        <v>3050000</v>
      </c>
    </row>
    <row r="37" spans="1:13" ht="22.5" customHeight="1">
      <c r="A37" s="755"/>
      <c r="B37" s="755"/>
      <c r="C37" s="755"/>
      <c r="D37" s="756" t="s">
        <v>10</v>
      </c>
      <c r="E37" s="755" t="s">
        <v>19</v>
      </c>
      <c r="F37" s="757">
        <f t="shared" ref="F37:M37" ca="1" si="11">F15+F35-F36</f>
        <v>0</v>
      </c>
      <c r="G37" s="757">
        <f t="shared" ca="1" si="11"/>
        <v>0</v>
      </c>
      <c r="H37" s="757">
        <f t="shared" ca="1" si="11"/>
        <v>0</v>
      </c>
      <c r="I37" s="757">
        <f t="shared" ca="1" si="11"/>
        <v>0</v>
      </c>
      <c r="J37" s="757">
        <f t="shared" ca="1" si="11"/>
        <v>0</v>
      </c>
      <c r="K37" s="757">
        <f t="shared" ca="1" si="11"/>
        <v>0</v>
      </c>
      <c r="L37" s="757">
        <f t="shared" ca="1" si="11"/>
        <v>0</v>
      </c>
      <c r="M37" s="757">
        <f t="shared" ca="1" si="11"/>
        <v>0</v>
      </c>
    </row>
    <row r="39" spans="1:13">
      <c r="B39" s="758"/>
      <c r="C39" s="738" t="s">
        <v>826</v>
      </c>
    </row>
    <row r="40" spans="1:13">
      <c r="C40" s="738" t="str">
        <f ca="1">"Ngày mở sổ: "&amp;"01/"&amp;MONTH(A16)&amp;"/ "&amp;YEAR(A16)</f>
        <v>Ngày mở sổ: 01/4/ 2011</v>
      </c>
    </row>
    <row r="41" spans="1:13">
      <c r="E41" s="737"/>
      <c r="F41" s="737"/>
      <c r="G41" s="737"/>
      <c r="H41" s="737"/>
      <c r="I41" s="737"/>
      <c r="J41" s="1095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95"/>
      <c r="L41" s="1095"/>
      <c r="M41" s="1095"/>
    </row>
    <row r="42" spans="1:13">
      <c r="B42" s="737"/>
      <c r="C42" s="734" t="s">
        <v>11</v>
      </c>
      <c r="D42" s="737"/>
      <c r="E42" s="737"/>
      <c r="F42" s="737"/>
      <c r="G42" s="737"/>
      <c r="H42" s="737"/>
      <c r="I42" s="737"/>
      <c r="J42" s="1095" t="s">
        <v>12</v>
      </c>
      <c r="K42" s="1095"/>
      <c r="L42" s="1095"/>
      <c r="M42" s="1095"/>
    </row>
    <row r="43" spans="1:13">
      <c r="B43" s="737"/>
      <c r="C43" s="734" t="s">
        <v>13</v>
      </c>
      <c r="D43" s="737"/>
      <c r="E43" s="737"/>
      <c r="F43" s="737"/>
      <c r="G43" s="737"/>
      <c r="H43" s="737"/>
      <c r="I43" s="737"/>
      <c r="J43" s="737"/>
      <c r="K43" s="737" t="s">
        <v>13</v>
      </c>
      <c r="L43" s="737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34" customWidth="1"/>
    <col min="2" max="2" width="8.85546875" style="734" customWidth="1"/>
    <col min="3" max="3" width="10.5703125" style="734" customWidth="1"/>
    <col min="4" max="4" width="31.85546875" style="734" customWidth="1"/>
    <col min="5" max="5" width="10.28515625" style="734" customWidth="1"/>
    <col min="6" max="6" width="15.28515625" style="734" customWidth="1"/>
    <col min="7" max="7" width="9.42578125" style="734" customWidth="1"/>
    <col min="8" max="8" width="15.140625" style="734" customWidth="1"/>
    <col min="9" max="9" width="9.140625" style="734"/>
    <col min="10" max="10" width="16.28515625" style="734" customWidth="1"/>
    <col min="11" max="11" width="6" style="734" customWidth="1"/>
    <col min="12" max="16384" width="9.140625" style="734"/>
  </cols>
  <sheetData>
    <row r="2" spans="1:13">
      <c r="A2" s="733" t="str">
        <f>'154'!A2</f>
        <v>Đơn vị: CÔNG TY TNHH SX TM KIM DUNG PHÁT</v>
      </c>
      <c r="F2" s="735"/>
      <c r="G2" s="1137" t="s">
        <v>813</v>
      </c>
      <c r="H2" s="1137"/>
      <c r="I2" s="1137"/>
      <c r="J2" s="1137"/>
    </row>
    <row r="3" spans="1:13" ht="15" customHeight="1">
      <c r="A3" s="763" t="str">
        <f>'154'!A3</f>
        <v>Địa chỉ: 1A227/1 Ấp 1, Phạm Văn Hai, Bình Chánh, TPHCM</v>
      </c>
      <c r="G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40"/>
      <c r="I3" s="1140"/>
      <c r="J3" s="1140"/>
    </row>
    <row r="4" spans="1:13">
      <c r="G4" s="1140"/>
      <c r="H4" s="1140"/>
      <c r="I4" s="1140"/>
      <c r="J4" s="1140"/>
    </row>
    <row r="5" spans="1:13" ht="27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736" t="s">
        <v>179</v>
      </c>
      <c r="L5" s="649">
        <f>IF(L13="Quý I",1,IF(L13="Quý II",4,IF(L13="Quý III",7,IF(L13="Quý IV",10,""))))</f>
        <v>4</v>
      </c>
      <c r="M5" s="649">
        <f>IF(L13="Quý I",3,IF(L13="Quý II",6,IF(L13="Quý III",9,IF(L13="Quý IV",12,""))))</f>
        <v>6</v>
      </c>
    </row>
    <row r="6" spans="1:13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</row>
    <row r="7" spans="1:13">
      <c r="B7" s="737"/>
      <c r="C7" s="737"/>
      <c r="D7" s="737"/>
      <c r="E7" s="738" t="s">
        <v>827</v>
      </c>
      <c r="G7" s="737"/>
      <c r="H7" s="737"/>
      <c r="I7" s="737"/>
      <c r="J7" s="737"/>
    </row>
    <row r="8" spans="1:13">
      <c r="B8" s="737"/>
      <c r="C8" s="737"/>
      <c r="D8" s="737"/>
      <c r="E8" s="738" t="s">
        <v>817</v>
      </c>
      <c r="G8" s="737"/>
      <c r="H8" s="737"/>
      <c r="I8" s="737"/>
      <c r="J8" s="737"/>
    </row>
    <row r="9" spans="1:13">
      <c r="B9" s="739"/>
      <c r="C9" s="739"/>
      <c r="D9" s="739"/>
      <c r="E9" s="738" t="s">
        <v>818</v>
      </c>
      <c r="G9" s="739"/>
      <c r="H9" s="739"/>
      <c r="I9" s="739"/>
      <c r="J9" s="739"/>
    </row>
    <row r="10" spans="1:13" ht="9.75" customHeight="1">
      <c r="C10" s="1136"/>
      <c r="D10" s="1136"/>
      <c r="E10" s="1136"/>
      <c r="F10" s="1136"/>
      <c r="G10" s="1136"/>
      <c r="H10" s="1136"/>
      <c r="I10" s="1136"/>
      <c r="J10" s="1136"/>
    </row>
    <row r="11" spans="1:13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828</v>
      </c>
      <c r="G11" s="1142"/>
      <c r="H11" s="1142"/>
      <c r="I11" s="1142"/>
      <c r="J11" s="1142"/>
    </row>
    <row r="12" spans="1:13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</row>
    <row r="13" spans="1:13" ht="30.75" customHeight="1" thickBot="1">
      <c r="A13" s="1141"/>
      <c r="B13" s="1143"/>
      <c r="C13" s="1143"/>
      <c r="D13" s="1141"/>
      <c r="E13" s="1141"/>
      <c r="F13" s="1143"/>
      <c r="G13" s="740">
        <v>154</v>
      </c>
      <c r="H13" s="740">
        <v>155</v>
      </c>
      <c r="I13" s="740">
        <v>156</v>
      </c>
      <c r="J13" s="740">
        <v>157</v>
      </c>
      <c r="L13" s="762" t="s">
        <v>388</v>
      </c>
    </row>
    <row r="14" spans="1:13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</row>
    <row r="15" spans="1:13" ht="20.2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</row>
    <row r="16" spans="1:13" ht="20.25" customHeight="1">
      <c r="A16" s="745">
        <f ca="1">IF(ROWS($1:1)&gt;COUNT(Dong8),"",OFFSET(TH!C$1,SMALL(Dong8,ROWS($1:1)),))</f>
        <v>40690</v>
      </c>
      <c r="B16" s="745" t="str">
        <f ca="1">IF(ROWS($1:1)&gt;COUNT(Dong8),"",OFFSET(TH!D$1,SMALL(Dong8,ROWS($1:1)),))</f>
        <v>TP/X01</v>
      </c>
      <c r="C16" s="745">
        <f ca="1">IF(ROWS($1:1)&gt;COUNT(Dong8),"",OFFSET(TH!E$1,SMALL(Dong8,ROWS($1:1)),))</f>
        <v>40690</v>
      </c>
      <c r="D16" s="746" t="str">
        <f ca="1">IF(ROWS($1:1)&gt;COUNT(Dong8),"",OFFSET(TH!F$1,SMALL(Dong8,ROWS($1:1)),))</f>
        <v>Thùng 5 lớp (46x37x44)</v>
      </c>
      <c r="E16" s="745" t="str">
        <f ca="1">IF(ROWS($1:1)&gt;COUNT(Dong8),"",OFFSET(TH!M$1,SMALL(Dong8,ROWS($1:1)),))</f>
        <v>155</v>
      </c>
      <c r="F16" s="747">
        <f ca="1">IF(ROWS($1:1)&gt;COUNT(Dong8),"",OFFSET(TH!K$1,SMALL(Dong8,ROWS($1:1)),))</f>
        <v>1746507</v>
      </c>
      <c r="G16" s="747">
        <f ca="1">IF($E16="154",$F16,0)</f>
        <v>0</v>
      </c>
      <c r="H16" s="747">
        <f ca="1">IF($E16="155",$F16,0)</f>
        <v>1746507</v>
      </c>
      <c r="I16" s="747">
        <f ca="1">IF($E16="156",$F16,0)</f>
        <v>0</v>
      </c>
      <c r="J16" s="747">
        <f ca="1">IF($E16="157",$F16,0)</f>
        <v>0</v>
      </c>
    </row>
    <row r="17" spans="1:10" ht="20.25" customHeight="1">
      <c r="A17" s="745">
        <f ca="1">IF(ROWS($1:2)&gt;COUNT(Dong8),"",OFFSET(TH!C$1,SMALL(Dong8,ROWS($1:2)),))</f>
        <v>40690</v>
      </c>
      <c r="B17" s="745" t="str">
        <f ca="1">IF(ROWS($1:2)&gt;COUNT(Dong8),"",OFFSET(TH!D$1,SMALL(Dong8,ROWS($1:2)),))</f>
        <v>TP/X01</v>
      </c>
      <c r="C17" s="745">
        <f ca="1">IF(ROWS($1:2)&gt;COUNT(Dong8),"",OFFSET(TH!E$1,SMALL(Dong8,ROWS($1:2)),))</f>
        <v>40690</v>
      </c>
      <c r="D17" s="746" t="str">
        <f ca="1">IF(ROWS($1:2)&gt;COUNT(Dong8),"",OFFSET(TH!F$1,SMALL(Dong8,ROWS($1:2)),))</f>
        <v>Thùng 5 lớp (47.5x31.5x39.5)</v>
      </c>
      <c r="E17" s="745" t="str">
        <f ca="1">IF(ROWS($1:2)&gt;COUNT(Dong8),"",OFFSET(TH!M$1,SMALL(Dong8,ROWS($1:2)),))</f>
        <v>155</v>
      </c>
      <c r="F17" s="747">
        <f ca="1">IF(ROWS($1:2)&gt;COUNT(Dong8),"",OFFSET(TH!K$1,SMALL(Dong8,ROWS($1:2)),))</f>
        <v>2429883</v>
      </c>
      <c r="G17" s="747">
        <f t="shared" ref="G17:G20" ca="1" si="0">IF($E17="154",$F17,0)</f>
        <v>0</v>
      </c>
      <c r="H17" s="747">
        <f t="shared" ref="H17:H20" ca="1" si="1">IF($E17="155",$F17,0)</f>
        <v>2429883</v>
      </c>
      <c r="I17" s="747">
        <f t="shared" ref="I17:I20" ca="1" si="2">IF($E17="156",$F17,0)</f>
        <v>0</v>
      </c>
      <c r="J17" s="747">
        <f t="shared" ref="J17:J20" ca="1" si="3">IF($E17="157",$F17,0)</f>
        <v>0</v>
      </c>
    </row>
    <row r="18" spans="1:10" ht="20.25" customHeight="1">
      <c r="A18" s="745">
        <f ca="1">IF(ROWS($1:3)&gt;COUNT(Dong8),"",OFFSET(TH!C$1,SMALL(Dong8,ROWS($1:3)),))</f>
        <v>40690</v>
      </c>
      <c r="B18" s="745" t="str">
        <f ca="1">IF(ROWS($1:3)&gt;COUNT(Dong8),"",OFFSET(TH!D$1,SMALL(Dong8,ROWS($1:3)),))</f>
        <v>TP/X01</v>
      </c>
      <c r="C18" s="745">
        <f ca="1">IF(ROWS($1:3)&gt;COUNT(Dong8),"",OFFSET(TH!E$1,SMALL(Dong8,ROWS($1:3)),))</f>
        <v>40690</v>
      </c>
      <c r="D18" s="746" t="str">
        <f ca="1">IF(ROWS($1:3)&gt;COUNT(Dong8),"",OFFSET(TH!F$1,SMALL(Dong8,ROWS($1:3)),))</f>
        <v>Thùng 5 lớp (63x38x34)</v>
      </c>
      <c r="E18" s="745" t="str">
        <f ca="1">IF(ROWS($1:3)&gt;COUNT(Dong8),"",OFFSET(TH!M$1,SMALL(Dong8,ROWS($1:3)),))</f>
        <v>155</v>
      </c>
      <c r="F18" s="747">
        <f ca="1">IF(ROWS($1:3)&gt;COUNT(Dong8),"",OFFSET(TH!K$1,SMALL(Dong8,ROWS($1:3)),))</f>
        <v>3648824</v>
      </c>
      <c r="G18" s="747">
        <f t="shared" ca="1" si="0"/>
        <v>0</v>
      </c>
      <c r="H18" s="747">
        <f t="shared" ca="1" si="1"/>
        <v>3648824</v>
      </c>
      <c r="I18" s="747">
        <f t="shared" ca="1" si="2"/>
        <v>0</v>
      </c>
      <c r="J18" s="747">
        <f t="shared" ca="1" si="3"/>
        <v>0</v>
      </c>
    </row>
    <row r="19" spans="1:10" ht="20.25" customHeight="1">
      <c r="A19" s="745">
        <f ca="1">IF(ROWS($1:4)&gt;COUNT(Dong8),"",OFFSET(TH!C$1,SMALL(Dong8,ROWS($1:4)),))</f>
        <v>40690</v>
      </c>
      <c r="B19" s="745" t="str">
        <f ca="1">IF(ROWS($1:4)&gt;COUNT(Dong8),"",OFFSET(TH!D$1,SMALL(Dong8,ROWS($1:4)),))</f>
        <v>TP/X01</v>
      </c>
      <c r="C19" s="745">
        <f ca="1">IF(ROWS($1:4)&gt;COUNT(Dong8),"",OFFSET(TH!E$1,SMALL(Dong8,ROWS($1:4)),))</f>
        <v>40690</v>
      </c>
      <c r="D19" s="746" t="str">
        <f ca="1">IF(ROWS($1:4)&gt;COUNT(Dong8),"",OFFSET(TH!F$1,SMALL(Dong8,ROWS($1:4)),))</f>
        <v>Thùng 5 lớp không in (36x31x14)</v>
      </c>
      <c r="E19" s="745" t="str">
        <f ca="1">IF(ROWS($1:4)&gt;COUNT(Dong8),"",OFFSET(TH!M$1,SMALL(Dong8,ROWS($1:4)),))</f>
        <v>155</v>
      </c>
      <c r="F19" s="747">
        <f ca="1">IF(ROWS($1:4)&gt;COUNT(Dong8),"",OFFSET(TH!K$1,SMALL(Dong8,ROWS($1:4)),))</f>
        <v>2441585</v>
      </c>
      <c r="G19" s="747">
        <f t="shared" ca="1" si="0"/>
        <v>0</v>
      </c>
      <c r="H19" s="747">
        <f t="shared" ca="1" si="1"/>
        <v>2441585</v>
      </c>
      <c r="I19" s="747">
        <f t="shared" ca="1" si="2"/>
        <v>0</v>
      </c>
      <c r="J19" s="747">
        <f t="shared" ca="1" si="3"/>
        <v>0</v>
      </c>
    </row>
    <row r="20" spans="1:10" ht="20.25" customHeight="1">
      <c r="A20" s="745">
        <f ca="1">IF(ROWS($1:5)&gt;COUNT(Dong8),"",OFFSET(TH!C$1,SMALL(Dong8,ROWS($1:5)),))</f>
        <v>40690</v>
      </c>
      <c r="B20" s="745" t="str">
        <f ca="1">IF(ROWS($1:5)&gt;COUNT(Dong8),"",OFFSET(TH!D$1,SMALL(Dong8,ROWS($1:5)),))</f>
        <v>TP/X01</v>
      </c>
      <c r="C20" s="745">
        <f ca="1">IF(ROWS($1:5)&gt;COUNT(Dong8),"",OFFSET(TH!E$1,SMALL(Dong8,ROWS($1:5)),))</f>
        <v>40690</v>
      </c>
      <c r="D20" s="746" t="str">
        <f ca="1">IF(ROWS($1:5)&gt;COUNT(Dong8),"",OFFSET(TH!F$1,SMALL(Dong8,ROWS($1:5)),))</f>
        <v>Thùng 5 lớp (30x26x15.5)</v>
      </c>
      <c r="E20" s="745" t="str">
        <f ca="1">IF(ROWS($1:5)&gt;COUNT(Dong8),"",OFFSET(TH!M$1,SMALL(Dong8,ROWS($1:5)),))</f>
        <v>155</v>
      </c>
      <c r="F20" s="747">
        <f ca="1">IF(ROWS($1:5)&gt;COUNT(Dong8),"",OFFSET(TH!K$1,SMALL(Dong8,ROWS($1:5)),))</f>
        <v>3442567</v>
      </c>
      <c r="G20" s="747">
        <f t="shared" ca="1" si="0"/>
        <v>0</v>
      </c>
      <c r="H20" s="747">
        <f t="shared" ca="1" si="1"/>
        <v>3442567</v>
      </c>
      <c r="I20" s="747">
        <f t="shared" ca="1" si="2"/>
        <v>0</v>
      </c>
      <c r="J20" s="747">
        <f t="shared" ca="1" si="3"/>
        <v>0</v>
      </c>
    </row>
    <row r="21" spans="1:10" ht="20.25" customHeight="1">
      <c r="A21" s="745"/>
      <c r="B21" s="748"/>
      <c r="C21" s="745"/>
      <c r="D21" s="749"/>
      <c r="E21" s="750"/>
      <c r="F21" s="751"/>
      <c r="G21" s="751"/>
      <c r="H21" s="751"/>
      <c r="I21" s="751"/>
      <c r="J21" s="751"/>
    </row>
    <row r="22" spans="1:10" ht="20.25" customHeight="1">
      <c r="A22" s="745"/>
      <c r="B22" s="748"/>
      <c r="C22" s="745"/>
      <c r="D22" s="743" t="s">
        <v>133</v>
      </c>
      <c r="E22" s="742" t="s">
        <v>19</v>
      </c>
      <c r="F22" s="744">
        <f ca="1">SUM(F15:F21)</f>
        <v>13709366</v>
      </c>
      <c r="G22" s="744">
        <f ca="1">SUM(G15:G21)</f>
        <v>0</v>
      </c>
      <c r="H22" s="744">
        <f ca="1">SUM(H15:H21)</f>
        <v>13709366</v>
      </c>
      <c r="I22" s="744">
        <f ca="1">SUM(I15:I21)</f>
        <v>0</v>
      </c>
      <c r="J22" s="744">
        <f ca="1">SUM(J15:J21)</f>
        <v>0</v>
      </c>
    </row>
    <row r="23" spans="1:10" ht="20.25" customHeight="1">
      <c r="A23" s="752"/>
      <c r="B23" s="750"/>
      <c r="C23" s="752"/>
      <c r="D23" s="753" t="s">
        <v>829</v>
      </c>
      <c r="E23" s="748"/>
      <c r="F23" s="754">
        <f ca="1">SUM(G23:J23)</f>
        <v>13709366</v>
      </c>
      <c r="G23" s="754">
        <f ca="1">G22</f>
        <v>0</v>
      </c>
      <c r="H23" s="754">
        <f ca="1">H22</f>
        <v>13709366</v>
      </c>
      <c r="I23" s="754">
        <f ca="1">I22</f>
        <v>0</v>
      </c>
      <c r="J23" s="754">
        <f ca="1">J22</f>
        <v>0</v>
      </c>
    </row>
    <row r="24" spans="1:10" ht="20.25" customHeight="1">
      <c r="A24" s="755"/>
      <c r="B24" s="755"/>
      <c r="C24" s="755"/>
      <c r="D24" s="756" t="s">
        <v>10</v>
      </c>
      <c r="E24" s="755" t="s">
        <v>19</v>
      </c>
      <c r="F24" s="757">
        <f ca="1">F15+F22-F23</f>
        <v>0</v>
      </c>
      <c r="G24" s="757">
        <f ca="1">G15+G22-G23</f>
        <v>0</v>
      </c>
      <c r="H24" s="757">
        <f ca="1">H15+H22-H23</f>
        <v>0</v>
      </c>
      <c r="I24" s="757">
        <f ca="1">I15+I22-I23</f>
        <v>0</v>
      </c>
      <c r="J24" s="757">
        <f ca="1">J15+J22-J23</f>
        <v>0</v>
      </c>
    </row>
    <row r="26" spans="1:10">
      <c r="B26" s="758"/>
      <c r="C26" s="738" t="s">
        <v>830</v>
      </c>
    </row>
    <row r="27" spans="1:10">
      <c r="C27" s="738" t="str">
        <f ca="1">"- Ngày mở sổ: "&amp;"01/"&amp;MONTH(A16)&amp;"/ "&amp;YEAR(A16)</f>
        <v>- Ngày mở sổ: 01/5/ 2011</v>
      </c>
    </row>
    <row r="28" spans="1:10">
      <c r="E28" s="737"/>
      <c r="F28" s="737"/>
      <c r="G28" s="737"/>
      <c r="H28" s="737"/>
      <c r="I28" s="1095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95"/>
    </row>
    <row r="29" spans="1:10">
      <c r="B29" s="737"/>
      <c r="C29" s="734" t="s">
        <v>11</v>
      </c>
      <c r="D29" s="737"/>
      <c r="E29" s="737"/>
      <c r="F29" s="737"/>
      <c r="G29" s="737"/>
      <c r="H29" s="737"/>
      <c r="I29" s="1095" t="s">
        <v>12</v>
      </c>
      <c r="J29" s="1095"/>
    </row>
    <row r="30" spans="1:10">
      <c r="B30" s="737"/>
      <c r="C30" s="734" t="s">
        <v>13</v>
      </c>
      <c r="D30" s="737"/>
      <c r="E30" s="737"/>
      <c r="F30" s="737"/>
      <c r="G30" s="737"/>
      <c r="H30" s="737"/>
      <c r="I30" s="737"/>
      <c r="J30" s="737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34" customWidth="1"/>
    <col min="3" max="3" width="8.5703125" style="734" customWidth="1"/>
    <col min="4" max="4" width="51.42578125" style="734" customWidth="1"/>
    <col min="5" max="5" width="8" style="734" customWidth="1"/>
    <col min="6" max="6" width="12.28515625" style="734" bestFit="1" customWidth="1"/>
    <col min="7" max="7" width="10.140625" style="734" customWidth="1"/>
    <col min="8" max="8" width="10.7109375" style="734" customWidth="1"/>
    <col min="9" max="9" width="11.42578125" style="734" customWidth="1"/>
    <col min="10" max="10" width="11.5703125" style="734" customWidth="1"/>
    <col min="11" max="11" width="11.42578125" style="734" customWidth="1"/>
    <col min="12" max="12" width="9.42578125" style="734" customWidth="1"/>
    <col min="13" max="13" width="6.7109375" style="734" customWidth="1"/>
    <col min="14" max="16384" width="9.140625" style="734"/>
  </cols>
  <sheetData>
    <row r="2" spans="1:15">
      <c r="A2" s="733" t="str">
        <f>'632'!A2</f>
        <v>Đơn vị: CÔNG TY TNHH SX TM KIM DUNG PHÁT</v>
      </c>
      <c r="F2" s="735"/>
      <c r="G2" s="735"/>
      <c r="H2" s="1137" t="s">
        <v>813</v>
      </c>
      <c r="I2" s="1137"/>
      <c r="J2" s="1137"/>
      <c r="K2" s="1137"/>
      <c r="L2" s="759"/>
    </row>
    <row r="3" spans="1:15" ht="15" customHeight="1">
      <c r="A3" s="763" t="str">
        <f>'632'!A3</f>
        <v>Địa chỉ: 1A227/1 Ấp 1, Phạm Văn Hai, Bình Chánh, TPHCM</v>
      </c>
      <c r="H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0"/>
      <c r="J3" s="1140"/>
      <c r="K3" s="1140"/>
      <c r="L3" s="737"/>
    </row>
    <row r="4" spans="1:15">
      <c r="H4" s="1140"/>
      <c r="I4" s="1140"/>
      <c r="J4" s="1140"/>
      <c r="K4" s="1140"/>
      <c r="L4" s="737"/>
    </row>
    <row r="5" spans="1:15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36" t="s">
        <v>83</v>
      </c>
      <c r="N5" s="649">
        <f>IF(N13="Quý I",1,IF(N13="Quý II",4,IF(N13="Quý III",7,IF(N13="Quý IV",10,""))))</f>
        <v>4</v>
      </c>
      <c r="O5" s="649">
        <f>IF(N13="Quý I",3,IF(N13="Quý II",6,IF(N13="Quý III",9,IF(N13="Quý IV",12,""))))</f>
        <v>6</v>
      </c>
    </row>
    <row r="6" spans="1:15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</row>
    <row r="7" spans="1:15">
      <c r="B7" s="737"/>
      <c r="C7" s="737"/>
      <c r="D7" s="737"/>
      <c r="E7" s="738" t="s">
        <v>831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832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60" t="s">
        <v>47</v>
      </c>
      <c r="H13" s="760" t="s">
        <v>24</v>
      </c>
      <c r="I13" s="760" t="s">
        <v>63</v>
      </c>
      <c r="J13" s="760" t="s">
        <v>278</v>
      </c>
      <c r="K13" s="760"/>
      <c r="L13" s="760"/>
      <c r="N13" s="762" t="s">
        <v>388</v>
      </c>
    </row>
    <row r="14" spans="1:15">
      <c r="A14" s="741" t="s">
        <v>2</v>
      </c>
      <c r="B14" s="741" t="s">
        <v>3</v>
      </c>
      <c r="C14" s="741" t="s">
        <v>4</v>
      </c>
      <c r="D14" s="741" t="s">
        <v>5</v>
      </c>
      <c r="E14" s="741" t="s">
        <v>6</v>
      </c>
      <c r="F14" s="741">
        <v>1</v>
      </c>
      <c r="G14" s="741">
        <v>2</v>
      </c>
      <c r="H14" s="741">
        <v>3</v>
      </c>
      <c r="I14" s="741">
        <v>4</v>
      </c>
      <c r="J14" s="741">
        <v>5</v>
      </c>
      <c r="K14" s="741">
        <v>6</v>
      </c>
      <c r="L14" s="741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IF(ROWS($1:1)&gt;COUNT(Dong7),"",OFFSET(TH!C$1,SMALL(Dong7,ROWS($1:1)),))</f>
        <v>40634</v>
      </c>
      <c r="B16" s="745" t="str">
        <f ca="1">IF(ROWS($1:1)&gt;COUNT(Dong7),"",OFFSET(TH!D$1,SMALL(Dong7,ROWS($1:1)),))</f>
        <v>C02</v>
      </c>
      <c r="C16" s="745">
        <f ca="1">IF(ROWS($1:1)&gt;COUNT(Dong7),"",OFFSET(TH!E$1,SMALL(Dong7,ROWS($1:1)),))</f>
        <v>40623</v>
      </c>
      <c r="D16" s="746" t="str">
        <f ca="1">IF(ROWS($1:1)&gt;COUNT(Dong7),"",OFFSET(TH!F$1,SMALL(Dong7,ROWS($1:1)),))</f>
        <v>Phí Cấp giấy chứng nhận đăng kí mẫu dấu</v>
      </c>
      <c r="E16" s="745" t="str">
        <f ca="1">IF(ROWS($1:1)&gt;COUNT(Dong7),"",OFFSET(TH!M$1,SMALL(Dong7,ROWS($1:1)),))</f>
        <v>1111</v>
      </c>
      <c r="F16" s="747">
        <f ca="1">IF(ROWS($1:1)&gt;COUNT(Dong7),"",OFFSET(TH!K$1,SMALL(Dong7,ROWS($1:1)),))</f>
        <v>50000</v>
      </c>
      <c r="G16" s="747">
        <f t="shared" ref="G16:J30" ca="1" si="0">IF($E16=G$13,$F16,0)</f>
        <v>50000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IF(ROWS($1:2)&gt;COUNT(Dong7),"",OFFSET(TH!C$1,SMALL(Dong7,ROWS($1:2)),))</f>
        <v>40634</v>
      </c>
      <c r="B17" s="745" t="str">
        <f ca="1">IF(ROWS($1:2)&gt;COUNT(Dong7),"",OFFSET(TH!D$1,SMALL(Dong7,ROWS($1:2)),))</f>
        <v>C03</v>
      </c>
      <c r="C17" s="745">
        <f ca="1">IF(ROWS($1:2)&gt;COUNT(Dong7),"",OFFSET(TH!E$1,SMALL(Dong7,ROWS($1:2)),))</f>
        <v>40619</v>
      </c>
      <c r="D17" s="746" t="str">
        <f ca="1">IF(ROWS($1:2)&gt;COUNT(Dong7),"",OFFSET(TH!F$1,SMALL(Dong7,ROWS($1:2)),))</f>
        <v>Phí khắc dấu</v>
      </c>
      <c r="E17" s="745" t="str">
        <f ca="1">IF(ROWS($1:2)&gt;COUNT(Dong7),"",OFFSET(TH!M$1,SMALL(Dong7,ROWS($1:2)),))</f>
        <v>1111</v>
      </c>
      <c r="F17" s="747">
        <f ca="1">IF(ROWS($1:2)&gt;COUNT(Dong7),"",OFFSET(TH!K$1,SMALL(Dong7,ROWS($1:2)),))</f>
        <v>363636</v>
      </c>
      <c r="G17" s="747">
        <f t="shared" ca="1" si="0"/>
        <v>363636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30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IF(ROWS($1:3)&gt;COUNT(Dong7),"",OFFSET(TH!C$1,SMALL(Dong7,ROWS($1:3)),))</f>
        <v>40638</v>
      </c>
      <c r="B18" s="745" t="str">
        <f ca="1">IF(ROWS($1:3)&gt;COUNT(Dong7),"",OFFSET(TH!D$1,SMALL(Dong7,ROWS($1:3)),))</f>
        <v>C07</v>
      </c>
      <c r="C18" s="745">
        <f ca="1">IF(ROWS($1:3)&gt;COUNT(Dong7),"",OFFSET(TH!E$1,SMALL(Dong7,ROWS($1:3)),))</f>
        <v>40638</v>
      </c>
      <c r="D18" s="746" t="str">
        <f ca="1">IF(ROWS($1:3)&gt;COUNT(Dong7),"",OFFSET(TH!F$1,SMALL(Dong7,ROWS($1:3)),))</f>
        <v>Phí DV đăng ký thành lập doanh nghiệp</v>
      </c>
      <c r="E18" s="745" t="str">
        <f ca="1">IF(ROWS($1:3)&gt;COUNT(Dong7),"",OFFSET(TH!M$1,SMALL(Dong7,ROWS($1:3)),))</f>
        <v>1111</v>
      </c>
      <c r="F18" s="747">
        <f ca="1">IF(ROWS($1:3)&gt;COUNT(Dong7),"",OFFSET(TH!K$1,SMALL(Dong7,ROWS($1:3)),))</f>
        <v>2000000</v>
      </c>
      <c r="G18" s="747">
        <f t="shared" ca="1" si="0"/>
        <v>2000000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IF(ROWS($1:4)&gt;COUNT(Dong7),"",OFFSET(TH!C$1,SMALL(Dong7,ROWS($1:4)),))</f>
        <v>40638</v>
      </c>
      <c r="B19" s="745" t="str">
        <f ca="1">IF(ROWS($1:4)&gt;COUNT(Dong7),"",OFFSET(TH!D$1,SMALL(Dong7,ROWS($1:4)),))</f>
        <v>C08</v>
      </c>
      <c r="C19" s="745">
        <f ca="1">IF(ROWS($1:4)&gt;COUNT(Dong7),"",OFFSET(TH!E$1,SMALL(Dong7,ROWS($1:4)),))</f>
        <v>40638</v>
      </c>
      <c r="D19" s="746" t="str">
        <f ca="1">IF(ROWS($1:4)&gt;COUNT(Dong7),"",OFFSET(TH!F$1,SMALL(Dong7,ROWS($1:4)),))</f>
        <v>Đăng bố cáo doanh nghiệp lên báo TT Giao Dịch</v>
      </c>
      <c r="E19" s="745" t="str">
        <f ca="1">IF(ROWS($1:4)&gt;COUNT(Dong7),"",OFFSET(TH!M$1,SMALL(Dong7,ROWS($1:4)),))</f>
        <v>1111</v>
      </c>
      <c r="F19" s="747">
        <f ca="1">IF(ROWS($1:4)&gt;COUNT(Dong7),"",OFFSET(TH!K$1,SMALL(Dong7,ROWS($1:4)),))</f>
        <v>108000</v>
      </c>
      <c r="G19" s="747">
        <f t="shared" ca="1" si="0"/>
        <v>108000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>
        <f ca="1">IF(ROWS($1:5)&gt;COUNT(Dong7),"",OFFSET(TH!C$1,SMALL(Dong7,ROWS($1:5)),))</f>
        <v>40652</v>
      </c>
      <c r="B20" s="745" t="str">
        <f ca="1">IF(ROWS($1:5)&gt;COUNT(Dong7),"",OFFSET(TH!D$1,SMALL(Dong7,ROWS($1:5)),))</f>
        <v>C18</v>
      </c>
      <c r="C20" s="745">
        <f ca="1">IF(ROWS($1:5)&gt;COUNT(Dong7),"",OFFSET(TH!E$1,SMALL(Dong7,ROWS($1:5)),))</f>
        <v>40652</v>
      </c>
      <c r="D20" s="746" t="str">
        <f ca="1">IF(ROWS($1:5)&gt;COUNT(Dong7),"",OFFSET(TH!F$1,SMALL(Dong7,ROWS($1:5)),))</f>
        <v>Thuế môn bài phải nộp</v>
      </c>
      <c r="E20" s="745" t="str">
        <f ca="1">IF(ROWS($1:5)&gt;COUNT(Dong7),"",OFFSET(TH!M$1,SMALL(Dong7,ROWS($1:5)),))</f>
        <v>33382</v>
      </c>
      <c r="F20" s="747">
        <f ca="1">IF(ROWS($1:5)&gt;COUNT(Dong7),"",OFFSET(TH!K$1,SMALL(Dong7,ROWS($1:5)),))</f>
        <v>1000000</v>
      </c>
      <c r="G20" s="747">
        <f t="shared" ca="1" si="0"/>
        <v>0</v>
      </c>
      <c r="H20" s="747">
        <f t="shared" ca="1" si="0"/>
        <v>0</v>
      </c>
      <c r="I20" s="747">
        <f t="shared" ca="1" si="0"/>
        <v>1000000</v>
      </c>
      <c r="J20" s="747">
        <f t="shared" ca="1" si="0"/>
        <v>0</v>
      </c>
      <c r="K20" s="747">
        <f t="shared" ca="1" si="1"/>
        <v>0</v>
      </c>
      <c r="L20" s="747">
        <f t="shared" ca="1" si="1"/>
        <v>0</v>
      </c>
    </row>
    <row r="21" spans="1:12" ht="21.75" customHeight="1">
      <c r="A21" s="745">
        <f ca="1">IF(ROWS($1:6)&gt;COUNT(Dong7),"",OFFSET(TH!C$1,SMALL(Dong7,ROWS($1:6)),))</f>
        <v>40673</v>
      </c>
      <c r="B21" s="745" t="str">
        <f ca="1">IF(ROWS($1:6)&gt;COUNT(Dong7),"",OFFSET(TH!D$1,SMALL(Dong7,ROWS($1:6)),))</f>
        <v>GBN</v>
      </c>
      <c r="C21" s="745">
        <f ca="1">IF(ROWS($1:6)&gt;COUNT(Dong7),"",OFFSET(TH!E$1,SMALL(Dong7,ROWS($1:6)),))</f>
        <v>40673</v>
      </c>
      <c r="D21" s="746" t="str">
        <f ca="1">IF(ROWS($1:6)&gt;COUNT(Dong7),"",OFFSET(TH!F$1,SMALL(Dong7,ROWS($1:6)),))</f>
        <v>Phí chuyển tiền</v>
      </c>
      <c r="E21" s="745" t="str">
        <f ca="1">IF(ROWS($1:6)&gt;COUNT(Dong7),"",OFFSET(TH!M$1,SMALL(Dong7,ROWS($1:6)),))</f>
        <v>1121</v>
      </c>
      <c r="F21" s="747">
        <f ca="1">IF(ROWS($1:6)&gt;COUNT(Dong7),"",OFFSET(TH!K$1,SMALL(Dong7,ROWS($1:6)),))</f>
        <v>10000</v>
      </c>
      <c r="G21" s="747">
        <f t="shared" ca="1" si="0"/>
        <v>0</v>
      </c>
      <c r="H21" s="747">
        <f t="shared" ca="1" si="0"/>
        <v>10000</v>
      </c>
      <c r="I21" s="747">
        <f t="shared" ca="1" si="0"/>
        <v>0</v>
      </c>
      <c r="J21" s="747">
        <f t="shared" ca="1" si="0"/>
        <v>0</v>
      </c>
      <c r="K21" s="747">
        <f t="shared" ca="1" si="1"/>
        <v>0</v>
      </c>
      <c r="L21" s="747">
        <f t="shared" ca="1" si="1"/>
        <v>0</v>
      </c>
    </row>
    <row r="22" spans="1:12" ht="21.75" customHeight="1">
      <c r="A22" s="745">
        <f ca="1">IF(ROWS($1:7)&gt;COUNT(Dong7),"",OFFSET(TH!C$1,SMALL(Dong7,ROWS($1:7)),))</f>
        <v>40679</v>
      </c>
      <c r="B22" s="745" t="str">
        <f ca="1">IF(ROWS($1:7)&gt;COUNT(Dong7),"",OFFSET(TH!D$1,SMALL(Dong7,ROWS($1:7)),))</f>
        <v>C24</v>
      </c>
      <c r="C22" s="745">
        <f ca="1">IF(ROWS($1:7)&gt;COUNT(Dong7),"",OFFSET(TH!E$1,SMALL(Dong7,ROWS($1:7)),))</f>
        <v>40679</v>
      </c>
      <c r="D22" s="746" t="str">
        <f ca="1">IF(ROWS($1:7)&gt;COUNT(Dong7),"",OFFSET(TH!F$1,SMALL(Dong7,ROWS($1:7)),))</f>
        <v>Chi phí in hóa đơn</v>
      </c>
      <c r="E22" s="745" t="str">
        <f ca="1">IF(ROWS($1:7)&gt;COUNT(Dong7),"",OFFSET(TH!M$1,SMALL(Dong7,ROWS($1:7)),))</f>
        <v>1111</v>
      </c>
      <c r="F22" s="747">
        <f ca="1">IF(ROWS($1:7)&gt;COUNT(Dong7),"",OFFSET(TH!K$1,SMALL(Dong7,ROWS($1:7)),))</f>
        <v>2700000</v>
      </c>
      <c r="G22" s="747">
        <f t="shared" ca="1" si="0"/>
        <v>2700000</v>
      </c>
      <c r="H22" s="747">
        <f t="shared" ca="1" si="0"/>
        <v>0</v>
      </c>
      <c r="I22" s="747">
        <f t="shared" ca="1" si="0"/>
        <v>0</v>
      </c>
      <c r="J22" s="747">
        <f t="shared" ca="1" si="0"/>
        <v>0</v>
      </c>
      <c r="K22" s="747">
        <f t="shared" ca="1" si="1"/>
        <v>0</v>
      </c>
      <c r="L22" s="747">
        <f t="shared" ca="1" si="1"/>
        <v>0</v>
      </c>
    </row>
    <row r="23" spans="1:12" ht="21.75" customHeight="1">
      <c r="A23" s="745">
        <f ca="1">IF(ROWS($1:8)&gt;COUNT(Dong7),"",OFFSET(TH!C$1,SMALL(Dong7,ROWS($1:8)),))</f>
        <v>40680</v>
      </c>
      <c r="B23" s="745" t="str">
        <f ca="1">IF(ROWS($1:8)&gt;COUNT(Dong7),"",OFFSET(TH!D$1,SMALL(Dong7,ROWS($1:8)),))</f>
        <v>GBN</v>
      </c>
      <c r="C23" s="745">
        <f ca="1">IF(ROWS($1:8)&gt;COUNT(Dong7),"",OFFSET(TH!E$1,SMALL(Dong7,ROWS($1:8)),))</f>
        <v>40680</v>
      </c>
      <c r="D23" s="746" t="str">
        <f ca="1">IF(ROWS($1:8)&gt;COUNT(Dong7),"",OFFSET(TH!F$1,SMALL(Dong7,ROWS($1:8)),))</f>
        <v>Phí chuyển tiền</v>
      </c>
      <c r="E23" s="745" t="str">
        <f ca="1">IF(ROWS($1:8)&gt;COUNT(Dong7),"",OFFSET(TH!M$1,SMALL(Dong7,ROWS($1:8)),))</f>
        <v>1121</v>
      </c>
      <c r="F23" s="747">
        <f ca="1">IF(ROWS($1:8)&gt;COUNT(Dong7),"",OFFSET(TH!K$1,SMALL(Dong7,ROWS($1:8)),))</f>
        <v>10000</v>
      </c>
      <c r="G23" s="747">
        <f t="shared" ca="1" si="0"/>
        <v>0</v>
      </c>
      <c r="H23" s="747">
        <f t="shared" ca="1" si="0"/>
        <v>10000</v>
      </c>
      <c r="I23" s="747">
        <f t="shared" ca="1" si="0"/>
        <v>0</v>
      </c>
      <c r="J23" s="747">
        <f t="shared" ca="1" si="0"/>
        <v>0</v>
      </c>
      <c r="K23" s="747">
        <f t="shared" ca="1" si="1"/>
        <v>0</v>
      </c>
      <c r="L23" s="747">
        <f t="shared" ca="1" si="1"/>
        <v>0</v>
      </c>
    </row>
    <row r="24" spans="1:12" ht="21.75" customHeight="1">
      <c r="A24" s="745">
        <f ca="1">IF(ROWS($1:9)&gt;COUNT(Dong7),"",OFFSET(TH!C$1,SMALL(Dong7,ROWS($1:9)),))</f>
        <v>40686</v>
      </c>
      <c r="B24" s="745" t="str">
        <f ca="1">IF(ROWS($1:9)&gt;COUNT(Dong7),"",OFFSET(TH!D$1,SMALL(Dong7,ROWS($1:9)),))</f>
        <v>C29</v>
      </c>
      <c r="C24" s="745">
        <f ca="1">IF(ROWS($1:9)&gt;COUNT(Dong7),"",OFFSET(TH!E$1,SMALL(Dong7,ROWS($1:9)),))</f>
        <v>40686</v>
      </c>
      <c r="D24" s="746" t="str">
        <f ca="1">IF(ROWS($1:9)&gt;COUNT(Dong7),"",OFFSET(TH!F$1,SMALL(Dong7,ROWS($1:9)),))</f>
        <v>Thuế môn bài phải nộp</v>
      </c>
      <c r="E24" s="745" t="str">
        <f ca="1">IF(ROWS($1:9)&gt;COUNT(Dong7),"",OFFSET(TH!M$1,SMALL(Dong7,ROWS($1:9)),))</f>
        <v>33382</v>
      </c>
      <c r="F24" s="747">
        <f ca="1">IF(ROWS($1:9)&gt;COUNT(Dong7),"",OFFSET(TH!K$1,SMALL(Dong7,ROWS($1:9)),))</f>
        <v>1000000</v>
      </c>
      <c r="G24" s="747">
        <f t="shared" ca="1" si="0"/>
        <v>0</v>
      </c>
      <c r="H24" s="747">
        <f t="shared" ca="1" si="0"/>
        <v>0</v>
      </c>
      <c r="I24" s="747">
        <f t="shared" ca="1" si="0"/>
        <v>1000000</v>
      </c>
      <c r="J24" s="747">
        <f t="shared" ca="1" si="0"/>
        <v>0</v>
      </c>
      <c r="K24" s="747">
        <f t="shared" ca="1" si="1"/>
        <v>0</v>
      </c>
      <c r="L24" s="747">
        <f t="shared" ca="1" si="1"/>
        <v>0</v>
      </c>
    </row>
    <row r="25" spans="1:12" ht="21.75" customHeight="1">
      <c r="A25" s="745">
        <f ca="1">IF(ROWS($1:10)&gt;COUNT(Dong7),"",OFFSET(TH!C$1,SMALL(Dong7,ROWS($1:10)),))</f>
        <v>40689</v>
      </c>
      <c r="B25" s="745" t="str">
        <f ca="1">IF(ROWS($1:10)&gt;COUNT(Dong7),"",OFFSET(TH!D$1,SMALL(Dong7,ROWS($1:10)),))</f>
        <v>C32</v>
      </c>
      <c r="C25" s="745">
        <f ca="1">IF(ROWS($1:10)&gt;COUNT(Dong7),"",OFFSET(TH!E$1,SMALL(Dong7,ROWS($1:10)),))</f>
        <v>40689</v>
      </c>
      <c r="D25" s="746" t="str">
        <f ca="1">IF(ROWS($1:10)&gt;COUNT(Dong7),"",OFFSET(TH!F$1,SMALL(Dong7,ROWS($1:10)),))</f>
        <v>Giấy Canson</v>
      </c>
      <c r="E25" s="745" t="str">
        <f ca="1">IF(ROWS($1:10)&gt;COUNT(Dong7),"",OFFSET(TH!M$1,SMALL(Dong7,ROWS($1:10)),))</f>
        <v>1111</v>
      </c>
      <c r="F25" s="747">
        <f ca="1">IF(ROWS($1:10)&gt;COUNT(Dong7),"",OFFSET(TH!K$1,SMALL(Dong7,ROWS($1:10)),))</f>
        <v>267000</v>
      </c>
      <c r="G25" s="747">
        <f t="shared" ca="1" si="0"/>
        <v>267000</v>
      </c>
      <c r="H25" s="747">
        <f t="shared" ca="1" si="0"/>
        <v>0</v>
      </c>
      <c r="I25" s="747">
        <f t="shared" ca="1" si="0"/>
        <v>0</v>
      </c>
      <c r="J25" s="747">
        <f t="shared" ca="1" si="0"/>
        <v>0</v>
      </c>
      <c r="K25" s="747">
        <f t="shared" ca="1" si="1"/>
        <v>0</v>
      </c>
      <c r="L25" s="747">
        <f t="shared" ca="1" si="1"/>
        <v>0</v>
      </c>
    </row>
    <row r="26" spans="1:12" ht="21.75" customHeight="1">
      <c r="A26" s="745">
        <f ca="1">IF(ROWS($1:11)&gt;COUNT(Dong7),"",OFFSET(TH!C$1,SMALL(Dong7,ROWS($1:11)),))</f>
        <v>40689</v>
      </c>
      <c r="B26" s="745" t="str">
        <f ca="1">IF(ROWS($1:11)&gt;COUNT(Dong7),"",OFFSET(TH!D$1,SMALL(Dong7,ROWS($1:11)),))</f>
        <v>C33</v>
      </c>
      <c r="C26" s="745">
        <f ca="1">IF(ROWS($1:11)&gt;COUNT(Dong7),"",OFFSET(TH!E$1,SMALL(Dong7,ROWS($1:11)),))</f>
        <v>40689</v>
      </c>
      <c r="D26" s="746" t="str">
        <f ca="1">IF(ROWS($1:11)&gt;COUNT(Dong7),"",OFFSET(TH!F$1,SMALL(Dong7,ROWS($1:11)),))</f>
        <v>Dịch vụ viễn thông</v>
      </c>
      <c r="E26" s="745" t="str">
        <f ca="1">IF(ROWS($1:11)&gt;COUNT(Dong7),"",OFFSET(TH!M$1,SMALL(Dong7,ROWS($1:11)),))</f>
        <v>1111</v>
      </c>
      <c r="F26" s="747">
        <f ca="1">IF(ROWS($1:11)&gt;COUNT(Dong7),"",OFFSET(TH!K$1,SMALL(Dong7,ROWS($1:11)),))</f>
        <v>494235</v>
      </c>
      <c r="G26" s="747">
        <f t="shared" ca="1" si="0"/>
        <v>494235</v>
      </c>
      <c r="H26" s="747">
        <f t="shared" ca="1" si="0"/>
        <v>0</v>
      </c>
      <c r="I26" s="747">
        <f t="shared" ca="1" si="0"/>
        <v>0</v>
      </c>
      <c r="J26" s="747">
        <f t="shared" ca="1" si="0"/>
        <v>0</v>
      </c>
      <c r="K26" s="747">
        <f t="shared" ca="1" si="1"/>
        <v>0</v>
      </c>
      <c r="L26" s="747">
        <f t="shared" ca="1" si="1"/>
        <v>0</v>
      </c>
    </row>
    <row r="27" spans="1:12" ht="21.75" customHeight="1">
      <c r="A27" s="745">
        <f ca="1">IF(ROWS($1:12)&gt;COUNT(Dong7),"",OFFSET(TH!C$1,SMALL(Dong7,ROWS($1:12)),))</f>
        <v>40689</v>
      </c>
      <c r="B27" s="745" t="str">
        <f ca="1">IF(ROWS($1:12)&gt;COUNT(Dong7),"",OFFSET(TH!D$1,SMALL(Dong7,ROWS($1:12)),))</f>
        <v>C34</v>
      </c>
      <c r="C27" s="745">
        <f ca="1">IF(ROWS($1:12)&gt;COUNT(Dong7),"",OFFSET(TH!E$1,SMALL(Dong7,ROWS($1:12)),))</f>
        <v>40689</v>
      </c>
      <c r="D27" s="746" t="str">
        <f ca="1">IF(ROWS($1:12)&gt;COUNT(Dong7),"",OFFSET(TH!F$1,SMALL(Dong7,ROWS($1:12)),))</f>
        <v>Dịch vụ viễn thông</v>
      </c>
      <c r="E27" s="745" t="str">
        <f ca="1">IF(ROWS($1:12)&gt;COUNT(Dong7),"",OFFSET(TH!M$1,SMALL(Dong7,ROWS($1:12)),))</f>
        <v>1111</v>
      </c>
      <c r="F27" s="747">
        <f ca="1">IF(ROWS($1:12)&gt;COUNT(Dong7),"",OFFSET(TH!K$1,SMALL(Dong7,ROWS($1:12)),))</f>
        <v>467016</v>
      </c>
      <c r="G27" s="747">
        <f t="shared" ca="1" si="0"/>
        <v>467016</v>
      </c>
      <c r="H27" s="747">
        <f t="shared" ca="1" si="0"/>
        <v>0</v>
      </c>
      <c r="I27" s="747">
        <f t="shared" ca="1" si="0"/>
        <v>0</v>
      </c>
      <c r="J27" s="747">
        <f t="shared" ca="1" si="0"/>
        <v>0</v>
      </c>
      <c r="K27" s="747">
        <f t="shared" ca="1" si="1"/>
        <v>0</v>
      </c>
      <c r="L27" s="747">
        <f t="shared" ca="1" si="1"/>
        <v>0</v>
      </c>
    </row>
    <row r="28" spans="1:12" ht="21.75" customHeight="1">
      <c r="A28" s="745">
        <f ca="1">IF(ROWS($1:13)&gt;COUNT(Dong7),"",OFFSET(TH!C$1,SMALL(Dong7,ROWS($1:13)),))</f>
        <v>40690</v>
      </c>
      <c r="B28" s="745" t="str">
        <f ca="1">IF(ROWS($1:13)&gt;COUNT(Dong7),"",OFFSET(TH!D$1,SMALL(Dong7,ROWS($1:13)),))</f>
        <v>GBN</v>
      </c>
      <c r="C28" s="745">
        <f ca="1">IF(ROWS($1:13)&gt;COUNT(Dong7),"",OFFSET(TH!E$1,SMALL(Dong7,ROWS($1:13)),))</f>
        <v>40690</v>
      </c>
      <c r="D28" s="746" t="str">
        <f ca="1">IF(ROWS($1:13)&gt;COUNT(Dong7),"",OFFSET(TH!F$1,SMALL(Dong7,ROWS($1:13)),))</f>
        <v>Phí chuyển tiền</v>
      </c>
      <c r="E28" s="745" t="str">
        <f ca="1">IF(ROWS($1:13)&gt;COUNT(Dong7),"",OFFSET(TH!M$1,SMALL(Dong7,ROWS($1:13)),))</f>
        <v>1121</v>
      </c>
      <c r="F28" s="747">
        <f ca="1">IF(ROWS($1:13)&gt;COUNT(Dong7),"",OFFSET(TH!K$1,SMALL(Dong7,ROWS($1:13)),))</f>
        <v>10000</v>
      </c>
      <c r="G28" s="747">
        <f t="shared" ca="1" si="0"/>
        <v>0</v>
      </c>
      <c r="H28" s="747">
        <f t="shared" ca="1" si="0"/>
        <v>10000</v>
      </c>
      <c r="I28" s="747">
        <f t="shared" ca="1" si="0"/>
        <v>0</v>
      </c>
      <c r="J28" s="747">
        <f t="shared" ca="1" si="0"/>
        <v>0</v>
      </c>
      <c r="K28" s="747">
        <f t="shared" ca="1" si="1"/>
        <v>0</v>
      </c>
      <c r="L28" s="747">
        <f t="shared" ca="1" si="1"/>
        <v>0</v>
      </c>
    </row>
    <row r="29" spans="1:12" ht="21.75" customHeight="1">
      <c r="A29" s="745">
        <f ca="1">IF(ROWS($1:14)&gt;COUNT(Dong7),"",OFFSET(TH!C$1,SMALL(Dong7,ROWS($1:14)),))</f>
        <v>40690</v>
      </c>
      <c r="B29" s="745" t="str">
        <f ca="1">IF(ROWS($1:14)&gt;COUNT(Dong7),"",OFFSET(TH!D$1,SMALL(Dong7,ROWS($1:14)),))</f>
        <v>GBN</v>
      </c>
      <c r="C29" s="745">
        <f ca="1">IF(ROWS($1:14)&gt;COUNT(Dong7),"",OFFSET(TH!E$1,SMALL(Dong7,ROWS($1:14)),))</f>
        <v>40690</v>
      </c>
      <c r="D29" s="746" t="str">
        <f ca="1">IF(ROWS($1:14)&gt;COUNT(Dong7),"",OFFSET(TH!F$1,SMALL(Dong7,ROWS($1:14)),))</f>
        <v>Phí chuyển tiền</v>
      </c>
      <c r="E29" s="745" t="str">
        <f ca="1">IF(ROWS($1:14)&gt;COUNT(Dong7),"",OFFSET(TH!M$1,SMALL(Dong7,ROWS($1:14)),))</f>
        <v>1121</v>
      </c>
      <c r="F29" s="747">
        <f ca="1">IF(ROWS($1:14)&gt;COUNT(Dong7),"",OFFSET(TH!K$1,SMALL(Dong7,ROWS($1:14)),))</f>
        <v>10000</v>
      </c>
      <c r="G29" s="747">
        <f t="shared" ca="1" si="0"/>
        <v>0</v>
      </c>
      <c r="H29" s="747">
        <f t="shared" ca="1" si="0"/>
        <v>10000</v>
      </c>
      <c r="I29" s="747">
        <f t="shared" ca="1" si="0"/>
        <v>0</v>
      </c>
      <c r="J29" s="747">
        <f t="shared" ca="1" si="0"/>
        <v>0</v>
      </c>
      <c r="K29" s="747">
        <f t="shared" ca="1" si="1"/>
        <v>0</v>
      </c>
      <c r="L29" s="747">
        <f t="shared" ca="1" si="1"/>
        <v>0</v>
      </c>
    </row>
    <row r="30" spans="1:12" ht="21.75" customHeight="1">
      <c r="A30" s="745">
        <f ca="1">IF(ROWS($1:15)&gt;COUNT(Dong7),"",OFFSET(TH!C$1,SMALL(Dong7,ROWS($1:15)),))</f>
        <v>40694</v>
      </c>
      <c r="B30" s="745" t="str">
        <f ca="1">IF(ROWS($1:15)&gt;COUNT(Dong7),"",OFFSET(TH!D$1,SMALL(Dong7,ROWS($1:15)),))</f>
        <v>CTGS</v>
      </c>
      <c r="C30" s="745">
        <f ca="1">IF(ROWS($1:15)&gt;COUNT(Dong7),"",OFFSET(TH!E$1,SMALL(Dong7,ROWS($1:15)),))</f>
        <v>40694</v>
      </c>
      <c r="D30" s="746" t="str">
        <f ca="1">IF(ROWS($1:15)&gt;COUNT(Dong7),"",OFFSET(TH!F$1,SMALL(Dong7,ROWS($1:15)),))</f>
        <v>Tiền lương BP Quản lý</v>
      </c>
      <c r="E30" s="745" t="str">
        <f ca="1">IF(ROWS($1:15)&gt;COUNT(Dong7),"",OFFSET(TH!M$1,SMALL(Dong7,ROWS($1:15)),))</f>
        <v>3341</v>
      </c>
      <c r="F30" s="747">
        <f ca="1">IF(ROWS($1:15)&gt;COUNT(Dong7),"",OFFSET(TH!K$1,SMALL(Dong7,ROWS($1:15)),))</f>
        <v>7025000</v>
      </c>
      <c r="G30" s="747">
        <f t="shared" ca="1" si="0"/>
        <v>0</v>
      </c>
      <c r="H30" s="747">
        <f t="shared" ca="1" si="0"/>
        <v>0</v>
      </c>
      <c r="I30" s="747">
        <f t="shared" ca="1" si="0"/>
        <v>0</v>
      </c>
      <c r="J30" s="747">
        <f t="shared" ca="1" si="0"/>
        <v>7025000</v>
      </c>
      <c r="K30" s="747">
        <f t="shared" ca="1" si="1"/>
        <v>0</v>
      </c>
      <c r="L30" s="747">
        <f t="shared" ca="1" si="1"/>
        <v>0</v>
      </c>
    </row>
    <row r="31" spans="1:12" ht="21.75" customHeight="1">
      <c r="A31" s="745"/>
      <c r="B31" s="748"/>
      <c r="C31" s="745"/>
      <c r="D31" s="749"/>
      <c r="E31" s="750"/>
      <c r="F31" s="751"/>
      <c r="G31" s="751"/>
      <c r="H31" s="751"/>
      <c r="I31" s="751"/>
      <c r="J31" s="751"/>
      <c r="K31" s="751"/>
      <c r="L31" s="751"/>
    </row>
    <row r="32" spans="1:12" ht="21.75" customHeight="1">
      <c r="A32" s="745"/>
      <c r="B32" s="748"/>
      <c r="C32" s="745"/>
      <c r="D32" s="743" t="s">
        <v>133</v>
      </c>
      <c r="E32" s="742" t="s">
        <v>19</v>
      </c>
      <c r="F32" s="744">
        <f ca="1">SUM(F15:F31)</f>
        <v>15514887</v>
      </c>
      <c r="G32" s="744">
        <f t="shared" ref="G32:L32" ca="1" si="2">SUM(G15:G31)</f>
        <v>6449887</v>
      </c>
      <c r="H32" s="744">
        <f t="shared" ca="1" si="2"/>
        <v>40000</v>
      </c>
      <c r="I32" s="744">
        <f t="shared" ca="1" si="2"/>
        <v>2000000</v>
      </c>
      <c r="J32" s="744">
        <f t="shared" ca="1" si="2"/>
        <v>7025000</v>
      </c>
      <c r="K32" s="744">
        <f t="shared" ca="1" si="2"/>
        <v>0</v>
      </c>
      <c r="L32" s="744">
        <f t="shared" ca="1" si="2"/>
        <v>0</v>
      </c>
    </row>
    <row r="33" spans="1:12" ht="21.75" customHeight="1">
      <c r="A33" s="752"/>
      <c r="B33" s="750"/>
      <c r="C33" s="752"/>
      <c r="D33" s="753" t="s">
        <v>833</v>
      </c>
      <c r="E33" s="748"/>
      <c r="F33" s="754">
        <f ca="1">SUM(G33:L33)</f>
        <v>15514887</v>
      </c>
      <c r="G33" s="754">
        <f t="shared" ref="G33:L33" ca="1" si="3">G32</f>
        <v>6449887</v>
      </c>
      <c r="H33" s="754">
        <f t="shared" ca="1" si="3"/>
        <v>40000</v>
      </c>
      <c r="I33" s="754">
        <f t="shared" ca="1" si="3"/>
        <v>2000000</v>
      </c>
      <c r="J33" s="754">
        <f t="shared" ca="1" si="3"/>
        <v>7025000</v>
      </c>
      <c r="K33" s="754">
        <f t="shared" ca="1" si="3"/>
        <v>0</v>
      </c>
      <c r="L33" s="754">
        <f t="shared" ca="1" si="3"/>
        <v>0</v>
      </c>
    </row>
    <row r="34" spans="1:12" ht="21.75" customHeight="1">
      <c r="A34" s="755"/>
      <c r="B34" s="755"/>
      <c r="C34" s="755"/>
      <c r="D34" s="756" t="s">
        <v>10</v>
      </c>
      <c r="E34" s="755" t="s">
        <v>19</v>
      </c>
      <c r="F34" s="757">
        <f t="shared" ref="F34:L34" ca="1" si="4">F15+F32-F33</f>
        <v>0</v>
      </c>
      <c r="G34" s="757">
        <f t="shared" ca="1" si="4"/>
        <v>0</v>
      </c>
      <c r="H34" s="757">
        <f t="shared" ca="1" si="4"/>
        <v>0</v>
      </c>
      <c r="I34" s="757">
        <f t="shared" ca="1" si="4"/>
        <v>0</v>
      </c>
      <c r="J34" s="757">
        <f t="shared" ca="1" si="4"/>
        <v>0</v>
      </c>
      <c r="K34" s="757">
        <f t="shared" ca="1" si="4"/>
        <v>0</v>
      </c>
      <c r="L34" s="757">
        <f t="shared" ca="1" si="4"/>
        <v>0</v>
      </c>
    </row>
    <row r="36" spans="1:12">
      <c r="B36" s="758"/>
      <c r="C36" s="738" t="s">
        <v>826</v>
      </c>
    </row>
    <row r="37" spans="1:12">
      <c r="C37" s="738" t="str">
        <f ca="1">"- Ngày mở sổ: "&amp;"01/"&amp;MONTH(A16)&amp;"/"&amp;YEAR(A16)</f>
        <v>- Ngày mở sổ: 01/4/2011</v>
      </c>
    </row>
    <row r="38" spans="1:12">
      <c r="E38" s="737"/>
      <c r="F38" s="737"/>
      <c r="G38" s="737"/>
      <c r="H38" s="737"/>
      <c r="I38" s="737"/>
      <c r="J38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95"/>
      <c r="L38" s="1095"/>
    </row>
    <row r="39" spans="1:12">
      <c r="B39" s="737"/>
      <c r="C39" s="734" t="s">
        <v>11</v>
      </c>
      <c r="D39" s="737"/>
      <c r="E39" s="737"/>
      <c r="F39" s="737"/>
      <c r="G39" s="737"/>
      <c r="H39" s="737"/>
      <c r="I39" s="737"/>
      <c r="J39" s="1095" t="s">
        <v>12</v>
      </c>
      <c r="K39" s="1095"/>
      <c r="L39" s="1095"/>
    </row>
    <row r="40" spans="1:12">
      <c r="B40" s="737"/>
      <c r="C40" s="734" t="s">
        <v>13</v>
      </c>
      <c r="D40" s="737"/>
      <c r="E40" s="737"/>
      <c r="F40" s="737"/>
      <c r="G40" s="737"/>
      <c r="H40" s="737"/>
      <c r="I40" s="737"/>
      <c r="J40" s="1139" t="s">
        <v>13</v>
      </c>
      <c r="K40" s="1139"/>
      <c r="L40" s="1139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6" customWidth="1"/>
    <col min="3" max="3" width="8.5703125" style="836" customWidth="1"/>
    <col min="4" max="4" width="51.42578125" style="836" customWidth="1"/>
    <col min="5" max="5" width="8" style="836" customWidth="1"/>
    <col min="6" max="6" width="12.28515625" style="836" bestFit="1" customWidth="1"/>
    <col min="7" max="7" width="10.140625" style="836" customWidth="1"/>
    <col min="8" max="8" width="10.7109375" style="836" customWidth="1"/>
    <col min="9" max="9" width="11.42578125" style="836" customWidth="1"/>
    <col min="10" max="10" width="11.5703125" style="836" customWidth="1"/>
    <col min="11" max="11" width="11.42578125" style="836" customWidth="1"/>
    <col min="12" max="12" width="9.42578125" style="836" customWidth="1"/>
    <col min="13" max="13" width="6.7109375" style="836" customWidth="1"/>
    <col min="14" max="16384" width="9.140625" style="836"/>
  </cols>
  <sheetData>
    <row r="2" spans="1:15">
      <c r="A2" s="733" t="str">
        <f>'632'!A2</f>
        <v>Đơn vị: CÔNG TY TNHH SX TM KIM DUNG PHÁT</v>
      </c>
      <c r="F2" s="835"/>
      <c r="G2" s="835"/>
      <c r="H2" s="1137" t="s">
        <v>813</v>
      </c>
      <c r="I2" s="1137"/>
      <c r="J2" s="1137"/>
      <c r="K2" s="1137"/>
      <c r="L2" s="759"/>
    </row>
    <row r="3" spans="1:15" ht="15" customHeight="1">
      <c r="A3" s="763" t="str">
        <f>'632'!A3</f>
        <v>Địa chỉ: 1A227/1 Ấp 1, Phạm Văn Hai, Bình Chánh, TPHCM</v>
      </c>
      <c r="H3" s="114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40"/>
      <c r="J3" s="1140"/>
      <c r="K3" s="1140"/>
      <c r="L3" s="737"/>
    </row>
    <row r="4" spans="1:15">
      <c r="H4" s="1140"/>
      <c r="I4" s="1140"/>
      <c r="J4" s="1140"/>
      <c r="K4" s="1140"/>
      <c r="L4" s="737"/>
    </row>
    <row r="5" spans="1:15" ht="19.5" customHeight="1">
      <c r="A5" s="1138" t="s">
        <v>814</v>
      </c>
      <c r="B5" s="1138"/>
      <c r="C5" s="1138"/>
      <c r="D5" s="1138"/>
      <c r="E5" s="1138"/>
      <c r="F5" s="1138"/>
      <c r="G5" s="1138"/>
      <c r="H5" s="1138"/>
      <c r="I5" s="1138"/>
      <c r="J5" s="1138"/>
      <c r="K5" s="1138"/>
      <c r="L5" s="1138"/>
      <c r="M5" s="736" t="s">
        <v>277</v>
      </c>
      <c r="N5" s="649">
        <f>IF(N13="Quý I",1,IF(N13="Quý II",4,IF(N13="Quý III",7,IF(N13="Quý IV",10,""))))</f>
        <v>7</v>
      </c>
      <c r="O5" s="649">
        <f>IF(N13="Quý I",3,IF(N13="Quý II",6,IF(N13="Quý III",9,IF(N13="Quý IV",12,""))))</f>
        <v>9</v>
      </c>
    </row>
    <row r="6" spans="1:15">
      <c r="A6" s="1139" t="s">
        <v>815</v>
      </c>
      <c r="B6" s="1139"/>
      <c r="C6" s="1139"/>
      <c r="D6" s="1139"/>
      <c r="E6" s="1139"/>
      <c r="F6" s="1139"/>
      <c r="G6" s="1139"/>
      <c r="H6" s="1139"/>
      <c r="I6" s="1139"/>
      <c r="J6" s="1139"/>
      <c r="K6" s="1139"/>
      <c r="L6" s="1139"/>
    </row>
    <row r="7" spans="1:15">
      <c r="B7" s="737"/>
      <c r="C7" s="737"/>
      <c r="D7" s="737"/>
      <c r="E7" s="738" t="s">
        <v>1101</v>
      </c>
      <c r="G7" s="737"/>
      <c r="H7" s="737"/>
      <c r="I7" s="737"/>
      <c r="J7" s="737"/>
      <c r="K7" s="737"/>
      <c r="L7" s="737"/>
      <c r="M7" s="764"/>
    </row>
    <row r="8" spans="1:15">
      <c r="B8" s="737"/>
      <c r="C8" s="737"/>
      <c r="D8" s="737"/>
      <c r="E8" s="738" t="s">
        <v>817</v>
      </c>
      <c r="G8" s="737"/>
      <c r="H8" s="737"/>
      <c r="I8" s="737"/>
      <c r="J8" s="737"/>
      <c r="K8" s="737"/>
      <c r="L8" s="737"/>
    </row>
    <row r="9" spans="1:15">
      <c r="B9" s="739"/>
      <c r="C9" s="739"/>
      <c r="D9" s="739"/>
      <c r="E9" s="738" t="s">
        <v>818</v>
      </c>
      <c r="G9" s="739"/>
      <c r="H9" s="739"/>
      <c r="I9" s="739"/>
      <c r="J9" s="739"/>
      <c r="K9" s="739"/>
      <c r="L9" s="739"/>
    </row>
    <row r="10" spans="1:15" ht="9" customHeight="1">
      <c r="C10" s="1136"/>
      <c r="D10" s="1136"/>
      <c r="E10" s="1136"/>
      <c r="F10" s="1136"/>
      <c r="G10" s="1136"/>
      <c r="H10" s="1136"/>
      <c r="I10" s="1136"/>
      <c r="J10" s="1136"/>
      <c r="K10" s="1136"/>
      <c r="L10" s="1136"/>
    </row>
    <row r="11" spans="1:15" ht="15.75" customHeight="1">
      <c r="A11" s="1141" t="s">
        <v>20</v>
      </c>
      <c r="B11" s="1142" t="s">
        <v>1</v>
      </c>
      <c r="C11" s="1142"/>
      <c r="D11" s="1141" t="s">
        <v>0</v>
      </c>
      <c r="E11" s="1141" t="s">
        <v>223</v>
      </c>
      <c r="F11" s="1142" t="s">
        <v>1100</v>
      </c>
      <c r="G11" s="1142"/>
      <c r="H11" s="1142"/>
      <c r="I11" s="1142"/>
      <c r="J11" s="1142"/>
      <c r="K11" s="1142"/>
      <c r="L11" s="1142"/>
    </row>
    <row r="12" spans="1:15" ht="15.75" customHeight="1" thickBot="1">
      <c r="A12" s="1141"/>
      <c r="B12" s="1143" t="s">
        <v>15</v>
      </c>
      <c r="C12" s="1143" t="s">
        <v>32</v>
      </c>
      <c r="D12" s="1141"/>
      <c r="E12" s="1141"/>
      <c r="F12" s="1143" t="s">
        <v>820</v>
      </c>
      <c r="G12" s="1143" t="s">
        <v>821</v>
      </c>
      <c r="H12" s="1143"/>
      <c r="I12" s="1143"/>
      <c r="J12" s="1143"/>
      <c r="K12" s="1143"/>
      <c r="L12" s="1143"/>
    </row>
    <row r="13" spans="1:15" ht="29.25" customHeight="1" thickBot="1">
      <c r="A13" s="1141"/>
      <c r="B13" s="1143"/>
      <c r="C13" s="1143"/>
      <c r="D13" s="1141"/>
      <c r="E13" s="1141"/>
      <c r="F13" s="1143"/>
      <c r="G13" s="760" t="s">
        <v>47</v>
      </c>
      <c r="H13" s="760" t="s">
        <v>24</v>
      </c>
      <c r="I13" s="760"/>
      <c r="J13" s="760"/>
      <c r="K13" s="760"/>
      <c r="L13" s="760"/>
      <c r="N13" s="762" t="s">
        <v>1103</v>
      </c>
    </row>
    <row r="14" spans="1:15">
      <c r="A14" s="837" t="s">
        <v>2</v>
      </c>
      <c r="B14" s="837" t="s">
        <v>3</v>
      </c>
      <c r="C14" s="837" t="s">
        <v>4</v>
      </c>
      <c r="D14" s="837" t="s">
        <v>5</v>
      </c>
      <c r="E14" s="837" t="s">
        <v>6</v>
      </c>
      <c r="F14" s="837">
        <v>1</v>
      </c>
      <c r="G14" s="837">
        <v>2</v>
      </c>
      <c r="H14" s="837">
        <v>3</v>
      </c>
      <c r="I14" s="837">
        <v>4</v>
      </c>
      <c r="J14" s="837">
        <v>5</v>
      </c>
      <c r="K14" s="837">
        <v>6</v>
      </c>
      <c r="L14" s="837">
        <v>7</v>
      </c>
    </row>
    <row r="15" spans="1:15" ht="21.75" customHeight="1">
      <c r="A15" s="742"/>
      <c r="B15" s="742"/>
      <c r="C15" s="742"/>
      <c r="D15" s="743" t="s">
        <v>7</v>
      </c>
      <c r="E15" s="742"/>
      <c r="F15" s="744"/>
      <c r="G15" s="744"/>
      <c r="H15" s="744"/>
      <c r="I15" s="744"/>
      <c r="J15" s="744"/>
      <c r="K15" s="744"/>
      <c r="L15" s="744"/>
    </row>
    <row r="16" spans="1:15" ht="21.75" customHeight="1">
      <c r="A16" s="745">
        <f ca="1">IF(ROWS($1:1)&gt;COUNT(Dong13),"",OFFSET(TH!C$1,SMALL(Dong13,ROWS($1:1)),))</f>
        <v>40755</v>
      </c>
      <c r="B16" s="745" t="str">
        <f ca="1">IF(ROWS($1:1)&gt;COUNT(Dong13),"",OFFSET(TH!D$1,SMALL(Dong13,ROWS($1:1)),))</f>
        <v>C07</v>
      </c>
      <c r="C16" s="745">
        <f ca="1">IF(ROWS($1:1)&gt;COUNT(Dong13),"",OFFSET(TH!E$1,SMALL(Dong13,ROWS($1:1)),))</f>
        <v>40755</v>
      </c>
      <c r="D16" s="746" t="str">
        <f ca="1">IF(ROWS($1:1)&gt;COUNT(Dong13),"",OFFSET(TH!F$1,SMALL(Dong13,ROWS($1:1)),))</f>
        <v>Difsel 0.05S, lệ phí xăng dầu</v>
      </c>
      <c r="E16" s="745" t="str">
        <f ca="1">IF(ROWS($1:1)&gt;COUNT(Dong13),"",OFFSET(TH!M$1,SMALL(Dong13,ROWS($1:1)),))</f>
        <v>1111</v>
      </c>
      <c r="F16" s="849">
        <f ca="1">IF(ROWS($1:1)&gt;COUNT(Dong13),"",OFFSET(TH!K$1,SMALL(Dong13,ROWS($1:1)),))</f>
        <v>455629</v>
      </c>
      <c r="G16" s="747">
        <f t="shared" ref="G16:J25" ca="1" si="0">IF($E16=G$13,$F16,0)</f>
        <v>455629</v>
      </c>
      <c r="H16" s="747">
        <f t="shared" ca="1" si="0"/>
        <v>0</v>
      </c>
      <c r="I16" s="747">
        <f t="shared" ca="1" si="0"/>
        <v>0</v>
      </c>
      <c r="J16" s="747">
        <f t="shared" ca="1" si="0"/>
        <v>0</v>
      </c>
      <c r="K16" s="747">
        <f ca="1">IF(LEFT($E16,3)=K$13,$F16,0)</f>
        <v>0</v>
      </c>
      <c r="L16" s="747">
        <f ca="1">IF(LEFT($E16,3)=L$13,$F16,0)</f>
        <v>0</v>
      </c>
    </row>
    <row r="17" spans="1:12" ht="21.75" customHeight="1">
      <c r="A17" s="745">
        <f ca="1">IF(ROWS($1:2)&gt;COUNT(Dong13),"",OFFSET(TH!C$1,SMALL(Dong13,ROWS($1:2)),))</f>
        <v>40758</v>
      </c>
      <c r="B17" s="745" t="str">
        <f ca="1">IF(ROWS($1:2)&gt;COUNT(Dong13),"",OFFSET(TH!D$1,SMALL(Dong13,ROWS($1:2)),))</f>
        <v>C08</v>
      </c>
      <c r="C17" s="745">
        <f ca="1">IF(ROWS($1:2)&gt;COUNT(Dong13),"",OFFSET(TH!E$1,SMALL(Dong13,ROWS($1:2)),))</f>
        <v>40758</v>
      </c>
      <c r="D17" s="746" t="str">
        <f ca="1">IF(ROWS($1:2)&gt;COUNT(Dong13),"",OFFSET(TH!F$1,SMALL(Dong13,ROWS($1:2)),))</f>
        <v>Difsel 0.05S, lệ phí xăng dầu</v>
      </c>
      <c r="E17" s="745" t="str">
        <f ca="1">IF(ROWS($1:2)&gt;COUNT(Dong13),"",OFFSET(TH!M$1,SMALL(Dong13,ROWS($1:2)),))</f>
        <v>1111</v>
      </c>
      <c r="F17" s="849">
        <f ca="1">IF(ROWS($1:2)&gt;COUNT(Dong13),"",OFFSET(TH!K$1,SMALL(Dong13,ROWS($1:2)),))</f>
        <v>384545</v>
      </c>
      <c r="G17" s="747">
        <f t="shared" ca="1" si="0"/>
        <v>384545</v>
      </c>
      <c r="H17" s="747">
        <f t="shared" ca="1" si="0"/>
        <v>0</v>
      </c>
      <c r="I17" s="747">
        <f t="shared" ca="1" si="0"/>
        <v>0</v>
      </c>
      <c r="J17" s="747">
        <f t="shared" ca="1" si="0"/>
        <v>0</v>
      </c>
      <c r="K17" s="747">
        <f t="shared" ref="K17:L25" ca="1" si="1">IF(LEFT($E17,3)=K$13,$F17,0)</f>
        <v>0</v>
      </c>
      <c r="L17" s="747">
        <f t="shared" ca="1" si="1"/>
        <v>0</v>
      </c>
    </row>
    <row r="18" spans="1:12" ht="21.75" customHeight="1">
      <c r="A18" s="745">
        <f ca="1">IF(ROWS($1:3)&gt;COUNT(Dong13),"",OFFSET(TH!C$1,SMALL(Dong13,ROWS($1:3)),))</f>
        <v>40762</v>
      </c>
      <c r="B18" s="745" t="str">
        <f ca="1">IF(ROWS($1:3)&gt;COUNT(Dong13),"",OFFSET(TH!D$1,SMALL(Dong13,ROWS($1:3)),))</f>
        <v>C10</v>
      </c>
      <c r="C18" s="745">
        <f ca="1">IF(ROWS($1:3)&gt;COUNT(Dong13),"",OFFSET(TH!E$1,SMALL(Dong13,ROWS($1:3)),))</f>
        <v>40762</v>
      </c>
      <c r="D18" s="746" t="str">
        <f ca="1">IF(ROWS($1:3)&gt;COUNT(Dong13),"",OFFSET(TH!F$1,SMALL(Dong13,ROWS($1:3)),))</f>
        <v>Difsel 0.05S, lệ phí xăng dầu</v>
      </c>
      <c r="E18" s="745" t="str">
        <f ca="1">IF(ROWS($1:3)&gt;COUNT(Dong13),"",OFFSET(TH!M$1,SMALL(Dong13,ROWS($1:3)),))</f>
        <v>1111</v>
      </c>
      <c r="F18" s="849">
        <f ca="1">IF(ROWS($1:3)&gt;COUNT(Dong13),"",OFFSET(TH!K$1,SMALL(Dong13,ROWS($1:3)),))</f>
        <v>455629</v>
      </c>
      <c r="G18" s="747">
        <f t="shared" ca="1" si="0"/>
        <v>455629</v>
      </c>
      <c r="H18" s="747">
        <f t="shared" ca="1" si="0"/>
        <v>0</v>
      </c>
      <c r="I18" s="747">
        <f t="shared" ca="1" si="0"/>
        <v>0</v>
      </c>
      <c r="J18" s="747">
        <f t="shared" ca="1" si="0"/>
        <v>0</v>
      </c>
      <c r="K18" s="747">
        <f t="shared" ca="1" si="1"/>
        <v>0</v>
      </c>
      <c r="L18" s="747">
        <f t="shared" ca="1" si="1"/>
        <v>0</v>
      </c>
    </row>
    <row r="19" spans="1:12" ht="21.75" customHeight="1">
      <c r="A19" s="745">
        <f ca="1">IF(ROWS($1:4)&gt;COUNT(Dong13),"",OFFSET(TH!C$1,SMALL(Dong13,ROWS($1:4)),))</f>
        <v>40808</v>
      </c>
      <c r="B19" s="745" t="str">
        <f ca="1">IF(ROWS($1:4)&gt;COUNT(Dong13),"",OFFSET(TH!D$1,SMALL(Dong13,ROWS($1:4)),))</f>
        <v>C21</v>
      </c>
      <c r="C19" s="745">
        <f ca="1">IF(ROWS($1:4)&gt;COUNT(Dong13),"",OFFSET(TH!E$1,SMALL(Dong13,ROWS($1:4)),))</f>
        <v>40808</v>
      </c>
      <c r="D19" s="746" t="str">
        <f ca="1">IF(ROWS($1:4)&gt;COUNT(Dong13),"",OFFSET(TH!F$1,SMALL(Dong13,ROWS($1:4)),))</f>
        <v>Dầu DO, Phí xăng dầu</v>
      </c>
      <c r="E19" s="745" t="str">
        <f ca="1">IF(ROWS($1:4)&gt;COUNT(Dong13),"",OFFSET(TH!M$1,SMALL(Dong13,ROWS($1:4)),))</f>
        <v>1111</v>
      </c>
      <c r="F19" s="849">
        <f ca="1">IF(ROWS($1:4)&gt;COUNT(Dong13),"",OFFSET(TH!K$1,SMALL(Dong13,ROWS($1:4)),))</f>
        <v>500011</v>
      </c>
      <c r="G19" s="747">
        <f t="shared" ca="1" si="0"/>
        <v>500011</v>
      </c>
      <c r="H19" s="747">
        <f t="shared" ca="1" si="0"/>
        <v>0</v>
      </c>
      <c r="I19" s="747">
        <f t="shared" ca="1" si="0"/>
        <v>0</v>
      </c>
      <c r="J19" s="747">
        <f t="shared" ca="1" si="0"/>
        <v>0</v>
      </c>
      <c r="K19" s="747">
        <f t="shared" ca="1" si="1"/>
        <v>0</v>
      </c>
      <c r="L19" s="747">
        <f t="shared" ca="1" si="1"/>
        <v>0</v>
      </c>
    </row>
    <row r="20" spans="1:12" ht="21.75" customHeight="1">
      <c r="A20" s="745" t="str">
        <f ca="1">IF(ROWS($1:5)&gt;COUNT(Dong13),"",OFFSET(TH!C$1,SMALL(Dong13,ROWS($1:5)),))</f>
        <v/>
      </c>
      <c r="B20" s="745" t="str">
        <f ca="1">IF(ROWS($1:5)&gt;COUNT(Dong13),"",OFFSET(TH!D$1,SMALL(Dong13,ROWS($1:5)),))</f>
        <v/>
      </c>
      <c r="C20" s="745" t="str">
        <f ca="1">IF(ROWS($1:5)&gt;COUNT(Dong13),"",OFFSET(TH!E$1,SMALL(Dong13,ROWS($1:5)),))</f>
        <v/>
      </c>
      <c r="D20" s="746" t="str">
        <f ca="1">IF(ROWS($1:5)&gt;COUNT(Dong13),"",OFFSET(TH!F$1,SMALL(Dong13,ROWS($1:5)),))</f>
        <v/>
      </c>
      <c r="E20" s="745" t="str">
        <f ca="1">IF(ROWS($1:5)&gt;COUNT(Dong13),"",OFFSET(TH!M$1,SMALL(Dong13,ROWS($1:5)),))</f>
        <v/>
      </c>
      <c r="F20" s="849" t="str">
        <f ca="1">IF(ROWS($1:5)&gt;COUNT(Dong13),"",OFFSET(TH!K$1,SMALL(Dong13,ROWS($1:5)),))</f>
        <v/>
      </c>
      <c r="G20" s="747">
        <f t="shared" ca="1" si="0"/>
        <v>0</v>
      </c>
      <c r="H20" s="747">
        <f t="shared" ca="1" si="0"/>
        <v>0</v>
      </c>
      <c r="I20" s="747" t="str">
        <f t="shared" ca="1" si="0"/>
        <v/>
      </c>
      <c r="J20" s="747" t="str">
        <f t="shared" ca="1" si="0"/>
        <v/>
      </c>
      <c r="K20" s="747" t="str">
        <f t="shared" ca="1" si="1"/>
        <v/>
      </c>
      <c r="L20" s="747" t="str">
        <f t="shared" ca="1" si="1"/>
        <v/>
      </c>
    </row>
    <row r="21" spans="1:12" ht="21.75" customHeight="1">
      <c r="A21" s="745" t="str">
        <f ca="1">IF(ROWS($1:6)&gt;COUNT(Dong13),"",OFFSET(TH!C$1,SMALL(Dong13,ROWS($1:6)),))</f>
        <v/>
      </c>
      <c r="B21" s="745" t="str">
        <f ca="1">IF(ROWS($1:6)&gt;COUNT(Dong13),"",OFFSET(TH!D$1,SMALL(Dong13,ROWS($1:6)),))</f>
        <v/>
      </c>
      <c r="C21" s="745" t="str">
        <f ca="1">IF(ROWS($1:6)&gt;COUNT(Dong13),"",OFFSET(TH!E$1,SMALL(Dong13,ROWS($1:6)),))</f>
        <v/>
      </c>
      <c r="D21" s="746" t="str">
        <f ca="1">IF(ROWS($1:6)&gt;COUNT(Dong13),"",OFFSET(TH!F$1,SMALL(Dong13,ROWS($1:6)),))</f>
        <v/>
      </c>
      <c r="E21" s="745" t="str">
        <f ca="1">IF(ROWS($1:6)&gt;COUNT(Dong13),"",OFFSET(TH!M$1,SMALL(Dong13,ROWS($1:6)),))</f>
        <v/>
      </c>
      <c r="F21" s="849" t="str">
        <f ca="1">IF(ROWS($1:6)&gt;COUNT(Dong13),"",OFFSET(TH!K$1,SMALL(Dong13,ROWS($1:6)),))</f>
        <v/>
      </c>
      <c r="G21" s="747">
        <f t="shared" ca="1" si="0"/>
        <v>0</v>
      </c>
      <c r="H21" s="747">
        <f t="shared" ca="1" si="0"/>
        <v>0</v>
      </c>
      <c r="I21" s="747" t="str">
        <f t="shared" ca="1" si="0"/>
        <v/>
      </c>
      <c r="J21" s="747" t="str">
        <f t="shared" ca="1" si="0"/>
        <v/>
      </c>
      <c r="K21" s="747" t="str">
        <f t="shared" ca="1" si="1"/>
        <v/>
      </c>
      <c r="L21" s="747" t="str">
        <f t="shared" ca="1" si="1"/>
        <v/>
      </c>
    </row>
    <row r="22" spans="1:12" ht="21.75" customHeight="1">
      <c r="A22" s="745" t="str">
        <f ca="1">IF(ROWS($1:7)&gt;COUNT(Dong13),"",OFFSET(TH!C$1,SMALL(Dong13,ROWS($1:7)),))</f>
        <v/>
      </c>
      <c r="B22" s="745" t="str">
        <f ca="1">IF(ROWS($1:7)&gt;COUNT(Dong13),"",OFFSET(TH!D$1,SMALL(Dong13,ROWS($1:7)),))</f>
        <v/>
      </c>
      <c r="C22" s="745" t="str">
        <f ca="1">IF(ROWS($1:7)&gt;COUNT(Dong13),"",OFFSET(TH!E$1,SMALL(Dong13,ROWS($1:7)),))</f>
        <v/>
      </c>
      <c r="D22" s="746" t="str">
        <f ca="1">IF(ROWS($1:7)&gt;COUNT(Dong13),"",OFFSET(TH!F$1,SMALL(Dong13,ROWS($1:7)),))</f>
        <v/>
      </c>
      <c r="E22" s="745" t="str">
        <f ca="1">IF(ROWS($1:7)&gt;COUNT(Dong13),"",OFFSET(TH!M$1,SMALL(Dong13,ROWS($1:7)),))</f>
        <v/>
      </c>
      <c r="F22" s="849" t="str">
        <f ca="1">IF(ROWS($1:7)&gt;COUNT(Dong13),"",OFFSET(TH!K$1,SMALL(Dong13,ROWS($1:7)),))</f>
        <v/>
      </c>
      <c r="G22" s="747">
        <f t="shared" ca="1" si="0"/>
        <v>0</v>
      </c>
      <c r="H22" s="747">
        <f t="shared" ca="1" si="0"/>
        <v>0</v>
      </c>
      <c r="I22" s="747" t="str">
        <f t="shared" ca="1" si="0"/>
        <v/>
      </c>
      <c r="J22" s="747" t="str">
        <f t="shared" ca="1" si="0"/>
        <v/>
      </c>
      <c r="K22" s="747" t="str">
        <f t="shared" ca="1" si="1"/>
        <v/>
      </c>
      <c r="L22" s="747" t="str">
        <f t="shared" ca="1" si="1"/>
        <v/>
      </c>
    </row>
    <row r="23" spans="1:12" ht="21.75" customHeight="1">
      <c r="A23" s="745" t="str">
        <f ca="1">IF(ROWS($1:8)&gt;COUNT(Dong13),"",OFFSET(TH!C$1,SMALL(Dong13,ROWS($1:8)),))</f>
        <v/>
      </c>
      <c r="B23" s="745" t="str">
        <f ca="1">IF(ROWS($1:8)&gt;COUNT(Dong13),"",OFFSET(TH!D$1,SMALL(Dong13,ROWS($1:8)),))</f>
        <v/>
      </c>
      <c r="C23" s="745" t="str">
        <f ca="1">IF(ROWS($1:8)&gt;COUNT(Dong13),"",OFFSET(TH!E$1,SMALL(Dong13,ROWS($1:8)),))</f>
        <v/>
      </c>
      <c r="D23" s="746" t="str">
        <f ca="1">IF(ROWS($1:8)&gt;COUNT(Dong13),"",OFFSET(TH!F$1,SMALL(Dong13,ROWS($1:8)),))</f>
        <v/>
      </c>
      <c r="E23" s="745" t="str">
        <f ca="1">IF(ROWS($1:8)&gt;COUNT(Dong13),"",OFFSET(TH!M$1,SMALL(Dong13,ROWS($1:8)),))</f>
        <v/>
      </c>
      <c r="F23" s="849" t="str">
        <f ca="1">IF(ROWS($1:8)&gt;COUNT(Dong13),"",OFFSET(TH!K$1,SMALL(Dong13,ROWS($1:8)),))</f>
        <v/>
      </c>
      <c r="G23" s="747">
        <f t="shared" ca="1" si="0"/>
        <v>0</v>
      </c>
      <c r="H23" s="747">
        <f t="shared" ca="1" si="0"/>
        <v>0</v>
      </c>
      <c r="I23" s="747" t="str">
        <f t="shared" ca="1" si="0"/>
        <v/>
      </c>
      <c r="J23" s="747" t="str">
        <f t="shared" ca="1" si="0"/>
        <v/>
      </c>
      <c r="K23" s="747" t="str">
        <f t="shared" ca="1" si="1"/>
        <v/>
      </c>
      <c r="L23" s="747" t="str">
        <f t="shared" ca="1" si="1"/>
        <v/>
      </c>
    </row>
    <row r="24" spans="1:12" ht="21.75" customHeight="1">
      <c r="A24" s="745" t="str">
        <f ca="1">IF(ROWS($1:9)&gt;COUNT(Dong13),"",OFFSET(TH!C$1,SMALL(Dong13,ROWS($1:9)),))</f>
        <v/>
      </c>
      <c r="B24" s="745" t="str">
        <f ca="1">IF(ROWS($1:9)&gt;COUNT(Dong13),"",OFFSET(TH!D$1,SMALL(Dong13,ROWS($1:9)),))</f>
        <v/>
      </c>
      <c r="C24" s="745" t="str">
        <f ca="1">IF(ROWS($1:9)&gt;COUNT(Dong13),"",OFFSET(TH!E$1,SMALL(Dong13,ROWS($1:9)),))</f>
        <v/>
      </c>
      <c r="D24" s="746" t="str">
        <f ca="1">IF(ROWS($1:9)&gt;COUNT(Dong13),"",OFFSET(TH!F$1,SMALL(Dong13,ROWS($1:9)),))</f>
        <v/>
      </c>
      <c r="E24" s="745" t="str">
        <f ca="1">IF(ROWS($1:9)&gt;COUNT(Dong13),"",OFFSET(TH!M$1,SMALL(Dong13,ROWS($1:9)),))</f>
        <v/>
      </c>
      <c r="F24" s="849" t="str">
        <f ca="1">IF(ROWS($1:9)&gt;COUNT(Dong13),"",OFFSET(TH!K$1,SMALL(Dong13,ROWS($1:9)),))</f>
        <v/>
      </c>
      <c r="G24" s="747">
        <f t="shared" ca="1" si="0"/>
        <v>0</v>
      </c>
      <c r="H24" s="747">
        <f t="shared" ca="1" si="0"/>
        <v>0</v>
      </c>
      <c r="I24" s="747" t="str">
        <f t="shared" ca="1" si="0"/>
        <v/>
      </c>
      <c r="J24" s="747" t="str">
        <f t="shared" ca="1" si="0"/>
        <v/>
      </c>
      <c r="K24" s="747" t="str">
        <f t="shared" ca="1" si="1"/>
        <v/>
      </c>
      <c r="L24" s="747" t="str">
        <f t="shared" ca="1" si="1"/>
        <v/>
      </c>
    </row>
    <row r="25" spans="1:12" ht="21.75" customHeight="1">
      <c r="A25" s="745" t="str">
        <f ca="1">IF(ROWS($1:10)&gt;COUNT(Dong13),"",OFFSET(TH!C$1,SMALL(Dong13,ROWS($1:10)),))</f>
        <v/>
      </c>
      <c r="B25" s="745" t="str">
        <f ca="1">IF(ROWS($1:10)&gt;COUNT(Dong13),"",OFFSET(TH!D$1,SMALL(Dong13,ROWS($1:10)),))</f>
        <v/>
      </c>
      <c r="C25" s="745" t="str">
        <f ca="1">IF(ROWS($1:10)&gt;COUNT(Dong13),"",OFFSET(TH!E$1,SMALL(Dong13,ROWS($1:10)),))</f>
        <v/>
      </c>
      <c r="D25" s="746" t="str">
        <f ca="1">IF(ROWS($1:10)&gt;COUNT(Dong13),"",OFFSET(TH!F$1,SMALL(Dong13,ROWS($1:10)),))</f>
        <v/>
      </c>
      <c r="E25" s="745" t="str">
        <f ca="1">IF(ROWS($1:10)&gt;COUNT(Dong13),"",OFFSET(TH!M$1,SMALL(Dong13,ROWS($1:10)),))</f>
        <v/>
      </c>
      <c r="F25" s="849" t="str">
        <f ca="1">IF(ROWS($1:10)&gt;COUNT(Dong13),"",OFFSET(TH!K$1,SMALL(Dong13,ROWS($1:10)),))</f>
        <v/>
      </c>
      <c r="G25" s="747">
        <f t="shared" ca="1" si="0"/>
        <v>0</v>
      </c>
      <c r="H25" s="747">
        <f t="shared" ca="1" si="0"/>
        <v>0</v>
      </c>
      <c r="I25" s="747" t="str">
        <f t="shared" ca="1" si="0"/>
        <v/>
      </c>
      <c r="J25" s="747" t="str">
        <f t="shared" ca="1" si="0"/>
        <v/>
      </c>
      <c r="K25" s="747" t="str">
        <f t="shared" ca="1" si="1"/>
        <v/>
      </c>
      <c r="L25" s="747" t="str">
        <f t="shared" ca="1" si="1"/>
        <v/>
      </c>
    </row>
    <row r="26" spans="1:12" ht="21.75" customHeight="1">
      <c r="A26" s="745"/>
      <c r="B26" s="748"/>
      <c r="C26" s="745"/>
      <c r="D26" s="749"/>
      <c r="E26" s="750"/>
      <c r="F26" s="751"/>
      <c r="G26" s="751"/>
      <c r="H26" s="751"/>
      <c r="I26" s="751"/>
      <c r="J26" s="751"/>
      <c r="K26" s="751"/>
      <c r="L26" s="751"/>
    </row>
    <row r="27" spans="1:12" ht="21.75" customHeight="1">
      <c r="A27" s="745"/>
      <c r="B27" s="748"/>
      <c r="C27" s="745"/>
      <c r="D27" s="743" t="s">
        <v>133</v>
      </c>
      <c r="E27" s="742" t="s">
        <v>19</v>
      </c>
      <c r="F27" s="744">
        <f t="shared" ref="F27:L27" ca="1" si="2">SUM(F15:F26)</f>
        <v>1795814</v>
      </c>
      <c r="G27" s="744">
        <f t="shared" ca="1" si="2"/>
        <v>1795814</v>
      </c>
      <c r="H27" s="744">
        <f t="shared" ca="1" si="2"/>
        <v>0</v>
      </c>
      <c r="I27" s="744">
        <f t="shared" ca="1" si="2"/>
        <v>0</v>
      </c>
      <c r="J27" s="744">
        <f t="shared" ca="1" si="2"/>
        <v>0</v>
      </c>
      <c r="K27" s="744">
        <f t="shared" ca="1" si="2"/>
        <v>0</v>
      </c>
      <c r="L27" s="744">
        <f t="shared" ca="1" si="2"/>
        <v>0</v>
      </c>
    </row>
    <row r="28" spans="1:12" ht="21.75" customHeight="1">
      <c r="A28" s="752"/>
      <c r="B28" s="750"/>
      <c r="C28" s="752"/>
      <c r="D28" s="753" t="s">
        <v>1102</v>
      </c>
      <c r="E28" s="748"/>
      <c r="F28" s="744">
        <f ca="1">SUM(G28:L28)</f>
        <v>1795814</v>
      </c>
      <c r="G28" s="754">
        <f t="shared" ref="G28:L28" ca="1" si="3">G27</f>
        <v>1795814</v>
      </c>
      <c r="H28" s="754">
        <f t="shared" ca="1" si="3"/>
        <v>0</v>
      </c>
      <c r="I28" s="754">
        <f t="shared" ca="1" si="3"/>
        <v>0</v>
      </c>
      <c r="J28" s="754">
        <f t="shared" ca="1" si="3"/>
        <v>0</v>
      </c>
      <c r="K28" s="754">
        <f t="shared" ca="1" si="3"/>
        <v>0</v>
      </c>
      <c r="L28" s="754">
        <f t="shared" ca="1" si="3"/>
        <v>0</v>
      </c>
    </row>
    <row r="29" spans="1:12" ht="21.75" customHeight="1">
      <c r="A29" s="755"/>
      <c r="B29" s="755"/>
      <c r="C29" s="755"/>
      <c r="D29" s="756" t="s">
        <v>10</v>
      </c>
      <c r="E29" s="755" t="s">
        <v>19</v>
      </c>
      <c r="F29" s="757">
        <f t="shared" ref="F29:L29" ca="1" si="4">F15+F27-F28</f>
        <v>0</v>
      </c>
      <c r="G29" s="757">
        <f t="shared" ca="1" si="4"/>
        <v>0</v>
      </c>
      <c r="H29" s="757">
        <f t="shared" ca="1" si="4"/>
        <v>0</v>
      </c>
      <c r="I29" s="757">
        <f t="shared" ca="1" si="4"/>
        <v>0</v>
      </c>
      <c r="J29" s="757">
        <f t="shared" ca="1" si="4"/>
        <v>0</v>
      </c>
      <c r="K29" s="757">
        <f t="shared" ca="1" si="4"/>
        <v>0</v>
      </c>
      <c r="L29" s="757">
        <f t="shared" ca="1" si="4"/>
        <v>0</v>
      </c>
    </row>
    <row r="31" spans="1:12">
      <c r="B31" s="758"/>
      <c r="C31" s="738" t="s">
        <v>826</v>
      </c>
    </row>
    <row r="32" spans="1:12">
      <c r="C32" s="738" t="str">
        <f ca="1">"- Ngày mở sổ: "&amp;"01/"&amp;MONTH(A16)&amp;"/"&amp;YEAR(A16)</f>
        <v>- Ngày mở sổ: 01/7/2011</v>
      </c>
    </row>
    <row r="33" spans="2:12">
      <c r="E33" s="737"/>
      <c r="F33" s="737"/>
      <c r="G33" s="737"/>
      <c r="H33" s="737"/>
      <c r="I33" s="737"/>
      <c r="J33" s="1095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95"/>
      <c r="L33" s="1095"/>
    </row>
    <row r="34" spans="2:12">
      <c r="B34" s="737"/>
      <c r="C34" s="836" t="s">
        <v>11</v>
      </c>
      <c r="D34" s="737"/>
      <c r="E34" s="737"/>
      <c r="F34" s="737"/>
      <c r="G34" s="737"/>
      <c r="H34" s="737"/>
      <c r="I34" s="737"/>
      <c r="J34" s="1095" t="s">
        <v>12</v>
      </c>
      <c r="K34" s="1095"/>
      <c r="L34" s="1095"/>
    </row>
    <row r="35" spans="2:12">
      <c r="B35" s="737"/>
      <c r="C35" s="836" t="s">
        <v>13</v>
      </c>
      <c r="D35" s="737"/>
      <c r="E35" s="737"/>
      <c r="F35" s="737"/>
      <c r="G35" s="737"/>
      <c r="H35" s="737"/>
      <c r="I35" s="737"/>
      <c r="J35" s="1139" t="s">
        <v>13</v>
      </c>
      <c r="K35" s="1139"/>
      <c r="L35" s="1139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39" t="str">
        <f>TH!$A$1</f>
        <v>Đơn vị: CÔNG TY TNHH SX TM KIM DUNG PHÁT</v>
      </c>
      <c r="D1" s="941"/>
      <c r="E1" s="941"/>
      <c r="F1" s="941"/>
      <c r="G1" s="941"/>
      <c r="I1" s="1146"/>
      <c r="J1" s="1146"/>
      <c r="K1" s="1146"/>
      <c r="L1" s="1146"/>
    </row>
    <row r="2" spans="1:12" ht="21.75" customHeight="1">
      <c r="A2" s="940" t="str">
        <f>TH!$A$2</f>
        <v>Địa chỉ: 1A227/1 Ấp 1, Phạm Văn Hai, Bình Chánh, TPHCM</v>
      </c>
      <c r="D2" s="941"/>
      <c r="E2" s="941"/>
      <c r="F2" s="941"/>
      <c r="G2" s="941"/>
      <c r="I2" s="1146"/>
      <c r="J2" s="1146"/>
      <c r="K2" s="1146"/>
      <c r="L2" s="1146"/>
    </row>
    <row r="3" spans="1:12">
      <c r="D3" s="1146"/>
      <c r="E3" s="1146"/>
      <c r="F3" s="1146"/>
      <c r="G3" s="1146"/>
      <c r="I3" s="1146"/>
      <c r="J3" s="1146"/>
      <c r="K3" s="1146"/>
      <c r="L3" s="1146"/>
    </row>
    <row r="14" spans="1:12" ht="40.5" customHeight="1">
      <c r="H14" s="254"/>
      <c r="I14" s="254"/>
      <c r="J14" s="254"/>
    </row>
    <row r="16" spans="1:12" ht="29.25" customHeight="1">
      <c r="A16" s="1144" t="s">
        <v>1469</v>
      </c>
      <c r="B16" s="1144"/>
      <c r="C16" s="1144"/>
      <c r="D16" s="1144"/>
      <c r="E16" s="1144"/>
      <c r="F16" s="1144"/>
      <c r="G16" s="1144"/>
    </row>
    <row r="17" spans="1:9" ht="6" customHeight="1">
      <c r="H17" s="255"/>
      <c r="I17" s="255"/>
    </row>
    <row r="18" spans="1:9" ht="20.25">
      <c r="A18" s="1145" t="s">
        <v>1468</v>
      </c>
      <c r="B18" s="1145"/>
      <c r="C18" s="1145"/>
      <c r="D18" s="1145"/>
      <c r="E18" s="1145"/>
      <c r="F18" s="1145"/>
      <c r="G18" s="1145"/>
    </row>
    <row r="19" spans="1:9" ht="64.5" customHeight="1"/>
    <row r="22" spans="1:9" ht="22.5" customHeight="1">
      <c r="B22" s="256" t="s">
        <v>1471</v>
      </c>
    </row>
    <row r="23" spans="1:9" ht="22.5" customHeight="1">
      <c r="B23" s="256" t="s">
        <v>1470</v>
      </c>
    </row>
    <row r="24" spans="1:9" ht="22.5" customHeight="1">
      <c r="B24" s="256" t="s">
        <v>1472</v>
      </c>
    </row>
    <row r="25" spans="1:9" ht="22.5" customHeight="1">
      <c r="B25" s="256" t="s">
        <v>1475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33" t="str">
        <f>TH!$A$1</f>
        <v>Đơn vị: CÔNG TY TNHH SX TM KIM DUNG PHÁT</v>
      </c>
      <c r="D1" s="1146"/>
      <c r="E1" s="1146"/>
      <c r="F1" s="1146"/>
      <c r="G1" s="1146"/>
    </row>
    <row r="2" spans="1:10">
      <c r="A2" s="934" t="str">
        <f>TH!$A$2</f>
        <v>Địa chỉ: 1A227/1 Ấp 1, Phạm Văn Hai, Bình Chánh, TPHCM</v>
      </c>
      <c r="D2" s="1146"/>
      <c r="E2" s="1146"/>
      <c r="F2" s="1146"/>
      <c r="G2" s="1146"/>
    </row>
    <row r="3" spans="1:10">
      <c r="D3" s="1146"/>
      <c r="E3" s="1146"/>
      <c r="F3" s="1146"/>
      <c r="G3" s="1146"/>
    </row>
    <row r="8" spans="1:10" ht="74.25" customHeight="1">
      <c r="H8" s="254"/>
      <c r="I8" s="254"/>
      <c r="J8" s="254"/>
    </row>
    <row r="10" spans="1:10" ht="29.25" customHeight="1">
      <c r="A10" s="1144" t="s">
        <v>1473</v>
      </c>
      <c r="B10" s="1144"/>
      <c r="C10" s="1144"/>
      <c r="D10" s="1144"/>
      <c r="E10" s="1144"/>
      <c r="F10" s="1144"/>
      <c r="G10" s="1144"/>
    </row>
    <row r="11" spans="1:10" ht="18.75" customHeight="1">
      <c r="H11" s="255"/>
      <c r="I11" s="255"/>
    </row>
    <row r="12" spans="1:10" ht="20.25">
      <c r="A12" s="1145" t="s">
        <v>1468</v>
      </c>
      <c r="B12" s="1145"/>
      <c r="C12" s="1145"/>
      <c r="D12" s="1145"/>
      <c r="E12" s="1145"/>
      <c r="F12" s="1145"/>
      <c r="G12" s="1145"/>
    </row>
    <row r="13" spans="1:10" ht="18.75" customHeight="1">
      <c r="B13" s="253" t="s">
        <v>1476</v>
      </c>
    </row>
    <row r="14" spans="1:10" ht="18.75" customHeight="1">
      <c r="B14" s="253" t="s">
        <v>1477</v>
      </c>
    </row>
    <row r="15" spans="1:10" ht="18.75" customHeight="1">
      <c r="B15" s="253" t="s">
        <v>1478</v>
      </c>
    </row>
    <row r="16" spans="1:10" ht="18.75" customHeight="1">
      <c r="B16" s="253" t="s">
        <v>1479</v>
      </c>
    </row>
    <row r="17" spans="2:2" ht="18.75" customHeight="1">
      <c r="B17" s="253" t="s">
        <v>1480</v>
      </c>
    </row>
    <row r="18" spans="2:2" ht="18.75" customHeight="1">
      <c r="B18" s="253" t="s">
        <v>1481</v>
      </c>
    </row>
    <row r="19" spans="2:2" ht="18.75" customHeight="1">
      <c r="B19" s="253" t="s">
        <v>1482</v>
      </c>
    </row>
    <row r="20" spans="2:2" ht="18.75" customHeight="1">
      <c r="B20" s="253" t="s">
        <v>1474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2016-08-26T06:54:03Z</dcterms:modified>
</cp:coreProperties>
</file>