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390" windowWidth="15150" windowHeight="8400" tabRatio="897" activeTab="14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- 1'!$A$7:$AE$9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TH!$A$10:$Z$19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TH!$B$11:$X$24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- 8'!$A$1:$AS$49</definedName>
    <definedName name="_xlnm.Print_Area" localSheetId="1">'CC -1'!$A$1:$AS$41</definedName>
    <definedName name="_xlnm.Print_Area" localSheetId="19">'CC -10'!$A$1:$AS$49</definedName>
    <definedName name="_xlnm.Print_Area" localSheetId="21">'CC -11'!$A$1:$AS$49</definedName>
    <definedName name="_xlnm.Print_Area" localSheetId="23">'CC -12'!$A$1:$AS$49</definedName>
    <definedName name="_xlnm.Print_Area" localSheetId="3">'CC -2'!$A$1:$AQ$41</definedName>
    <definedName name="_xlnm.Print_Area" localSheetId="5">'CC -3'!$A$1:$AS$41</definedName>
    <definedName name="_xlnm.Print_Area" localSheetId="7">'CC -4'!$A$1:$AR$41</definedName>
    <definedName name="_xlnm.Print_Area" localSheetId="9">'CC -5'!$A$1:$AS$41</definedName>
    <definedName name="_xlnm.Print_Area" localSheetId="11">'CC -6'!$A$1:$AS$41</definedName>
    <definedName name="_xlnm.Print_Area" localSheetId="13">'CC -7'!$A$1:$AS$41</definedName>
    <definedName name="_xlnm.Print_Area" localSheetId="17">'CC -9'!$A$1:$AS$49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C17" i="46" l="1"/>
  <c r="D17" i="46"/>
  <c r="E17" i="46"/>
  <c r="N17" i="46"/>
  <c r="O17" i="46"/>
  <c r="P17" i="46"/>
  <c r="R17" i="46"/>
  <c r="C18" i="46"/>
  <c r="D18" i="46"/>
  <c r="E18" i="46"/>
  <c r="N18" i="46"/>
  <c r="O18" i="46"/>
  <c r="P18" i="46"/>
  <c r="R18" i="46"/>
  <c r="C19" i="46"/>
  <c r="D19" i="46"/>
  <c r="E19" i="46"/>
  <c r="N19" i="46"/>
  <c r="O19" i="46"/>
  <c r="P19" i="46"/>
  <c r="R19" i="46"/>
  <c r="C20" i="46"/>
  <c r="D20" i="46"/>
  <c r="E20" i="46"/>
  <c r="N20" i="46"/>
  <c r="O20" i="46"/>
  <c r="P20" i="46"/>
  <c r="R20" i="46"/>
  <c r="C21" i="46"/>
  <c r="D21" i="46"/>
  <c r="E21" i="46"/>
  <c r="N21" i="46"/>
  <c r="O21" i="46"/>
  <c r="P21" i="46"/>
  <c r="R21" i="46"/>
  <c r="AM20" i="45"/>
  <c r="AL20" i="45"/>
  <c r="H18" i="46" s="1"/>
  <c r="AK20" i="45"/>
  <c r="D20" i="45"/>
  <c r="C20" i="45"/>
  <c r="AM18" i="45"/>
  <c r="AL18" i="45"/>
  <c r="H17" i="46" s="1"/>
  <c r="AK18" i="45"/>
  <c r="F17" i="46" s="1"/>
  <c r="L17" i="46" s="1"/>
  <c r="D18" i="45"/>
  <c r="C18" i="45"/>
  <c r="AM16" i="45"/>
  <c r="AL16" i="45"/>
  <c r="AK16" i="45"/>
  <c r="AN16" i="45" s="1"/>
  <c r="D16" i="45"/>
  <c r="C16" i="45"/>
  <c r="C17" i="44"/>
  <c r="D17" i="44"/>
  <c r="E17" i="44"/>
  <c r="N17" i="44"/>
  <c r="O17" i="44"/>
  <c r="P17" i="44"/>
  <c r="R17" i="44"/>
  <c r="C18" i="44"/>
  <c r="D18" i="44"/>
  <c r="E18" i="44"/>
  <c r="N18" i="44"/>
  <c r="O18" i="44"/>
  <c r="P18" i="44"/>
  <c r="R18" i="44"/>
  <c r="C19" i="44"/>
  <c r="D19" i="44"/>
  <c r="E19" i="44"/>
  <c r="N19" i="44"/>
  <c r="O19" i="44"/>
  <c r="P19" i="44"/>
  <c r="R19" i="44"/>
  <c r="C20" i="44"/>
  <c r="D20" i="44"/>
  <c r="E20" i="44"/>
  <c r="N20" i="44"/>
  <c r="O20" i="44"/>
  <c r="P20" i="44"/>
  <c r="R20" i="44"/>
  <c r="C21" i="44"/>
  <c r="D21" i="44"/>
  <c r="E21" i="44"/>
  <c r="N21" i="44"/>
  <c r="O21" i="44"/>
  <c r="P21" i="44"/>
  <c r="R21" i="44"/>
  <c r="AM20" i="43"/>
  <c r="AL20" i="43"/>
  <c r="H18" i="44" s="1"/>
  <c r="AK20" i="43"/>
  <c r="AN20" i="43" s="1"/>
  <c r="D20" i="43"/>
  <c r="C20" i="43"/>
  <c r="AM18" i="43"/>
  <c r="AL18" i="43"/>
  <c r="AN18" i="43" s="1"/>
  <c r="AK18" i="43"/>
  <c r="F17" i="44" s="1"/>
  <c r="L17" i="44" s="1"/>
  <c r="D18" i="43"/>
  <c r="C18" i="43"/>
  <c r="AM16" i="43"/>
  <c r="AL16" i="43"/>
  <c r="AK16" i="43"/>
  <c r="D16" i="43"/>
  <c r="C16" i="43"/>
  <c r="C17" i="42"/>
  <c r="D17" i="42"/>
  <c r="E17" i="42"/>
  <c r="N17" i="42"/>
  <c r="O17" i="42"/>
  <c r="P17" i="42"/>
  <c r="R17" i="42"/>
  <c r="C18" i="42"/>
  <c r="D18" i="42"/>
  <c r="E18" i="42"/>
  <c r="N18" i="42"/>
  <c r="O18" i="42"/>
  <c r="P18" i="42"/>
  <c r="R18" i="42"/>
  <c r="C19" i="42"/>
  <c r="D19" i="42"/>
  <c r="E19" i="42"/>
  <c r="N19" i="42"/>
  <c r="O19" i="42"/>
  <c r="P19" i="42"/>
  <c r="R19" i="42"/>
  <c r="C20" i="42"/>
  <c r="D20" i="42"/>
  <c r="E20" i="42"/>
  <c r="N20" i="42"/>
  <c r="O20" i="42"/>
  <c r="P20" i="42"/>
  <c r="R20" i="42"/>
  <c r="C21" i="42"/>
  <c r="D21" i="42"/>
  <c r="E21" i="42"/>
  <c r="N21" i="42"/>
  <c r="O21" i="42"/>
  <c r="P21" i="42"/>
  <c r="R21" i="42"/>
  <c r="AM20" i="41"/>
  <c r="H18" i="42" s="1"/>
  <c r="AL20" i="41"/>
  <c r="AK20" i="41"/>
  <c r="F18" i="42" s="1"/>
  <c r="L18" i="42" s="1"/>
  <c r="D20" i="41"/>
  <c r="C20" i="41"/>
  <c r="AM18" i="41"/>
  <c r="AL18" i="41"/>
  <c r="H17" i="42" s="1"/>
  <c r="AK18" i="41"/>
  <c r="F17" i="42" s="1"/>
  <c r="L17" i="42" s="1"/>
  <c r="D18" i="41"/>
  <c r="C18" i="41"/>
  <c r="AM16" i="41"/>
  <c r="AL16" i="41"/>
  <c r="AK16" i="41"/>
  <c r="D16" i="41"/>
  <c r="C16" i="41"/>
  <c r="C17" i="40"/>
  <c r="D17" i="40"/>
  <c r="E17" i="40"/>
  <c r="N17" i="40"/>
  <c r="O17" i="40"/>
  <c r="P17" i="40"/>
  <c r="R17" i="40"/>
  <c r="C18" i="40"/>
  <c r="D18" i="40"/>
  <c r="E18" i="40"/>
  <c r="N18" i="40"/>
  <c r="O18" i="40"/>
  <c r="P18" i="40"/>
  <c r="R18" i="40"/>
  <c r="C19" i="40"/>
  <c r="D19" i="40"/>
  <c r="E19" i="40"/>
  <c r="N19" i="40"/>
  <c r="O19" i="40"/>
  <c r="P19" i="40"/>
  <c r="R19" i="40"/>
  <c r="C20" i="40"/>
  <c r="D20" i="40"/>
  <c r="E20" i="40"/>
  <c r="N20" i="40"/>
  <c r="O20" i="40"/>
  <c r="P20" i="40"/>
  <c r="R20" i="40"/>
  <c r="C21" i="40"/>
  <c r="D21" i="40"/>
  <c r="E21" i="40"/>
  <c r="N21" i="40"/>
  <c r="O21" i="40"/>
  <c r="P21" i="40"/>
  <c r="R21" i="40"/>
  <c r="AM20" i="39"/>
  <c r="H18" i="40" s="1"/>
  <c r="AL20" i="39"/>
  <c r="AK20" i="39"/>
  <c r="F18" i="40" s="1"/>
  <c r="L18" i="40" s="1"/>
  <c r="D20" i="39"/>
  <c r="C20" i="39"/>
  <c r="AM18" i="39"/>
  <c r="AL18" i="39"/>
  <c r="H17" i="40" s="1"/>
  <c r="AK18" i="39"/>
  <c r="AN18" i="39" s="1"/>
  <c r="D18" i="39"/>
  <c r="C18" i="39"/>
  <c r="AM16" i="39"/>
  <c r="AL16" i="39"/>
  <c r="AK16" i="39"/>
  <c r="AN16" i="39" s="1"/>
  <c r="D16" i="39"/>
  <c r="C16" i="39"/>
  <c r="C17" i="38"/>
  <c r="D17" i="38"/>
  <c r="E17" i="38"/>
  <c r="N17" i="38"/>
  <c r="O17" i="38"/>
  <c r="P17" i="38"/>
  <c r="R17" i="38"/>
  <c r="C18" i="38"/>
  <c r="D18" i="38"/>
  <c r="E18" i="38"/>
  <c r="N18" i="38"/>
  <c r="O18" i="38"/>
  <c r="P18" i="38"/>
  <c r="R18" i="38"/>
  <c r="C19" i="38"/>
  <c r="D19" i="38"/>
  <c r="E19" i="38"/>
  <c r="N19" i="38"/>
  <c r="O19" i="38"/>
  <c r="P19" i="38"/>
  <c r="R19" i="38"/>
  <c r="C20" i="38"/>
  <c r="D20" i="38"/>
  <c r="E20" i="38"/>
  <c r="N20" i="38"/>
  <c r="O20" i="38"/>
  <c r="P20" i="38"/>
  <c r="R20" i="38"/>
  <c r="C21" i="38"/>
  <c r="D21" i="38"/>
  <c r="E21" i="38"/>
  <c r="N21" i="38"/>
  <c r="O21" i="38"/>
  <c r="P21" i="38"/>
  <c r="R21" i="38"/>
  <c r="AM20" i="37"/>
  <c r="AL20" i="37"/>
  <c r="H18" i="38" s="1"/>
  <c r="AK20" i="37"/>
  <c r="D20" i="37"/>
  <c r="C20" i="37"/>
  <c r="AM18" i="37"/>
  <c r="AL18" i="37"/>
  <c r="H17" i="38" s="1"/>
  <c r="AK18" i="37"/>
  <c r="F17" i="38" s="1"/>
  <c r="D18" i="37"/>
  <c r="C18" i="37"/>
  <c r="AM16" i="37"/>
  <c r="AL16" i="37"/>
  <c r="AK16" i="37"/>
  <c r="AN16" i="37" s="1"/>
  <c r="D16" i="37"/>
  <c r="C16" i="37"/>
  <c r="C16" i="36"/>
  <c r="D16" i="36"/>
  <c r="E16" i="36"/>
  <c r="N16" i="36"/>
  <c r="O16" i="36"/>
  <c r="P16" i="36"/>
  <c r="R16" i="36"/>
  <c r="C17" i="36"/>
  <c r="D17" i="36"/>
  <c r="E17" i="36"/>
  <c r="N17" i="36"/>
  <c r="O17" i="36"/>
  <c r="P17" i="36"/>
  <c r="R17" i="36"/>
  <c r="AL18" i="35"/>
  <c r="D18" i="35"/>
  <c r="C18" i="35"/>
  <c r="AL16" i="35"/>
  <c r="D16" i="35"/>
  <c r="C16" i="35"/>
  <c r="AL14" i="35"/>
  <c r="D14" i="35"/>
  <c r="C14" i="35"/>
  <c r="C16" i="34"/>
  <c r="D16" i="34"/>
  <c r="E16" i="34"/>
  <c r="N16" i="34"/>
  <c r="O16" i="34"/>
  <c r="P16" i="34"/>
  <c r="R16" i="34"/>
  <c r="C17" i="34"/>
  <c r="D17" i="34"/>
  <c r="E17" i="34"/>
  <c r="N17" i="34"/>
  <c r="O17" i="34"/>
  <c r="P17" i="34"/>
  <c r="R17" i="34"/>
  <c r="AL18" i="33"/>
  <c r="D18" i="33"/>
  <c r="C18" i="33"/>
  <c r="AL16" i="33"/>
  <c r="D16" i="33"/>
  <c r="C16" i="33"/>
  <c r="AL14" i="33"/>
  <c r="D14" i="33"/>
  <c r="C14" i="33"/>
  <c r="C16" i="16"/>
  <c r="D16" i="16"/>
  <c r="E16" i="16"/>
  <c r="N16" i="16"/>
  <c r="O16" i="16"/>
  <c r="P16" i="16"/>
  <c r="R16" i="16"/>
  <c r="C17" i="16"/>
  <c r="D17" i="16"/>
  <c r="E17" i="16"/>
  <c r="N17" i="16"/>
  <c r="O17" i="16"/>
  <c r="P17" i="16"/>
  <c r="R17" i="16"/>
  <c r="AL18" i="14"/>
  <c r="D18" i="14"/>
  <c r="C18" i="14"/>
  <c r="AL16" i="14"/>
  <c r="D16" i="14"/>
  <c r="C16" i="14"/>
  <c r="AL14" i="14"/>
  <c r="D14" i="14"/>
  <c r="C14" i="14"/>
  <c r="H10" i="54"/>
  <c r="F10" i="54"/>
  <c r="H10" i="50"/>
  <c r="F10" i="50"/>
  <c r="C16" i="54"/>
  <c r="D16" i="54"/>
  <c r="E16" i="54"/>
  <c r="N16" i="54"/>
  <c r="O16" i="54"/>
  <c r="P16" i="54"/>
  <c r="R16" i="54"/>
  <c r="C17" i="54"/>
  <c r="D17" i="54"/>
  <c r="E17" i="54"/>
  <c r="N17" i="54"/>
  <c r="O17" i="54"/>
  <c r="P17" i="54"/>
  <c r="R17" i="54"/>
  <c r="C16" i="53"/>
  <c r="C18" i="53"/>
  <c r="AK18" i="53"/>
  <c r="D18" i="53"/>
  <c r="AK16" i="53"/>
  <c r="D16" i="53"/>
  <c r="A16" i="53"/>
  <c r="A18" i="53" s="1"/>
  <c r="AK14" i="53"/>
  <c r="D14" i="53"/>
  <c r="C14" i="53"/>
  <c r="C16" i="52"/>
  <c r="D16" i="52"/>
  <c r="E16" i="52"/>
  <c r="N16" i="52"/>
  <c r="O16" i="52"/>
  <c r="P16" i="52"/>
  <c r="R16" i="52"/>
  <c r="C17" i="52"/>
  <c r="D17" i="52"/>
  <c r="E17" i="52"/>
  <c r="N17" i="52"/>
  <c r="O17" i="52"/>
  <c r="P17" i="52"/>
  <c r="R17" i="52"/>
  <c r="C16" i="51"/>
  <c r="C18" i="51"/>
  <c r="AL18" i="51"/>
  <c r="D18" i="51"/>
  <c r="AL16" i="51"/>
  <c r="D16" i="51"/>
  <c r="A16" i="51"/>
  <c r="A18" i="51" s="1"/>
  <c r="AL14" i="51"/>
  <c r="D14" i="51"/>
  <c r="C14" i="51"/>
  <c r="C16" i="50"/>
  <c r="D16" i="50"/>
  <c r="E16" i="50"/>
  <c r="N16" i="50"/>
  <c r="O16" i="50"/>
  <c r="P16" i="50"/>
  <c r="R16" i="50"/>
  <c r="C17" i="50"/>
  <c r="D17" i="50"/>
  <c r="E17" i="50"/>
  <c r="N17" i="50"/>
  <c r="O17" i="50"/>
  <c r="P17" i="50"/>
  <c r="R17" i="50"/>
  <c r="AJ18" i="49"/>
  <c r="D18" i="49"/>
  <c r="C18" i="49"/>
  <c r="R15" i="54"/>
  <c r="R19" i="54" s="1"/>
  <c r="P15" i="54"/>
  <c r="O15" i="54"/>
  <c r="O19" i="54" s="1"/>
  <c r="N15" i="54"/>
  <c r="N19" i="54" s="1"/>
  <c r="E15" i="54"/>
  <c r="E19" i="54" s="1"/>
  <c r="D15" i="54"/>
  <c r="C15" i="54"/>
  <c r="R11" i="54"/>
  <c r="P11" i="54"/>
  <c r="O11" i="54"/>
  <c r="N11" i="54"/>
  <c r="E11" i="54"/>
  <c r="D11" i="54"/>
  <c r="C11" i="54"/>
  <c r="R10" i="54"/>
  <c r="P10" i="54"/>
  <c r="O10" i="54"/>
  <c r="N10" i="54"/>
  <c r="E10" i="54"/>
  <c r="D10" i="54"/>
  <c r="C10" i="54"/>
  <c r="E4" i="54"/>
  <c r="S21" i="54" s="1"/>
  <c r="AK11" i="53"/>
  <c r="D11" i="53"/>
  <c r="C11" i="53"/>
  <c r="AK9" i="53"/>
  <c r="D9" i="53"/>
  <c r="C9" i="53"/>
  <c r="F5" i="53"/>
  <c r="F6" i="53" s="1"/>
  <c r="S1" i="53"/>
  <c r="R15" i="52"/>
  <c r="R19" i="52" s="1"/>
  <c r="P15" i="52"/>
  <c r="P19" i="52" s="1"/>
  <c r="O15" i="52"/>
  <c r="N15" i="52"/>
  <c r="E15" i="52"/>
  <c r="E19" i="52" s="1"/>
  <c r="D15" i="52"/>
  <c r="C15" i="52"/>
  <c r="R11" i="52"/>
  <c r="P11" i="52"/>
  <c r="O11" i="52"/>
  <c r="N11" i="52"/>
  <c r="E11" i="52"/>
  <c r="D11" i="52"/>
  <c r="C11" i="52"/>
  <c r="R10" i="52"/>
  <c r="P10" i="52"/>
  <c r="O10" i="52"/>
  <c r="N10" i="52"/>
  <c r="E10" i="52"/>
  <c r="D10" i="52"/>
  <c r="C10" i="52"/>
  <c r="E4" i="52"/>
  <c r="S21" i="52" s="1"/>
  <c r="AL11" i="51"/>
  <c r="D11" i="51"/>
  <c r="C11" i="51"/>
  <c r="AL9" i="51"/>
  <c r="D9" i="51"/>
  <c r="C9" i="51"/>
  <c r="F5" i="51"/>
  <c r="F6" i="51" s="1"/>
  <c r="S1" i="51"/>
  <c r="R15" i="50"/>
  <c r="R19" i="50" s="1"/>
  <c r="P15" i="50"/>
  <c r="O15" i="50"/>
  <c r="N15" i="50"/>
  <c r="E15" i="50"/>
  <c r="E19" i="50" s="1"/>
  <c r="D15" i="50"/>
  <c r="C15" i="50"/>
  <c r="R11" i="50"/>
  <c r="P11" i="50"/>
  <c r="O11" i="50"/>
  <c r="N11" i="50"/>
  <c r="E11" i="50"/>
  <c r="D11" i="50"/>
  <c r="C11" i="50"/>
  <c r="R10" i="50"/>
  <c r="P10" i="50"/>
  <c r="O10" i="50"/>
  <c r="N10" i="50"/>
  <c r="E10" i="50"/>
  <c r="D10" i="50"/>
  <c r="C10" i="50"/>
  <c r="E4" i="50"/>
  <c r="S21" i="50" s="1"/>
  <c r="AJ16" i="49"/>
  <c r="D16" i="49"/>
  <c r="C16" i="49"/>
  <c r="AJ14" i="49"/>
  <c r="D14" i="49"/>
  <c r="C14" i="49"/>
  <c r="AJ11" i="49"/>
  <c r="D11" i="49"/>
  <c r="C11" i="49"/>
  <c r="AJ9" i="49"/>
  <c r="D9" i="49"/>
  <c r="C9" i="49"/>
  <c r="F5" i="49"/>
  <c r="F6" i="49" s="1"/>
  <c r="S1" i="49"/>
  <c r="R17" i="48"/>
  <c r="P17" i="48"/>
  <c r="O17" i="48"/>
  <c r="N17" i="48"/>
  <c r="E17" i="48"/>
  <c r="D17" i="48"/>
  <c r="C17" i="48"/>
  <c r="R16" i="48"/>
  <c r="P16" i="48"/>
  <c r="O16" i="48"/>
  <c r="N16" i="48"/>
  <c r="E16" i="48"/>
  <c r="D16" i="48"/>
  <c r="C16" i="48"/>
  <c r="R15" i="48"/>
  <c r="P15" i="48"/>
  <c r="O15" i="48"/>
  <c r="N15" i="48"/>
  <c r="E15" i="48"/>
  <c r="D15" i="48"/>
  <c r="C15" i="48"/>
  <c r="R11" i="48"/>
  <c r="P11" i="48"/>
  <c r="O11" i="48"/>
  <c r="N11" i="48"/>
  <c r="E11" i="48"/>
  <c r="D11" i="48"/>
  <c r="C11" i="48"/>
  <c r="R10" i="48"/>
  <c r="P10" i="48"/>
  <c r="O10" i="48"/>
  <c r="N10" i="48"/>
  <c r="E10" i="48"/>
  <c r="D10" i="48"/>
  <c r="C10" i="48"/>
  <c r="E4" i="48"/>
  <c r="S21" i="48" s="1"/>
  <c r="AL18" i="47"/>
  <c r="D18" i="47"/>
  <c r="C18" i="47"/>
  <c r="AL16" i="47"/>
  <c r="D16" i="47"/>
  <c r="C16" i="47"/>
  <c r="A16" i="47"/>
  <c r="A18" i="47" s="1"/>
  <c r="AL14" i="47"/>
  <c r="D14" i="47"/>
  <c r="C14" i="47"/>
  <c r="AL11" i="47"/>
  <c r="D11" i="47"/>
  <c r="C11" i="47"/>
  <c r="AL9" i="47"/>
  <c r="D9" i="47"/>
  <c r="C9" i="47"/>
  <c r="F5" i="47"/>
  <c r="F6" i="47" s="1"/>
  <c r="S1" i="47"/>
  <c r="D1" i="50" l="1"/>
  <c r="R13" i="52"/>
  <c r="E19" i="48"/>
  <c r="N13" i="50"/>
  <c r="P13" i="54"/>
  <c r="N13" i="52"/>
  <c r="O13" i="54"/>
  <c r="AN20" i="45"/>
  <c r="AN18" i="45"/>
  <c r="F18" i="46"/>
  <c r="L18" i="46" s="1"/>
  <c r="AN16" i="43"/>
  <c r="F18" i="44"/>
  <c r="L18" i="44" s="1"/>
  <c r="H17" i="44"/>
  <c r="J17" i="44" s="1"/>
  <c r="AN16" i="41"/>
  <c r="AN18" i="41"/>
  <c r="AN20" i="41"/>
  <c r="J18" i="42"/>
  <c r="AN20" i="39"/>
  <c r="F17" i="40"/>
  <c r="L17" i="40" s="1"/>
  <c r="J18" i="40"/>
  <c r="AN20" i="37"/>
  <c r="AN18" i="37"/>
  <c r="F18" i="38"/>
  <c r="L18" i="38" s="1"/>
  <c r="J17" i="46"/>
  <c r="J17" i="42"/>
  <c r="J17" i="38"/>
  <c r="L17" i="38"/>
  <c r="N13" i="54"/>
  <c r="R13" i="54"/>
  <c r="P19" i="54"/>
  <c r="D1" i="52"/>
  <c r="D1" i="48"/>
  <c r="D1" i="54"/>
  <c r="R13" i="48"/>
  <c r="O13" i="52"/>
  <c r="N19" i="52"/>
  <c r="G5" i="53"/>
  <c r="E13" i="54"/>
  <c r="N13" i="48"/>
  <c r="R19" i="48"/>
  <c r="R13" i="50"/>
  <c r="P19" i="50"/>
  <c r="P13" i="52"/>
  <c r="O19" i="52"/>
  <c r="O13" i="50"/>
  <c r="N19" i="50"/>
  <c r="G5" i="51"/>
  <c r="E13" i="52"/>
  <c r="P19" i="48"/>
  <c r="P13" i="50"/>
  <c r="O19" i="50"/>
  <c r="O13" i="48"/>
  <c r="N19" i="48"/>
  <c r="G5" i="49"/>
  <c r="E13" i="50"/>
  <c r="P13" i="48"/>
  <c r="O19" i="48"/>
  <c r="G5" i="47"/>
  <c r="E13" i="48"/>
  <c r="K27" i="15"/>
  <c r="L12" i="46"/>
  <c r="C12" i="46"/>
  <c r="D12" i="46"/>
  <c r="E12" i="46"/>
  <c r="N12" i="46"/>
  <c r="O12" i="46"/>
  <c r="P12" i="46"/>
  <c r="R12" i="46"/>
  <c r="AL13" i="45"/>
  <c r="D13" i="45"/>
  <c r="C13" i="45"/>
  <c r="AL26" i="45"/>
  <c r="D26" i="45"/>
  <c r="C26" i="45"/>
  <c r="C12" i="44"/>
  <c r="D12" i="44"/>
  <c r="E12" i="44"/>
  <c r="N12" i="44"/>
  <c r="O12" i="44"/>
  <c r="P12" i="44"/>
  <c r="R12" i="44"/>
  <c r="AL13" i="43"/>
  <c r="D13" i="43"/>
  <c r="C13" i="43"/>
  <c r="A13" i="41"/>
  <c r="C13" i="41"/>
  <c r="D13" i="41"/>
  <c r="AL13" i="41"/>
  <c r="C12" i="42"/>
  <c r="D12" i="42"/>
  <c r="E12" i="42"/>
  <c r="N12" i="42"/>
  <c r="O12" i="42"/>
  <c r="P12" i="42"/>
  <c r="R12" i="42"/>
  <c r="J18" i="46" l="1"/>
  <c r="J18" i="44"/>
  <c r="J17" i="40"/>
  <c r="J18" i="38"/>
  <c r="G6" i="53"/>
  <c r="H5" i="53"/>
  <c r="G6" i="51"/>
  <c r="H5" i="51"/>
  <c r="G6" i="49"/>
  <c r="H5" i="49"/>
  <c r="H5" i="47"/>
  <c r="G6" i="47"/>
  <c r="K28" i="15"/>
  <c r="I5" i="53" l="1"/>
  <c r="H6" i="53"/>
  <c r="I5" i="51"/>
  <c r="H6" i="51"/>
  <c r="I5" i="49"/>
  <c r="H6" i="49"/>
  <c r="I5" i="47"/>
  <c r="H6" i="47"/>
  <c r="AL26" i="41"/>
  <c r="D26" i="41"/>
  <c r="C26" i="41"/>
  <c r="AL26" i="43"/>
  <c r="D26" i="43"/>
  <c r="C26" i="43"/>
  <c r="R16" i="46"/>
  <c r="P16" i="46"/>
  <c r="O16" i="46"/>
  <c r="N16" i="46"/>
  <c r="E16" i="46"/>
  <c r="D16" i="46"/>
  <c r="C16" i="46"/>
  <c r="R11" i="46"/>
  <c r="P11" i="46"/>
  <c r="O11" i="46"/>
  <c r="N11" i="46"/>
  <c r="E11" i="46"/>
  <c r="D11" i="46"/>
  <c r="C11" i="46"/>
  <c r="R10" i="46"/>
  <c r="P10" i="46"/>
  <c r="O10" i="46"/>
  <c r="N10" i="46"/>
  <c r="E10" i="46"/>
  <c r="D10" i="46"/>
  <c r="C10" i="46"/>
  <c r="E4" i="46"/>
  <c r="S25" i="46" s="1"/>
  <c r="AL24" i="45"/>
  <c r="D24" i="45"/>
  <c r="C24" i="45"/>
  <c r="AL22" i="45"/>
  <c r="D22" i="45"/>
  <c r="C22" i="45"/>
  <c r="AL11" i="45"/>
  <c r="D11" i="45"/>
  <c r="C11" i="45"/>
  <c r="AL9" i="45"/>
  <c r="D9" i="45"/>
  <c r="C9" i="45"/>
  <c r="F5" i="45"/>
  <c r="G5" i="45" s="1"/>
  <c r="S1" i="45"/>
  <c r="R16" i="44"/>
  <c r="P16" i="44"/>
  <c r="O16" i="44"/>
  <c r="N16" i="44"/>
  <c r="E16" i="44"/>
  <c r="D16" i="44"/>
  <c r="C16" i="44"/>
  <c r="R11" i="44"/>
  <c r="P11" i="44"/>
  <c r="O11" i="44"/>
  <c r="N11" i="44"/>
  <c r="E11" i="44"/>
  <c r="D11" i="44"/>
  <c r="C11" i="44"/>
  <c r="R10" i="44"/>
  <c r="P10" i="44"/>
  <c r="O10" i="44"/>
  <c r="N10" i="44"/>
  <c r="E10" i="44"/>
  <c r="D10" i="44"/>
  <c r="C10" i="44"/>
  <c r="E4" i="44"/>
  <c r="S25" i="44" s="1"/>
  <c r="AL24" i="43"/>
  <c r="D24" i="43"/>
  <c r="C24" i="43"/>
  <c r="AL22" i="43"/>
  <c r="D22" i="43"/>
  <c r="C22" i="43"/>
  <c r="AL11" i="43"/>
  <c r="D11" i="43"/>
  <c r="C11" i="43"/>
  <c r="A11" i="43"/>
  <c r="AL9" i="43"/>
  <c r="D9" i="43"/>
  <c r="C9" i="43"/>
  <c r="F5" i="43"/>
  <c r="G5" i="43" s="1"/>
  <c r="S1" i="43"/>
  <c r="R16" i="42"/>
  <c r="P16" i="42"/>
  <c r="O16" i="42"/>
  <c r="N16" i="42"/>
  <c r="E16" i="42"/>
  <c r="D16" i="42"/>
  <c r="C16" i="42"/>
  <c r="R11" i="42"/>
  <c r="P11" i="42"/>
  <c r="O11" i="42"/>
  <c r="N11" i="42"/>
  <c r="E11" i="42"/>
  <c r="D11" i="42"/>
  <c r="C11" i="42"/>
  <c r="R10" i="42"/>
  <c r="P10" i="42"/>
  <c r="O10" i="42"/>
  <c r="N10" i="42"/>
  <c r="E10" i="42"/>
  <c r="D10" i="42"/>
  <c r="C10" i="42"/>
  <c r="E4" i="42"/>
  <c r="S25" i="42" s="1"/>
  <c r="AL24" i="41"/>
  <c r="D24" i="41"/>
  <c r="C24" i="41"/>
  <c r="AL22" i="41"/>
  <c r="D22" i="41"/>
  <c r="C22" i="41"/>
  <c r="AL11" i="41"/>
  <c r="D11" i="41"/>
  <c r="C11" i="41"/>
  <c r="A11" i="41"/>
  <c r="AL9" i="41"/>
  <c r="D9" i="41"/>
  <c r="C9" i="41"/>
  <c r="F5" i="41"/>
  <c r="G5" i="41" s="1"/>
  <c r="S1" i="41"/>
  <c r="E14" i="46" l="1"/>
  <c r="R14" i="46"/>
  <c r="J5" i="53"/>
  <c r="I6" i="53"/>
  <c r="J5" i="51"/>
  <c r="I6" i="51"/>
  <c r="E14" i="44"/>
  <c r="R14" i="44"/>
  <c r="N14" i="46"/>
  <c r="P14" i="44"/>
  <c r="J5" i="49"/>
  <c r="I6" i="49"/>
  <c r="O14" i="44"/>
  <c r="P14" i="46"/>
  <c r="N14" i="44"/>
  <c r="O14" i="46"/>
  <c r="I6" i="47"/>
  <c r="J5" i="47"/>
  <c r="F6" i="43"/>
  <c r="E23" i="42"/>
  <c r="R23" i="42"/>
  <c r="E23" i="44"/>
  <c r="R23" i="44"/>
  <c r="F6" i="45"/>
  <c r="F6" i="41"/>
  <c r="N14" i="42"/>
  <c r="E23" i="46"/>
  <c r="P23" i="42"/>
  <c r="D1" i="42"/>
  <c r="P23" i="44"/>
  <c r="D1" i="44"/>
  <c r="O23" i="46"/>
  <c r="P23" i="46"/>
  <c r="N23" i="46"/>
  <c r="R23" i="46"/>
  <c r="D1" i="46"/>
  <c r="G6" i="45"/>
  <c r="H5" i="45"/>
  <c r="N23" i="44"/>
  <c r="O23" i="44"/>
  <c r="G6" i="43"/>
  <c r="H5" i="43"/>
  <c r="N23" i="42"/>
  <c r="O14" i="42"/>
  <c r="P14" i="42"/>
  <c r="R14" i="42"/>
  <c r="O23" i="42"/>
  <c r="G6" i="41"/>
  <c r="H5" i="41"/>
  <c r="E14" i="42"/>
  <c r="R16" i="40"/>
  <c r="P16" i="40"/>
  <c r="O16" i="40"/>
  <c r="N16" i="40"/>
  <c r="E16" i="40"/>
  <c r="D16" i="40"/>
  <c r="C16" i="40"/>
  <c r="R12" i="40"/>
  <c r="P12" i="40"/>
  <c r="O12" i="40"/>
  <c r="N12" i="40"/>
  <c r="E12" i="40"/>
  <c r="D12" i="40"/>
  <c r="C12" i="40"/>
  <c r="R11" i="40"/>
  <c r="P11" i="40"/>
  <c r="O11" i="40"/>
  <c r="N11" i="40"/>
  <c r="E11" i="40"/>
  <c r="D11" i="40"/>
  <c r="C11" i="40"/>
  <c r="R10" i="40"/>
  <c r="P10" i="40"/>
  <c r="O10" i="40"/>
  <c r="N10" i="40"/>
  <c r="E10" i="40"/>
  <c r="D10" i="40"/>
  <c r="C10" i="40"/>
  <c r="E4" i="40"/>
  <c r="S25" i="40" s="1"/>
  <c r="AL26" i="39"/>
  <c r="D26" i="39"/>
  <c r="C26" i="39"/>
  <c r="AL24" i="39"/>
  <c r="D24" i="39"/>
  <c r="C24" i="39"/>
  <c r="AL22" i="39"/>
  <c r="D22" i="39"/>
  <c r="C22" i="39"/>
  <c r="AL13" i="39"/>
  <c r="D13" i="39"/>
  <c r="C13" i="39"/>
  <c r="A13" i="39"/>
  <c r="AL11" i="39"/>
  <c r="D11" i="39"/>
  <c r="C11" i="39"/>
  <c r="A11" i="39"/>
  <c r="AL9" i="39"/>
  <c r="D9" i="39"/>
  <c r="C9" i="39"/>
  <c r="F5" i="39"/>
  <c r="G5" i="39" s="1"/>
  <c r="S1" i="39"/>
  <c r="R16" i="38"/>
  <c r="P16" i="38"/>
  <c r="O16" i="38"/>
  <c r="N16" i="38"/>
  <c r="E16" i="38"/>
  <c r="D16" i="38"/>
  <c r="C16" i="38"/>
  <c r="R12" i="38"/>
  <c r="P12" i="38"/>
  <c r="O12" i="38"/>
  <c r="N12" i="38"/>
  <c r="E12" i="38"/>
  <c r="D12" i="38"/>
  <c r="C12" i="38"/>
  <c r="R11" i="38"/>
  <c r="P11" i="38"/>
  <c r="O11" i="38"/>
  <c r="N11" i="38"/>
  <c r="E11" i="38"/>
  <c r="D11" i="38"/>
  <c r="C11" i="38"/>
  <c r="R10" i="38"/>
  <c r="P10" i="38"/>
  <c r="O10" i="38"/>
  <c r="N10" i="38"/>
  <c r="E10" i="38"/>
  <c r="D10" i="38"/>
  <c r="C10" i="38"/>
  <c r="E4" i="38"/>
  <c r="S25" i="38" s="1"/>
  <c r="AL26" i="37"/>
  <c r="D26" i="37"/>
  <c r="C26" i="37"/>
  <c r="AL24" i="37"/>
  <c r="D24" i="37"/>
  <c r="C24" i="37"/>
  <c r="AL22" i="37"/>
  <c r="D22" i="37"/>
  <c r="C22" i="37"/>
  <c r="AL13" i="37"/>
  <c r="D13" i="37"/>
  <c r="C13" i="37"/>
  <c r="A13" i="37"/>
  <c r="AL11" i="37"/>
  <c r="D11" i="37"/>
  <c r="C11" i="37"/>
  <c r="A11" i="37"/>
  <c r="AL9" i="37"/>
  <c r="D9" i="37"/>
  <c r="C9" i="37"/>
  <c r="F5" i="37"/>
  <c r="F6" i="37" s="1"/>
  <c r="S1" i="37"/>
  <c r="R15" i="36"/>
  <c r="P15" i="36"/>
  <c r="O15" i="36"/>
  <c r="N15" i="36"/>
  <c r="E15" i="36"/>
  <c r="D15" i="36"/>
  <c r="C15" i="36"/>
  <c r="R11" i="36"/>
  <c r="P11" i="36"/>
  <c r="O11" i="36"/>
  <c r="N11" i="36"/>
  <c r="E11" i="36"/>
  <c r="D11" i="36"/>
  <c r="C11" i="36"/>
  <c r="R10" i="36"/>
  <c r="P10" i="36"/>
  <c r="O10" i="36"/>
  <c r="N10" i="36"/>
  <c r="E10" i="36"/>
  <c r="D10" i="36"/>
  <c r="C10" i="36"/>
  <c r="E4" i="36"/>
  <c r="S21" i="36" s="1"/>
  <c r="AL11" i="35"/>
  <c r="D11" i="35"/>
  <c r="C11" i="35"/>
  <c r="A11" i="35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N14" i="40"/>
  <c r="P23" i="40"/>
  <c r="I5" i="45"/>
  <c r="H6" i="45"/>
  <c r="R14" i="38"/>
  <c r="P23" i="38"/>
  <c r="O14" i="40"/>
  <c r="N23" i="40"/>
  <c r="I5" i="43"/>
  <c r="H6" i="43"/>
  <c r="E23" i="40"/>
  <c r="R23" i="40"/>
  <c r="I5" i="41"/>
  <c r="H6" i="41"/>
  <c r="R13" i="36"/>
  <c r="P19" i="36"/>
  <c r="N14" i="38"/>
  <c r="E23" i="38"/>
  <c r="R23" i="38"/>
  <c r="P14" i="40"/>
  <c r="R14" i="40"/>
  <c r="O23" i="40"/>
  <c r="F6" i="39"/>
  <c r="D1" i="40"/>
  <c r="G6" i="39"/>
  <c r="H5" i="39"/>
  <c r="E14" i="40"/>
  <c r="N13" i="36"/>
  <c r="E19" i="36"/>
  <c r="R19" i="36"/>
  <c r="O14" i="38"/>
  <c r="N23" i="38"/>
  <c r="O13" i="36"/>
  <c r="P14" i="38"/>
  <c r="O23" i="38"/>
  <c r="G5" i="37"/>
  <c r="E14" i="38"/>
  <c r="N19" i="36"/>
  <c r="P13" i="36"/>
  <c r="O19" i="36"/>
  <c r="G5" i="35"/>
  <c r="E13" i="36"/>
  <c r="C11" i="34"/>
  <c r="D11" i="34"/>
  <c r="E11" i="34"/>
  <c r="N11" i="34"/>
  <c r="O11" i="34"/>
  <c r="P11" i="34"/>
  <c r="R11" i="34"/>
  <c r="AL11" i="33"/>
  <c r="D11" i="33"/>
  <c r="C11" i="33"/>
  <c r="A11" i="33"/>
  <c r="C15" i="16"/>
  <c r="D15" i="16"/>
  <c r="E15" i="16"/>
  <c r="N15" i="16"/>
  <c r="O15" i="16"/>
  <c r="P15" i="16"/>
  <c r="R15" i="16"/>
  <c r="C10" i="16"/>
  <c r="D10" i="16"/>
  <c r="E10" i="16"/>
  <c r="N10" i="16"/>
  <c r="O10" i="16"/>
  <c r="P10" i="16"/>
  <c r="R10" i="16"/>
  <c r="C11" i="16"/>
  <c r="D11" i="16"/>
  <c r="E11" i="16"/>
  <c r="N11" i="16"/>
  <c r="O11" i="16"/>
  <c r="P11" i="16"/>
  <c r="R11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3" i="16"/>
  <c r="G6" i="37"/>
  <c r="H5" i="37"/>
  <c r="P19" i="16"/>
  <c r="P13" i="16"/>
  <c r="O19" i="16"/>
  <c r="E19" i="16"/>
  <c r="R19" i="16"/>
  <c r="N19" i="16"/>
  <c r="N13" i="16"/>
  <c r="R13" i="16"/>
  <c r="G6" i="35"/>
  <c r="H5" i="35"/>
  <c r="O13" i="16"/>
  <c r="AL11" i="14"/>
  <c r="D11" i="14"/>
  <c r="C11" i="14"/>
  <c r="A12" i="15"/>
  <c r="A13" i="15"/>
  <c r="A14" i="15"/>
  <c r="A15" i="15"/>
  <c r="A16" i="15"/>
  <c r="A17" i="15"/>
  <c r="A18" i="15"/>
  <c r="A19" i="15"/>
  <c r="A20" i="15"/>
  <c r="A21" i="15"/>
  <c r="A11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5" i="34"/>
  <c r="P15" i="34"/>
  <c r="O15" i="34"/>
  <c r="N15" i="34"/>
  <c r="E15" i="34"/>
  <c r="D15" i="34"/>
  <c r="C15" i="34"/>
  <c r="R10" i="34"/>
  <c r="R13" i="34" s="1"/>
  <c r="P10" i="34"/>
  <c r="P13" i="34" s="1"/>
  <c r="O10" i="34"/>
  <c r="O13" i="34" s="1"/>
  <c r="N10" i="34"/>
  <c r="N13" i="34" s="1"/>
  <c r="E10" i="34"/>
  <c r="E13" i="34" s="1"/>
  <c r="D10" i="34"/>
  <c r="C10" i="34"/>
  <c r="E4" i="34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N19" i="34"/>
  <c r="K6" i="41"/>
  <c r="L5" i="41"/>
  <c r="J6" i="39"/>
  <c r="K5" i="39"/>
  <c r="O19" i="34"/>
  <c r="J5" i="37"/>
  <c r="I6" i="37"/>
  <c r="P19" i="34"/>
  <c r="E19" i="34"/>
  <c r="R19" i="34"/>
  <c r="J5" i="35"/>
  <c r="I6" i="35"/>
  <c r="S21" i="34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22" i="15"/>
  <c r="F22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1" i="16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7" i="15"/>
  <c r="N105" i="15" s="1"/>
  <c r="M78" i="15"/>
  <c r="N107" i="15" s="1"/>
  <c r="M79" i="15"/>
  <c r="N109" i="15" s="1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49" i="15"/>
  <c r="J23" i="15" a="1"/>
  <c r="J23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51" i="15"/>
  <c r="N53" i="15"/>
  <c r="N55" i="15"/>
  <c r="N57" i="15"/>
  <c r="N59" i="15"/>
  <c r="N61" i="15"/>
  <c r="N63" i="15"/>
  <c r="N65" i="15"/>
  <c r="N67" i="15"/>
  <c r="N69" i="15"/>
  <c r="N71" i="15"/>
  <c r="N73" i="15"/>
  <c r="N75" i="15"/>
  <c r="N77" i="15"/>
  <c r="N79" i="15"/>
  <c r="N81" i="15"/>
  <c r="N83" i="15"/>
  <c r="N85" i="15"/>
  <c r="N87" i="15"/>
  <c r="N89" i="15"/>
  <c r="N91" i="15"/>
  <c r="N93" i="15"/>
  <c r="N95" i="15"/>
  <c r="N97" i="15"/>
  <c r="N99" i="15"/>
  <c r="N101" i="15"/>
  <c r="N103" i="15"/>
  <c r="N49" i="15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22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3" i="15" a="1"/>
  <c r="K23" i="15" s="1"/>
  <c r="L23" i="15" a="1"/>
  <c r="L23" i="15" s="1"/>
  <c r="M23" i="15" a="1"/>
  <c r="M23" i="15" s="1"/>
  <c r="N23" i="15" a="1"/>
  <c r="N23" i="15" s="1"/>
  <c r="O23" i="15" a="1"/>
  <c r="O23" i="15" s="1"/>
  <c r="P23" i="15" a="1"/>
  <c r="P23" i="15" s="1"/>
  <c r="Q23" i="15" a="1"/>
  <c r="Q23" i="15" s="1"/>
  <c r="R23" i="15" a="1"/>
  <c r="R23" i="15" s="1"/>
  <c r="S23" i="15" a="1"/>
  <c r="S23" i="15" s="1"/>
  <c r="T23" i="15" a="1"/>
  <c r="T23" i="15" s="1"/>
  <c r="U23" i="15" a="1"/>
  <c r="U23" i="15" s="1"/>
  <c r="U22" i="15"/>
  <c r="K22" i="15"/>
  <c r="L22" i="15"/>
  <c r="M22" i="15"/>
  <c r="N22" i="15"/>
  <c r="O22" i="15"/>
  <c r="P22" i="15"/>
  <c r="Q22" i="15"/>
  <c r="R22" i="15"/>
  <c r="S22" i="15"/>
  <c r="T22" i="15"/>
  <c r="G22" i="15"/>
  <c r="H22" i="15"/>
  <c r="A6" i="15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18" i="49" l="1"/>
  <c r="AK18" i="49"/>
  <c r="H17" i="50" s="1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M18" i="51" l="1"/>
  <c r="H17" i="52" s="1"/>
  <c r="AK18" i="51"/>
  <c r="AM14" i="51"/>
  <c r="AM16" i="51"/>
  <c r="H16" i="52" s="1"/>
  <c r="AK16" i="51"/>
  <c r="AK14" i="51"/>
  <c r="AN14" i="51" s="1"/>
  <c r="AL18" i="49"/>
  <c r="F17" i="50"/>
  <c r="AJ16" i="53"/>
  <c r="F16" i="54" s="1"/>
  <c r="AL14" i="53"/>
  <c r="H15" i="54" s="1"/>
  <c r="AJ14" i="53"/>
  <c r="AL18" i="53"/>
  <c r="H17" i="54" s="1"/>
  <c r="AJ18" i="53"/>
  <c r="AL16" i="53"/>
  <c r="H16" i="54" s="1"/>
  <c r="AJ9" i="53"/>
  <c r="F11" i="54" s="1"/>
  <c r="AL11" i="53"/>
  <c r="AL9" i="53"/>
  <c r="H11" i="54" s="1"/>
  <c r="AJ11" i="53"/>
  <c r="AM9" i="51"/>
  <c r="H10" i="52" s="1"/>
  <c r="AK9" i="51"/>
  <c r="AM11" i="51"/>
  <c r="H11" i="52" s="1"/>
  <c r="AK11" i="51"/>
  <c r="AK9" i="49"/>
  <c r="H11" i="50" s="1"/>
  <c r="AK16" i="49"/>
  <c r="H16" i="50" s="1"/>
  <c r="AI11" i="49"/>
  <c r="AI9" i="49"/>
  <c r="F11" i="50" s="1"/>
  <c r="AK11" i="49"/>
  <c r="AI16" i="49"/>
  <c r="F16" i="50" s="1"/>
  <c r="AI14" i="49"/>
  <c r="F15" i="50" s="1"/>
  <c r="AK14" i="49"/>
  <c r="H15" i="50" s="1"/>
  <c r="AM18" i="47"/>
  <c r="AK9" i="47"/>
  <c r="F10" i="48" s="1"/>
  <c r="AM14" i="47"/>
  <c r="AK18" i="47"/>
  <c r="F17" i="48" s="1"/>
  <c r="AK16" i="47"/>
  <c r="F16" i="48" s="1"/>
  <c r="AM9" i="47"/>
  <c r="AM11" i="47"/>
  <c r="AK11" i="47"/>
  <c r="F11" i="48" s="1"/>
  <c r="AK14" i="47"/>
  <c r="F15" i="48" s="1"/>
  <c r="AM16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M14" i="53" l="1"/>
  <c r="F15" i="54"/>
  <c r="U2" i="54" s="1"/>
  <c r="I17" i="54" s="1"/>
  <c r="AM18" i="53"/>
  <c r="F17" i="54"/>
  <c r="L16" i="54"/>
  <c r="J16" i="54"/>
  <c r="H15" i="52"/>
  <c r="F17" i="52"/>
  <c r="AN18" i="51"/>
  <c r="F16" i="52"/>
  <c r="AN16" i="51"/>
  <c r="U2" i="50"/>
  <c r="G16" i="50" s="1"/>
  <c r="J17" i="50"/>
  <c r="L17" i="50"/>
  <c r="L16" i="50"/>
  <c r="J16" i="50"/>
  <c r="H10" i="48"/>
  <c r="H17" i="48"/>
  <c r="H16" i="48"/>
  <c r="H11" i="48"/>
  <c r="H15" i="48"/>
  <c r="AM16" i="53"/>
  <c r="AM11" i="53"/>
  <c r="AM9" i="53"/>
  <c r="F15" i="52"/>
  <c r="F11" i="52"/>
  <c r="AN11" i="51"/>
  <c r="AN9" i="51"/>
  <c r="F10" i="52"/>
  <c r="AL14" i="49"/>
  <c r="I15" i="50" s="1"/>
  <c r="AL16" i="49"/>
  <c r="AL11" i="49"/>
  <c r="AL9" i="49"/>
  <c r="I10" i="50" s="1"/>
  <c r="AN18" i="47"/>
  <c r="AN14" i="47"/>
  <c r="AN16" i="47"/>
  <c r="AN11" i="47"/>
  <c r="AN9" i="47"/>
  <c r="AI6" i="45"/>
  <c r="AJ5" i="45"/>
  <c r="AJ6" i="45" s="1"/>
  <c r="AI6" i="43"/>
  <c r="AJ5" i="43"/>
  <c r="AJ6" i="43" s="1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G16" i="54" l="1"/>
  <c r="I15" i="54"/>
  <c r="G11" i="54"/>
  <c r="I11" i="54"/>
  <c r="G15" i="54"/>
  <c r="I16" i="54"/>
  <c r="I10" i="54"/>
  <c r="I13" i="54" s="1"/>
  <c r="J17" i="54"/>
  <c r="G17" i="54"/>
  <c r="K17" i="54" s="1"/>
  <c r="L17" i="54"/>
  <c r="L16" i="52"/>
  <c r="J16" i="52"/>
  <c r="L17" i="52"/>
  <c r="J17" i="52"/>
  <c r="I17" i="50"/>
  <c r="I11" i="50"/>
  <c r="G17" i="50"/>
  <c r="K17" i="50" s="1"/>
  <c r="M17" i="50" s="1"/>
  <c r="Q17" i="50" s="1"/>
  <c r="S17" i="50" s="1"/>
  <c r="I16" i="50"/>
  <c r="K16" i="50" s="1"/>
  <c r="M16" i="50" s="1"/>
  <c r="Q16" i="50" s="1"/>
  <c r="S16" i="50" s="1"/>
  <c r="U2" i="48"/>
  <c r="G15" i="48" s="1"/>
  <c r="U2" i="52"/>
  <c r="G11" i="52" s="1"/>
  <c r="I19" i="54"/>
  <c r="I13" i="50"/>
  <c r="AK13" i="45"/>
  <c r="AM13" i="45"/>
  <c r="H12" i="46" s="1"/>
  <c r="AM13" i="43"/>
  <c r="H12" i="44" s="1"/>
  <c r="AK13" i="43"/>
  <c r="L10" i="54"/>
  <c r="G10" i="54"/>
  <c r="J10" i="54"/>
  <c r="J15" i="54"/>
  <c r="L15" i="54"/>
  <c r="L19" i="54" s="1"/>
  <c r="L11" i="54"/>
  <c r="K11" i="54"/>
  <c r="J11" i="54"/>
  <c r="L11" i="52"/>
  <c r="J11" i="52"/>
  <c r="L10" i="52"/>
  <c r="J10" i="52"/>
  <c r="J15" i="52"/>
  <c r="L15" i="52"/>
  <c r="L10" i="50"/>
  <c r="G10" i="50"/>
  <c r="J10" i="50"/>
  <c r="L11" i="50"/>
  <c r="G11" i="50"/>
  <c r="K11" i="50" s="1"/>
  <c r="J11" i="50"/>
  <c r="J15" i="50"/>
  <c r="L15" i="50"/>
  <c r="G15" i="50"/>
  <c r="J15" i="48"/>
  <c r="L15" i="48"/>
  <c r="J11" i="48"/>
  <c r="L11" i="48"/>
  <c r="L10" i="48"/>
  <c r="J10" i="48"/>
  <c r="L16" i="48"/>
  <c r="J16" i="48"/>
  <c r="L17" i="48"/>
  <c r="J17" i="48"/>
  <c r="AK26" i="45"/>
  <c r="F21" i="46" s="1"/>
  <c r="AM26" i="45"/>
  <c r="H21" i="46" s="1"/>
  <c r="AK13" i="41"/>
  <c r="AM13" i="41"/>
  <c r="H12" i="42" s="1"/>
  <c r="AK26" i="43"/>
  <c r="F21" i="44" s="1"/>
  <c r="AM26" i="43"/>
  <c r="H21" i="44" s="1"/>
  <c r="AM26" i="41"/>
  <c r="H21" i="42" s="1"/>
  <c r="AK26" i="41"/>
  <c r="F21" i="42" s="1"/>
  <c r="L21" i="42" s="1"/>
  <c r="AM24" i="45"/>
  <c r="H20" i="46" s="1"/>
  <c r="AK22" i="45"/>
  <c r="F19" i="46" s="1"/>
  <c r="AM22" i="45"/>
  <c r="AK11" i="45"/>
  <c r="AM11" i="45"/>
  <c r="H11" i="46" s="1"/>
  <c r="AK9" i="45"/>
  <c r="AK24" i="45"/>
  <c r="F20" i="46" s="1"/>
  <c r="AM9" i="45"/>
  <c r="H10" i="46" s="1"/>
  <c r="AM24" i="43"/>
  <c r="H20" i="44" s="1"/>
  <c r="AK24" i="43"/>
  <c r="F20" i="44" s="1"/>
  <c r="L20" i="44" s="1"/>
  <c r="AK11" i="43"/>
  <c r="AM11" i="43"/>
  <c r="H11" i="44" s="1"/>
  <c r="AK22" i="43"/>
  <c r="F19" i="44" s="1"/>
  <c r="L19" i="44" s="1"/>
  <c r="AK9" i="43"/>
  <c r="AM22" i="43"/>
  <c r="AM9" i="43"/>
  <c r="H10" i="44" s="1"/>
  <c r="AK11" i="41"/>
  <c r="AK9" i="41"/>
  <c r="AK24" i="41"/>
  <c r="F20" i="42" s="1"/>
  <c r="AM11" i="41"/>
  <c r="H11" i="42" s="1"/>
  <c r="AK22" i="41"/>
  <c r="F19" i="42" s="1"/>
  <c r="AM24" i="41"/>
  <c r="H20" i="42" s="1"/>
  <c r="AM9" i="41"/>
  <c r="H10" i="42" s="1"/>
  <c r="AM22" i="41"/>
  <c r="AI6" i="39"/>
  <c r="AJ5" i="39"/>
  <c r="AJ6" i="39" s="1"/>
  <c r="AH6" i="37"/>
  <c r="AI5" i="37"/>
  <c r="AH6" i="35"/>
  <c r="AI5" i="35"/>
  <c r="AG5" i="33"/>
  <c r="AF6" i="33"/>
  <c r="V5" i="14"/>
  <c r="U6" i="14"/>
  <c r="K16" i="54" l="1"/>
  <c r="M16" i="54" s="1"/>
  <c r="Q16" i="54" s="1"/>
  <c r="S16" i="54" s="1"/>
  <c r="M17" i="54"/>
  <c r="Q17" i="54" s="1"/>
  <c r="S17" i="54" s="1"/>
  <c r="I19" i="50"/>
  <c r="G10" i="48"/>
  <c r="G17" i="48"/>
  <c r="G11" i="48"/>
  <c r="G16" i="48"/>
  <c r="I10" i="48"/>
  <c r="K10" i="48" s="1"/>
  <c r="M10" i="48" s="1"/>
  <c r="Q10" i="48" s="1"/>
  <c r="S10" i="48" s="1"/>
  <c r="I11" i="48"/>
  <c r="I17" i="48"/>
  <c r="I16" i="48"/>
  <c r="K16" i="48" s="1"/>
  <c r="M16" i="48" s="1"/>
  <c r="Q16" i="48" s="1"/>
  <c r="S16" i="48" s="1"/>
  <c r="I15" i="48"/>
  <c r="K15" i="48" s="1"/>
  <c r="G10" i="52"/>
  <c r="G15" i="52"/>
  <c r="L13" i="52"/>
  <c r="J21" i="42"/>
  <c r="G17" i="52"/>
  <c r="I17" i="52"/>
  <c r="G16" i="52"/>
  <c r="I16" i="52"/>
  <c r="I11" i="52"/>
  <c r="K11" i="52" s="1"/>
  <c r="M11" i="52" s="1"/>
  <c r="Q11" i="52" s="1"/>
  <c r="S11" i="52" s="1"/>
  <c r="I10" i="52"/>
  <c r="I15" i="52"/>
  <c r="L20" i="46"/>
  <c r="J20" i="46"/>
  <c r="H16" i="46"/>
  <c r="H19" i="46"/>
  <c r="J19" i="46" s="1"/>
  <c r="L19" i="46"/>
  <c r="L21" i="46"/>
  <c r="J21" i="46"/>
  <c r="H16" i="44"/>
  <c r="H19" i="44"/>
  <c r="J19" i="44" s="1"/>
  <c r="J20" i="44"/>
  <c r="L21" i="44"/>
  <c r="J21" i="44"/>
  <c r="L20" i="42"/>
  <c r="J20" i="42"/>
  <c r="L19" i="42"/>
  <c r="H16" i="42"/>
  <c r="H19" i="42"/>
  <c r="J19" i="42" s="1"/>
  <c r="M11" i="54"/>
  <c r="Q11" i="54" s="1"/>
  <c r="S11" i="54" s="1"/>
  <c r="L13" i="54"/>
  <c r="AN26" i="45"/>
  <c r="AN13" i="45"/>
  <c r="F12" i="46"/>
  <c r="F12" i="44"/>
  <c r="AN13" i="43"/>
  <c r="G19" i="54"/>
  <c r="K15" i="54"/>
  <c r="G13" i="54"/>
  <c r="K10" i="54"/>
  <c r="L19" i="50"/>
  <c r="G19" i="52"/>
  <c r="L19" i="52"/>
  <c r="G19" i="50"/>
  <c r="K15" i="50"/>
  <c r="G13" i="50"/>
  <c r="K10" i="50"/>
  <c r="M11" i="50"/>
  <c r="Q11" i="50" s="1"/>
  <c r="S11" i="50" s="1"/>
  <c r="L13" i="50"/>
  <c r="L19" i="48"/>
  <c r="L13" i="48"/>
  <c r="AN13" i="41"/>
  <c r="F12" i="42"/>
  <c r="AN26" i="43"/>
  <c r="AN26" i="41"/>
  <c r="F11" i="46"/>
  <c r="AN11" i="45"/>
  <c r="AN24" i="45"/>
  <c r="F16" i="46"/>
  <c r="AN22" i="45"/>
  <c r="AN9" i="45"/>
  <c r="F10" i="46"/>
  <c r="F11" i="44"/>
  <c r="AN11" i="43"/>
  <c r="AN24" i="43"/>
  <c r="AN9" i="43"/>
  <c r="F10" i="44"/>
  <c r="F16" i="44"/>
  <c r="AN22" i="43"/>
  <c r="AN9" i="41"/>
  <c r="F10" i="42"/>
  <c r="F16" i="42"/>
  <c r="AN22" i="41"/>
  <c r="AN11" i="41"/>
  <c r="F11" i="42"/>
  <c r="AN24" i="41"/>
  <c r="AK13" i="39"/>
  <c r="AM24" i="39"/>
  <c r="H20" i="40" s="1"/>
  <c r="AM13" i="39"/>
  <c r="H12" i="40" s="1"/>
  <c r="AK22" i="39"/>
  <c r="F19" i="40" s="1"/>
  <c r="AM26" i="39"/>
  <c r="H21" i="40" s="1"/>
  <c r="AK24" i="39"/>
  <c r="F20" i="40" s="1"/>
  <c r="AK11" i="39"/>
  <c r="AK26" i="39"/>
  <c r="F21" i="40" s="1"/>
  <c r="AM9" i="39"/>
  <c r="H10" i="40" s="1"/>
  <c r="AK9" i="39"/>
  <c r="AM11" i="39"/>
  <c r="H11" i="40" s="1"/>
  <c r="AM22" i="39"/>
  <c r="AI6" i="37"/>
  <c r="AJ5" i="37"/>
  <c r="AJ6" i="37" s="1"/>
  <c r="AI6" i="35"/>
  <c r="AJ5" i="35"/>
  <c r="AJ6" i="35" s="1"/>
  <c r="AH5" i="33"/>
  <c r="AG6" i="33"/>
  <c r="W5" i="14"/>
  <c r="V6" i="14"/>
  <c r="AK16" i="35" l="1"/>
  <c r="AM14" i="35"/>
  <c r="AM16" i="35"/>
  <c r="H16" i="36" s="1"/>
  <c r="AK14" i="35"/>
  <c r="AN14" i="35" s="1"/>
  <c r="AM18" i="35"/>
  <c r="H17" i="36" s="1"/>
  <c r="AK18" i="35"/>
  <c r="K10" i="52"/>
  <c r="K17" i="48"/>
  <c r="M17" i="48" s="1"/>
  <c r="Q17" i="48" s="1"/>
  <c r="S17" i="48" s="1"/>
  <c r="K11" i="48"/>
  <c r="M11" i="48" s="1"/>
  <c r="Q11" i="48" s="1"/>
  <c r="S11" i="48" s="1"/>
  <c r="G19" i="48"/>
  <c r="G13" i="48"/>
  <c r="I19" i="48"/>
  <c r="I13" i="48"/>
  <c r="G13" i="52"/>
  <c r="K15" i="52"/>
  <c r="M15" i="52" s="1"/>
  <c r="I13" i="52"/>
  <c r="K17" i="52"/>
  <c r="M17" i="52" s="1"/>
  <c r="Q17" i="52" s="1"/>
  <c r="S17" i="52" s="1"/>
  <c r="I19" i="52"/>
  <c r="K16" i="52"/>
  <c r="M16" i="52" s="1"/>
  <c r="Q16" i="52" s="1"/>
  <c r="S16" i="52" s="1"/>
  <c r="U2" i="46"/>
  <c r="I11" i="46" s="1"/>
  <c r="U2" i="44"/>
  <c r="G10" i="44" s="1"/>
  <c r="U2" i="42"/>
  <c r="I12" i="42" s="1"/>
  <c r="H16" i="40"/>
  <c r="H19" i="40"/>
  <c r="J19" i="40" s="1"/>
  <c r="L19" i="40"/>
  <c r="L20" i="40"/>
  <c r="J20" i="40"/>
  <c r="L21" i="40"/>
  <c r="J21" i="40"/>
  <c r="J12" i="46"/>
  <c r="L12" i="44"/>
  <c r="J12" i="44"/>
  <c r="K19" i="54"/>
  <c r="M15" i="54"/>
  <c r="K13" i="54"/>
  <c r="M10" i="54"/>
  <c r="K13" i="52"/>
  <c r="M10" i="52"/>
  <c r="K19" i="50"/>
  <c r="M15" i="50"/>
  <c r="K13" i="50"/>
  <c r="M10" i="50"/>
  <c r="K13" i="48"/>
  <c r="K19" i="48"/>
  <c r="M15" i="48"/>
  <c r="J12" i="42"/>
  <c r="L10" i="46"/>
  <c r="J10" i="46"/>
  <c r="J16" i="46"/>
  <c r="L16" i="46"/>
  <c r="L11" i="46"/>
  <c r="J11" i="46"/>
  <c r="L10" i="44"/>
  <c r="J10" i="44"/>
  <c r="L11" i="44"/>
  <c r="J11" i="44"/>
  <c r="J16" i="44"/>
  <c r="L16" i="44"/>
  <c r="L11" i="42"/>
  <c r="J11" i="42"/>
  <c r="J16" i="42"/>
  <c r="L16" i="42"/>
  <c r="L10" i="42"/>
  <c r="G10" i="42"/>
  <c r="J10" i="42"/>
  <c r="AN26" i="39"/>
  <c r="F16" i="40"/>
  <c r="AN22" i="39"/>
  <c r="F11" i="40"/>
  <c r="AN11" i="39"/>
  <c r="AN9" i="39"/>
  <c r="F10" i="40"/>
  <c r="AN24" i="39"/>
  <c r="F12" i="40"/>
  <c r="AN13" i="39"/>
  <c r="AK9" i="37"/>
  <c r="AM11" i="37"/>
  <c r="H11" i="38" s="1"/>
  <c r="AK24" i="37"/>
  <c r="F20" i="38" s="1"/>
  <c r="AK13" i="37"/>
  <c r="AM9" i="37"/>
  <c r="H10" i="38" s="1"/>
  <c r="AK11" i="37"/>
  <c r="AM24" i="37"/>
  <c r="H20" i="38" s="1"/>
  <c r="AM13" i="37"/>
  <c r="H12" i="38" s="1"/>
  <c r="AM26" i="37"/>
  <c r="H21" i="38" s="1"/>
  <c r="AM22" i="37"/>
  <c r="AK22" i="37"/>
  <c r="F19" i="38" s="1"/>
  <c r="AK26" i="37"/>
  <c r="F21" i="38" s="1"/>
  <c r="AK9" i="35"/>
  <c r="AK11" i="35"/>
  <c r="AM11" i="35"/>
  <c r="H11" i="36" s="1"/>
  <c r="AM9" i="35"/>
  <c r="H10" i="36" s="1"/>
  <c r="AH6" i="33"/>
  <c r="AI5" i="33"/>
  <c r="X5" i="14"/>
  <c r="W6" i="14"/>
  <c r="F17" i="36" l="1"/>
  <c r="AN18" i="35"/>
  <c r="AN16" i="35"/>
  <c r="F16" i="36"/>
  <c r="I10" i="42"/>
  <c r="G20" i="42"/>
  <c r="G16" i="42"/>
  <c r="G11" i="42"/>
  <c r="I16" i="42"/>
  <c r="I17" i="42"/>
  <c r="K19" i="52"/>
  <c r="G21" i="42"/>
  <c r="I21" i="42"/>
  <c r="G12" i="42"/>
  <c r="K12" i="42" s="1"/>
  <c r="M12" i="42" s="1"/>
  <c r="Q12" i="42" s="1"/>
  <c r="S12" i="42" s="1"/>
  <c r="I11" i="42"/>
  <c r="I18" i="42"/>
  <c r="G12" i="46"/>
  <c r="G20" i="46"/>
  <c r="I16" i="46"/>
  <c r="I21" i="46"/>
  <c r="G11" i="46"/>
  <c r="K11" i="46" s="1"/>
  <c r="G19" i="46"/>
  <c r="I18" i="46"/>
  <c r="G17" i="46"/>
  <c r="I19" i="46"/>
  <c r="G18" i="46"/>
  <c r="G16" i="46"/>
  <c r="G10" i="46"/>
  <c r="I17" i="46"/>
  <c r="G21" i="46"/>
  <c r="I20" i="46"/>
  <c r="I10" i="46"/>
  <c r="K10" i="46" s="1"/>
  <c r="I12" i="46"/>
  <c r="K12" i="46" s="1"/>
  <c r="M12" i="46" s="1"/>
  <c r="Q12" i="46" s="1"/>
  <c r="S12" i="46" s="1"/>
  <c r="G12" i="44"/>
  <c r="G18" i="44"/>
  <c r="I20" i="44"/>
  <c r="G21" i="44"/>
  <c r="G20" i="44"/>
  <c r="I21" i="44"/>
  <c r="G19" i="44"/>
  <c r="I19" i="44"/>
  <c r="I18" i="44"/>
  <c r="I17" i="44"/>
  <c r="G17" i="44"/>
  <c r="I10" i="44"/>
  <c r="K10" i="44" s="1"/>
  <c r="I16" i="44"/>
  <c r="I11" i="44"/>
  <c r="I12" i="44"/>
  <c r="G16" i="44"/>
  <c r="G11" i="44"/>
  <c r="G17" i="42"/>
  <c r="I19" i="42"/>
  <c r="G18" i="42"/>
  <c r="I20" i="42"/>
  <c r="G19" i="42"/>
  <c r="I14" i="42"/>
  <c r="U2" i="40"/>
  <c r="H16" i="38"/>
  <c r="H19" i="38"/>
  <c r="J19" i="38" s="1"/>
  <c r="J21" i="38"/>
  <c r="L21" i="38"/>
  <c r="L19" i="38"/>
  <c r="L20" i="38"/>
  <c r="J20" i="38"/>
  <c r="H15" i="36"/>
  <c r="L14" i="44"/>
  <c r="Q10" i="54"/>
  <c r="M13" i="54"/>
  <c r="Q15" i="54"/>
  <c r="M19" i="54"/>
  <c r="Q15" i="52"/>
  <c r="M19" i="52"/>
  <c r="Q10" i="52"/>
  <c r="M13" i="52"/>
  <c r="Q10" i="50"/>
  <c r="M13" i="50"/>
  <c r="Q15" i="50"/>
  <c r="M19" i="50"/>
  <c r="Q15" i="48"/>
  <c r="M19" i="48"/>
  <c r="M13" i="48"/>
  <c r="L14" i="46"/>
  <c r="L23" i="46"/>
  <c r="L23" i="44"/>
  <c r="K16" i="46"/>
  <c r="M11" i="46"/>
  <c r="Q11" i="46" s="1"/>
  <c r="S11" i="46" s="1"/>
  <c r="L14" i="42"/>
  <c r="L23" i="42"/>
  <c r="G14" i="42"/>
  <c r="K10" i="42"/>
  <c r="K16" i="42"/>
  <c r="J12" i="40"/>
  <c r="L12" i="40"/>
  <c r="L10" i="40"/>
  <c r="J10" i="40"/>
  <c r="J16" i="40"/>
  <c r="L16" i="40"/>
  <c r="L11" i="40"/>
  <c r="J11" i="40"/>
  <c r="AN26" i="37"/>
  <c r="F12" i="38"/>
  <c r="AN13" i="37"/>
  <c r="F16" i="38"/>
  <c r="AN22" i="37"/>
  <c r="AN24" i="37"/>
  <c r="F11" i="38"/>
  <c r="AN11" i="37"/>
  <c r="AN9" i="37"/>
  <c r="F10" i="38"/>
  <c r="AN11" i="35"/>
  <c r="F11" i="36"/>
  <c r="F15" i="36"/>
  <c r="AN9" i="35"/>
  <c r="F10" i="36"/>
  <c r="AI6" i="33"/>
  <c r="AJ5" i="33"/>
  <c r="AJ6" i="33" s="1"/>
  <c r="Y5" i="14"/>
  <c r="X6" i="14"/>
  <c r="L16" i="36" l="1"/>
  <c r="J16" i="36"/>
  <c r="L17" i="36"/>
  <c r="J17" i="36"/>
  <c r="AM16" i="33"/>
  <c r="H16" i="34" s="1"/>
  <c r="AK14" i="33"/>
  <c r="AN14" i="33" s="1"/>
  <c r="AM18" i="33"/>
  <c r="H17" i="34" s="1"/>
  <c r="AM14" i="33"/>
  <c r="AK16" i="33"/>
  <c r="AK18" i="33"/>
  <c r="K21" i="42"/>
  <c r="M21" i="42" s="1"/>
  <c r="Q21" i="42" s="1"/>
  <c r="S21" i="42" s="1"/>
  <c r="K19" i="42"/>
  <c r="M19" i="42" s="1"/>
  <c r="Q19" i="42" s="1"/>
  <c r="S19" i="42" s="1"/>
  <c r="K17" i="42"/>
  <c r="M17" i="42" s="1"/>
  <c r="Q17" i="42" s="1"/>
  <c r="S17" i="42" s="1"/>
  <c r="K11" i="42"/>
  <c r="M11" i="42" s="1"/>
  <c r="Q11" i="42" s="1"/>
  <c r="S11" i="42" s="1"/>
  <c r="K21" i="46"/>
  <c r="M21" i="46" s="1"/>
  <c r="Q21" i="46" s="1"/>
  <c r="S21" i="46" s="1"/>
  <c r="K18" i="42"/>
  <c r="M18" i="42" s="1"/>
  <c r="Q18" i="42" s="1"/>
  <c r="S18" i="42" s="1"/>
  <c r="K16" i="44"/>
  <c r="M16" i="44" s="1"/>
  <c r="K18" i="46"/>
  <c r="M18" i="46" s="1"/>
  <c r="Q18" i="46" s="1"/>
  <c r="S18" i="46" s="1"/>
  <c r="K17" i="46"/>
  <c r="M17" i="46" s="1"/>
  <c r="Q17" i="46" s="1"/>
  <c r="S17" i="46" s="1"/>
  <c r="K19" i="46"/>
  <c r="M19" i="46" s="1"/>
  <c r="Q19" i="46" s="1"/>
  <c r="S19" i="46" s="1"/>
  <c r="G14" i="46"/>
  <c r="K20" i="46"/>
  <c r="M20" i="46" s="1"/>
  <c r="Q20" i="46" s="1"/>
  <c r="S20" i="46" s="1"/>
  <c r="G23" i="46"/>
  <c r="I23" i="46"/>
  <c r="I14" i="46"/>
  <c r="K14" i="46"/>
  <c r="K17" i="44"/>
  <c r="M17" i="44" s="1"/>
  <c r="Q17" i="44" s="1"/>
  <c r="S17" i="44" s="1"/>
  <c r="K11" i="44"/>
  <c r="M11" i="44" s="1"/>
  <c r="Q11" i="44" s="1"/>
  <c r="S11" i="44" s="1"/>
  <c r="I23" i="44"/>
  <c r="K18" i="44"/>
  <c r="M18" i="44" s="1"/>
  <c r="Q18" i="44" s="1"/>
  <c r="S18" i="44" s="1"/>
  <c r="K20" i="44"/>
  <c r="M20" i="44" s="1"/>
  <c r="Q20" i="44" s="1"/>
  <c r="S20" i="44" s="1"/>
  <c r="K12" i="44"/>
  <c r="M12" i="44" s="1"/>
  <c r="Q12" i="44" s="1"/>
  <c r="S12" i="44" s="1"/>
  <c r="G23" i="44"/>
  <c r="I14" i="44"/>
  <c r="K19" i="44"/>
  <c r="M19" i="44" s="1"/>
  <c r="Q19" i="44" s="1"/>
  <c r="S19" i="44" s="1"/>
  <c r="K21" i="44"/>
  <c r="M21" i="44" s="1"/>
  <c r="Q21" i="44" s="1"/>
  <c r="S21" i="44" s="1"/>
  <c r="G14" i="44"/>
  <c r="I23" i="42"/>
  <c r="K20" i="42"/>
  <c r="M20" i="42" s="1"/>
  <c r="Q20" i="42" s="1"/>
  <c r="S20" i="42" s="1"/>
  <c r="G23" i="42"/>
  <c r="G18" i="40"/>
  <c r="I20" i="40"/>
  <c r="I18" i="40"/>
  <c r="G21" i="40"/>
  <c r="G17" i="40"/>
  <c r="G20" i="40"/>
  <c r="K20" i="40" s="1"/>
  <c r="M20" i="40" s="1"/>
  <c r="Q20" i="40" s="1"/>
  <c r="S20" i="40" s="1"/>
  <c r="I19" i="40"/>
  <c r="G19" i="40"/>
  <c r="I21" i="40"/>
  <c r="I17" i="40"/>
  <c r="I10" i="40"/>
  <c r="I11" i="40"/>
  <c r="I12" i="40"/>
  <c r="I16" i="40"/>
  <c r="G16" i="40"/>
  <c r="G10" i="40"/>
  <c r="G11" i="40"/>
  <c r="G12" i="40"/>
  <c r="U2" i="38"/>
  <c r="G12" i="38" s="1"/>
  <c r="U2" i="36"/>
  <c r="Q19" i="54"/>
  <c r="S15" i="54"/>
  <c r="S19" i="54" s="1"/>
  <c r="Q13" i="54"/>
  <c r="S10" i="54"/>
  <c r="S13" i="54" s="1"/>
  <c r="Q13" i="52"/>
  <c r="S10" i="52"/>
  <c r="S13" i="52" s="1"/>
  <c r="Q19" i="52"/>
  <c r="S15" i="52"/>
  <c r="S19" i="52" s="1"/>
  <c r="Q19" i="50"/>
  <c r="S15" i="50"/>
  <c r="S19" i="50" s="1"/>
  <c r="Q13" i="50"/>
  <c r="S10" i="50"/>
  <c r="S13" i="50" s="1"/>
  <c r="Q13" i="48"/>
  <c r="S13" i="48"/>
  <c r="Q19" i="48"/>
  <c r="S15" i="48"/>
  <c r="S19" i="48" s="1"/>
  <c r="M16" i="46"/>
  <c r="M10" i="46"/>
  <c r="M14" i="46" s="1"/>
  <c r="M10" i="44"/>
  <c r="K14" i="42"/>
  <c r="M10" i="42"/>
  <c r="M16" i="42"/>
  <c r="L23" i="40"/>
  <c r="L14" i="40"/>
  <c r="J12" i="38"/>
  <c r="L12" i="38"/>
  <c r="L11" i="38"/>
  <c r="J11" i="38"/>
  <c r="L10" i="38"/>
  <c r="J10" i="38"/>
  <c r="J16" i="38"/>
  <c r="L16" i="38"/>
  <c r="L10" i="36"/>
  <c r="J10" i="36"/>
  <c r="J15" i="36"/>
  <c r="L15" i="36"/>
  <c r="L11" i="36"/>
  <c r="J11" i="36"/>
  <c r="AM11" i="33"/>
  <c r="AK11" i="33"/>
  <c r="AM9" i="33"/>
  <c r="H10" i="34" s="1"/>
  <c r="AK9" i="33"/>
  <c r="Z5" i="14"/>
  <c r="Y6" i="14"/>
  <c r="AN18" i="33" l="1"/>
  <c r="F17" i="34"/>
  <c r="H11" i="34"/>
  <c r="AN16" i="33"/>
  <c r="F16" i="34"/>
  <c r="K23" i="46"/>
  <c r="K23" i="44"/>
  <c r="K14" i="44"/>
  <c r="M14" i="44"/>
  <c r="K23" i="42"/>
  <c r="K18" i="40"/>
  <c r="M18" i="40" s="1"/>
  <c r="Q18" i="40" s="1"/>
  <c r="S18" i="40" s="1"/>
  <c r="K21" i="40"/>
  <c r="M21" i="40" s="1"/>
  <c r="Q21" i="40" s="1"/>
  <c r="S21" i="40" s="1"/>
  <c r="K12" i="40"/>
  <c r="M12" i="40" s="1"/>
  <c r="Q12" i="40" s="1"/>
  <c r="S12" i="40" s="1"/>
  <c r="K16" i="40"/>
  <c r="M16" i="40" s="1"/>
  <c r="G14" i="40"/>
  <c r="G23" i="40"/>
  <c r="K10" i="40"/>
  <c r="M10" i="40" s="1"/>
  <c r="I23" i="40"/>
  <c r="I14" i="40"/>
  <c r="K19" i="40"/>
  <c r="M19" i="40" s="1"/>
  <c r="Q19" i="40" s="1"/>
  <c r="S19" i="40" s="1"/>
  <c r="K11" i="40"/>
  <c r="M11" i="40" s="1"/>
  <c r="Q11" i="40" s="1"/>
  <c r="S11" i="40" s="1"/>
  <c r="K17" i="40"/>
  <c r="M17" i="40" s="1"/>
  <c r="Q17" i="40" s="1"/>
  <c r="S17" i="40" s="1"/>
  <c r="G11" i="38"/>
  <c r="G10" i="38"/>
  <c r="G16" i="38"/>
  <c r="G20" i="38"/>
  <c r="G21" i="38"/>
  <c r="I20" i="38"/>
  <c r="G19" i="38"/>
  <c r="I19" i="38"/>
  <c r="I21" i="38"/>
  <c r="I18" i="38"/>
  <c r="G18" i="38"/>
  <c r="I17" i="38"/>
  <c r="G17" i="38"/>
  <c r="I11" i="38"/>
  <c r="I10" i="38"/>
  <c r="I16" i="38"/>
  <c r="I12" i="38"/>
  <c r="K12" i="38" s="1"/>
  <c r="M12" i="38" s="1"/>
  <c r="Q12" i="38" s="1"/>
  <c r="S12" i="38" s="1"/>
  <c r="G17" i="36"/>
  <c r="I16" i="36"/>
  <c r="I17" i="36"/>
  <c r="G16" i="36"/>
  <c r="K16" i="36" s="1"/>
  <c r="M16" i="36" s="1"/>
  <c r="Q16" i="36" s="1"/>
  <c r="S16" i="36" s="1"/>
  <c r="I11" i="36"/>
  <c r="I10" i="36"/>
  <c r="I15" i="36"/>
  <c r="G15" i="36"/>
  <c r="G10" i="36"/>
  <c r="G11" i="36"/>
  <c r="H15" i="34"/>
  <c r="AN11" i="33"/>
  <c r="F11" i="34"/>
  <c r="Q10" i="46"/>
  <c r="Q14" i="46" s="1"/>
  <c r="Q16" i="46"/>
  <c r="M23" i="46"/>
  <c r="Q16" i="44"/>
  <c r="M23" i="44"/>
  <c r="Q10" i="44"/>
  <c r="Q14" i="44" s="1"/>
  <c r="Q16" i="42"/>
  <c r="M23" i="42"/>
  <c r="Q10" i="42"/>
  <c r="M14" i="42"/>
  <c r="L23" i="38"/>
  <c r="L14" i="38"/>
  <c r="L19" i="36"/>
  <c r="L13" i="36"/>
  <c r="F15" i="34"/>
  <c r="F10" i="34"/>
  <c r="AN9" i="33"/>
  <c r="AA5" i="14"/>
  <c r="Z6" i="14"/>
  <c r="L17" i="34" l="1"/>
  <c r="J17" i="34"/>
  <c r="L16" i="34"/>
  <c r="J16" i="34"/>
  <c r="K10" i="36"/>
  <c r="K11" i="38"/>
  <c r="M11" i="38" s="1"/>
  <c r="Q11" i="38" s="1"/>
  <c r="S11" i="38" s="1"/>
  <c r="G14" i="38"/>
  <c r="K14" i="40"/>
  <c r="K23" i="40"/>
  <c r="K10" i="38"/>
  <c r="M10" i="38" s="1"/>
  <c r="K16" i="38"/>
  <c r="I23" i="38"/>
  <c r="K20" i="38"/>
  <c r="M20" i="38" s="1"/>
  <c r="Q20" i="38" s="1"/>
  <c r="S20" i="38" s="1"/>
  <c r="G23" i="38"/>
  <c r="I14" i="38"/>
  <c r="K18" i="38"/>
  <c r="M18" i="38" s="1"/>
  <c r="Q18" i="38" s="1"/>
  <c r="S18" i="38" s="1"/>
  <c r="K19" i="38"/>
  <c r="M19" i="38" s="1"/>
  <c r="Q19" i="38" s="1"/>
  <c r="S19" i="38" s="1"/>
  <c r="K17" i="38"/>
  <c r="M17" i="38" s="1"/>
  <c r="Q17" i="38" s="1"/>
  <c r="S17" i="38" s="1"/>
  <c r="K21" i="38"/>
  <c r="M21" i="38" s="1"/>
  <c r="Q21" i="38" s="1"/>
  <c r="S21" i="38" s="1"/>
  <c r="G13" i="36"/>
  <c r="K15" i="36"/>
  <c r="M15" i="36" s="1"/>
  <c r="K11" i="36"/>
  <c r="M11" i="36" s="1"/>
  <c r="Q11" i="36" s="1"/>
  <c r="S11" i="36" s="1"/>
  <c r="I13" i="36"/>
  <c r="G19" i="36"/>
  <c r="K17" i="36"/>
  <c r="M17" i="36" s="1"/>
  <c r="Q17" i="36" s="1"/>
  <c r="S17" i="36" s="1"/>
  <c r="I19" i="36"/>
  <c r="U2" i="34"/>
  <c r="I10" i="34" s="1"/>
  <c r="L11" i="34"/>
  <c r="J11" i="34"/>
  <c r="Q23" i="46"/>
  <c r="S16" i="46"/>
  <c r="S23" i="46" s="1"/>
  <c r="S10" i="46"/>
  <c r="S14" i="46" s="1"/>
  <c r="S10" i="44"/>
  <c r="S14" i="44" s="1"/>
  <c r="Q23" i="44"/>
  <c r="S16" i="44"/>
  <c r="S23" i="44" s="1"/>
  <c r="Q14" i="42"/>
  <c r="S10" i="42"/>
  <c r="S14" i="42" s="1"/>
  <c r="Q23" i="42"/>
  <c r="S16" i="42"/>
  <c r="S23" i="42" s="1"/>
  <c r="Q16" i="40"/>
  <c r="M23" i="40"/>
  <c r="Q10" i="40"/>
  <c r="M14" i="40"/>
  <c r="M16" i="38"/>
  <c r="M10" i="36"/>
  <c r="L15" i="34"/>
  <c r="J15" i="34"/>
  <c r="J10" i="34"/>
  <c r="L10" i="34"/>
  <c r="AB5" i="14"/>
  <c r="AA6" i="14"/>
  <c r="K14" i="38" l="1"/>
  <c r="G11" i="34"/>
  <c r="I15" i="34"/>
  <c r="G10" i="34"/>
  <c r="K10" i="34" s="1"/>
  <c r="G15" i="34"/>
  <c r="I16" i="34"/>
  <c r="K23" i="38"/>
  <c r="K19" i="36"/>
  <c r="K13" i="36"/>
  <c r="I17" i="34"/>
  <c r="G17" i="34"/>
  <c r="G16" i="34"/>
  <c r="I11" i="34"/>
  <c r="L13" i="34"/>
  <c r="L19" i="34"/>
  <c r="Q14" i="40"/>
  <c r="S10" i="40"/>
  <c r="S14" i="40" s="1"/>
  <c r="Q23" i="40"/>
  <c r="S16" i="40"/>
  <c r="S23" i="40" s="1"/>
  <c r="Q16" i="38"/>
  <c r="M23" i="38"/>
  <c r="Q10" i="38"/>
  <c r="M14" i="38"/>
  <c r="Q15" i="36"/>
  <c r="M19" i="36"/>
  <c r="Q10" i="36"/>
  <c r="M13" i="36"/>
  <c r="AB6" i="14"/>
  <c r="AC5" i="14"/>
  <c r="K16" i="34" l="1"/>
  <c r="M16" i="34" s="1"/>
  <c r="Q16" i="34" s="1"/>
  <c r="S16" i="34" s="1"/>
  <c r="K11" i="34"/>
  <c r="M11" i="34" s="1"/>
  <c r="Q11" i="34" s="1"/>
  <c r="S11" i="34" s="1"/>
  <c r="G13" i="34"/>
  <c r="K15" i="34"/>
  <c r="M15" i="34" s="1"/>
  <c r="G19" i="34"/>
  <c r="K17" i="34"/>
  <c r="M17" i="34" s="1"/>
  <c r="Q17" i="34" s="1"/>
  <c r="S17" i="34" s="1"/>
  <c r="I19" i="34"/>
  <c r="I13" i="34"/>
  <c r="K13" i="34"/>
  <c r="Q14" i="38"/>
  <c r="S10" i="38"/>
  <c r="S14" i="38" s="1"/>
  <c r="Q23" i="38"/>
  <c r="S16" i="38"/>
  <c r="S23" i="38" s="1"/>
  <c r="Q13" i="36"/>
  <c r="S10" i="36"/>
  <c r="S13" i="36" s="1"/>
  <c r="Q19" i="36"/>
  <c r="S15" i="36"/>
  <c r="S19" i="36" s="1"/>
  <c r="M10" i="34"/>
  <c r="AC6" i="14"/>
  <c r="AD5" i="14"/>
  <c r="M13" i="34" l="1"/>
  <c r="M19" i="34"/>
  <c r="K19" i="34"/>
  <c r="Q15" i="34"/>
  <c r="S15" i="34" s="1"/>
  <c r="S19" i="34" s="1"/>
  <c r="Q10" i="34"/>
  <c r="Q13" i="34" s="1"/>
  <c r="AD6" i="14"/>
  <c r="AE5" i="14"/>
  <c r="Q19" i="34" l="1"/>
  <c r="S10" i="34"/>
  <c r="S13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6" i="14" l="1"/>
  <c r="AM16" i="14"/>
  <c r="H16" i="16" s="1"/>
  <c r="AM14" i="14"/>
  <c r="AM18" i="14"/>
  <c r="H17" i="16" s="1"/>
  <c r="AK14" i="14"/>
  <c r="AN14" i="14" s="1"/>
  <c r="AK18" i="14"/>
  <c r="AK11" i="14"/>
  <c r="AM11" i="14"/>
  <c r="AK9" i="14"/>
  <c r="F10" i="16" s="1"/>
  <c r="AM9" i="14"/>
  <c r="H10" i="16" s="1"/>
  <c r="H11" i="16" l="1"/>
  <c r="F11" i="16"/>
  <c r="AN18" i="14"/>
  <c r="F17" i="16"/>
  <c r="AN16" i="14"/>
  <c r="F16" i="16"/>
  <c r="H15" i="16"/>
  <c r="F15" i="16"/>
  <c r="L15" i="16" s="1"/>
  <c r="L10" i="16"/>
  <c r="J10" i="16"/>
  <c r="L11" i="16"/>
  <c r="J11" i="16"/>
  <c r="AN11" i="14"/>
  <c r="AN9" i="14"/>
  <c r="L17" i="16" l="1"/>
  <c r="J17" i="16"/>
  <c r="L16" i="16"/>
  <c r="L19" i="16" s="1"/>
  <c r="J16" i="16"/>
  <c r="J15" i="16"/>
  <c r="U2" i="16"/>
  <c r="L13" i="16"/>
  <c r="G17" i="16" l="1"/>
  <c r="G11" i="16"/>
  <c r="G16" i="16"/>
  <c r="I16" i="16"/>
  <c r="I10" i="16"/>
  <c r="G10" i="16"/>
  <c r="I17" i="16"/>
  <c r="I11" i="16"/>
  <c r="I15" i="16"/>
  <c r="G15" i="16"/>
  <c r="I19" i="16" l="1"/>
  <c r="G13" i="16"/>
  <c r="K10" i="16"/>
  <c r="I13" i="16"/>
  <c r="K11" i="16"/>
  <c r="M11" i="16" s="1"/>
  <c r="Q11" i="16" s="1"/>
  <c r="S11" i="16" s="1"/>
  <c r="K15" i="16"/>
  <c r="G19" i="16"/>
  <c r="K17" i="16"/>
  <c r="M17" i="16" s="1"/>
  <c r="Q17" i="16" s="1"/>
  <c r="S17" i="16" s="1"/>
  <c r="K16" i="16"/>
  <c r="M16" i="16" s="1"/>
  <c r="Q16" i="16" s="1"/>
  <c r="S16" i="16" s="1"/>
  <c r="M10" i="16" l="1"/>
  <c r="K13" i="16"/>
  <c r="M15" i="16"/>
  <c r="K19" i="16"/>
  <c r="M19" i="16" l="1"/>
  <c r="Q15" i="16"/>
  <c r="M13" i="16"/>
  <c r="Q10" i="16"/>
  <c r="S10" i="16" l="1"/>
  <c r="S13" i="16" s="1"/>
  <c r="Q13" i="16"/>
  <c r="Q19" i="16"/>
  <c r="S15" i="16"/>
  <c r="S19" i="16" s="1"/>
</calcChain>
</file>

<file path=xl/sharedStrings.xml><?xml version="1.0" encoding="utf-8"?>
<sst xmlns="http://schemas.openxmlformats.org/spreadsheetml/2006/main" count="1283" uniqueCount="187">
  <si>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</si>
  <si>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</si>
  <si>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</si>
  <si>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</si>
  <si>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</si>
  <si>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</si>
  <si>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</si>
  <si>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</si>
  <si>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</si>
  <si>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</si>
  <si>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</si>
  <si>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</si>
  <si>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</si>
  <si>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</si>
  <si>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</si>
  <si>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</si>
  <si>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</si>
  <si>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</si>
  <si>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</si>
  <si>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</si>
  <si>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</si>
  <si>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</si>
  <si>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</si>
  <si>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</si>
  <si>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</si>
  <si>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</si>
  <si>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</si>
  <si>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</si>
  <si>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</si>
  <si>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</si>
  <si>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</si>
  <si>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</si>
  <si>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</si>
  <si>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</si>
  <si>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</si>
  <si>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</si>
  <si>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</si>
  <si>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</si>
  <si>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</si>
  <si>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</si>
  <si>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</si>
  <si>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</si>
  <si>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</si>
  <si>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</si>
  <si>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</si>
  <si>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</si>
  <si>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</si>
  <si>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</si>
  <si>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</si>
  <si>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</si>
  <si>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</si>
  <si>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</si>
  <si>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</si>
  <si>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</si>
  <si>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</si>
  <si>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</si>
  <si>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</si>
  <si>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</si>
  <si>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</si>
  <si>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</si>
  <si>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</si>
  <si>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</si>
  <si>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</si>
  <si>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</si>
  <si>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</si>
  <si>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</si>
  <si>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</si>
  <si>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</si>
  <si>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</si>
  <si>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</si>
  <si>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</si>
  <si>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</si>
  <si>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</si>
  <si>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</si>
  <si>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</si>
  <si>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</si>
  <si>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</si>
  <si>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</si>
  <si>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</si>
  <si>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</si>
  <si>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</si>
  <si>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</si>
  <si>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</si>
  <si>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</si>
  <si>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</si>
  <si>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</si>
  <si>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</si>
  <si>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</si>
  <si>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</si>
  <si>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</si>
  <si>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</si>
  <si>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</si>
  <si>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</si>
  <si>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</si>
  <si>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</si>
  <si>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</si>
  <si>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</si>
  <si>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</si>
  <si>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</si>
  <si>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</si>
  <si>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</si>
  <si>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</si>
  <si>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</si>
  <si>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</si>
  <si>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</si>
  <si>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</si>
  <si>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</si>
  <si>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</si>
  <si>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</si>
  <si>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</si>
  <si>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</si>
  <si>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</si>
  <si>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</si>
  <si>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</si>
  <si>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</si>
  <si>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</si>
  <si>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</si>
  <si>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</si>
  <si>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</si>
  <si>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</si>
  <si>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</si>
  <si>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</si>
  <si>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</si>
  <si>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</si>
  <si>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</si>
  <si>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</si>
  <si>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</si>
  <si>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</si>
  <si>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</si>
  <si>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</si>
  <si>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</si>
  <si>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</si>
  <si>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</si>
  <si>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</si>
  <si>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</si>
  <si>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</si>
  <si>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</si>
  <si>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</si>
  <si>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</si>
  <si>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</si>
  <si>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</si>
  <si>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</si>
  <si>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</si>
  <si>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</si>
  <si>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</si>
  <si>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</si>
  <si>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</si>
  <si>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</si>
  <si>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</si>
  <si>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</si>
  <si>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</si>
  <si>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</si>
  <si>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</si>
  <si>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</si>
  <si>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</si>
  <si>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</si>
  <si>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</si>
  <si>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</si>
  <si>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</si>
  <si>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</si>
  <si>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</si>
  <si>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</si>
  <si>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</si>
  <si>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</si>
  <si>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</si>
  <si>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</si>
  <si>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CN04</t>
  </si>
  <si>
    <t>CN05</t>
  </si>
  <si>
    <t>CN06</t>
  </si>
  <si>
    <t>Lê Thị Dung</t>
  </si>
  <si>
    <t>Phan Văn Hiền</t>
  </si>
  <si>
    <t>Nguyễn Thị Thu Sương</t>
  </si>
  <si>
    <t>Giám Đốc</t>
  </si>
  <si>
    <t>Quản Đốc</t>
  </si>
  <si>
    <t>Kinh Doanh</t>
  </si>
  <si>
    <t>Nguyễn Trường Giang</t>
  </si>
  <si>
    <t>Trần Hữu Tình</t>
  </si>
  <si>
    <t>Trương Văn Thành</t>
  </si>
  <si>
    <t>Thợ in</t>
  </si>
  <si>
    <t>Đoàn Hồng Phong</t>
  </si>
  <si>
    <t>Thợ đóng - xả</t>
  </si>
  <si>
    <t>Trần Thị Ngọc Anh</t>
  </si>
  <si>
    <t>Nguyễn Minh Vương</t>
  </si>
  <si>
    <t>QL03</t>
  </si>
  <si>
    <t>BP: Quản lý :</t>
  </si>
  <si>
    <t>BP: Quản lý &amp; CN Trực Tiếp SX</t>
  </si>
  <si>
    <t>BP: Quản lý: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</si>
</sst>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6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23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28" xfId="0" applyFont="1" applyFill="1" applyBorder="1" applyAlignment="1">
      <alignment horizontal="center" vertical="center" wrapText="1"/>
    </xf>
    <xf numFmtId="237" fontId="99" fillId="28" borderId="28" xfId="0" applyNumberFormat="1" applyFont="1" applyFill="1" applyBorder="1" applyAlignment="1">
      <alignment horizontal="center" vertical="center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145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0"/>
  <sheetViews>
    <sheetView topLeftCell="A8" workbookViewId="0">
      <pane ySplit="3" topLeftCell="A11" activePane="bottomLeft" state="frozen"/>
      <selection activeCell="A8" sqref="A8"/>
      <selection pane="bottomLeft" activeCell="C11" sqref="C11:C17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9"/>
      <c r="B4" s="109"/>
    </row>
    <row r="5" spans="1:26" ht="23.25" customHeight="1">
      <c r="A5" s="230" t="s">
        <v>35</v>
      </c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</row>
    <row r="6" spans="1:26" ht="23.25" customHeight="1">
      <c r="A6" s="231" t="str">
        <f>"Tháng "&amp;'CC -5'!C4&amp;" năm 2011"</f>
        <v>Tháng  năm 2011</v>
      </c>
      <c r="B6" s="231"/>
      <c r="C6" s="231"/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231"/>
      <c r="P6" s="231"/>
      <c r="Q6" s="231"/>
      <c r="R6" s="231"/>
      <c r="S6" s="231"/>
      <c r="T6" s="231"/>
      <c r="U6" s="231"/>
      <c r="V6" s="231"/>
      <c r="W6" s="231"/>
      <c r="X6" s="231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32" t="s">
        <v>19</v>
      </c>
      <c r="B8" s="232" t="s">
        <v>3</v>
      </c>
      <c r="C8" s="232" t="s">
        <v>1</v>
      </c>
      <c r="D8" s="232" t="s">
        <v>2</v>
      </c>
      <c r="E8" s="227" t="s">
        <v>56</v>
      </c>
      <c r="F8" s="227"/>
      <c r="G8" s="227" t="s">
        <v>36</v>
      </c>
      <c r="H8" s="227"/>
      <c r="I8" s="227" t="s">
        <v>24</v>
      </c>
      <c r="J8" s="227" t="s">
        <v>33</v>
      </c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8" t="s">
        <v>39</v>
      </c>
      <c r="W8" s="228" t="s">
        <v>23</v>
      </c>
      <c r="X8" s="228" t="s">
        <v>11</v>
      </c>
      <c r="Y8" s="107"/>
      <c r="Z8" s="107"/>
    </row>
    <row r="9" spans="1:26" s="1" customFormat="1" ht="20.25" customHeight="1">
      <c r="A9" s="232"/>
      <c r="B9" s="232"/>
      <c r="C9" s="232"/>
      <c r="D9" s="232"/>
      <c r="E9" s="172" t="s">
        <v>159</v>
      </c>
      <c r="F9" s="172">
        <v>2015</v>
      </c>
      <c r="G9" s="171" t="s">
        <v>57</v>
      </c>
      <c r="H9" s="171" t="s">
        <v>38</v>
      </c>
      <c r="I9" s="227"/>
      <c r="J9" s="171" t="s">
        <v>105</v>
      </c>
      <c r="K9" s="171" t="s">
        <v>106</v>
      </c>
      <c r="L9" s="171" t="s">
        <v>107</v>
      </c>
      <c r="M9" s="171" t="s">
        <v>108</v>
      </c>
      <c r="N9" s="171" t="s">
        <v>109</v>
      </c>
      <c r="O9" s="171" t="s">
        <v>110</v>
      </c>
      <c r="P9" s="171" t="s">
        <v>111</v>
      </c>
      <c r="Q9" s="171" t="s">
        <v>112</v>
      </c>
      <c r="R9" s="171" t="s">
        <v>113</v>
      </c>
      <c r="S9" s="171" t="s">
        <v>114</v>
      </c>
      <c r="T9" s="171" t="s">
        <v>115</v>
      </c>
      <c r="U9" s="171" t="s">
        <v>116</v>
      </c>
      <c r="V9" s="229"/>
      <c r="W9" s="229"/>
      <c r="X9" s="229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0" customFormat="1" ht="21.75" customHeight="1">
      <c r="A11" s="157">
        <f>IF(B11&lt;&gt;"",ROW()-10,"")</f>
        <v>1</v>
      </c>
      <c r="B11" s="157" t="s">
        <v>161</v>
      </c>
      <c r="C11" s="161" t="s">
        <v>169</v>
      </c>
      <c r="D11" s="157" t="s">
        <v>172</v>
      </c>
      <c r="E11" s="190">
        <v>3500000</v>
      </c>
      <c r="F11" s="152"/>
      <c r="G11" s="152">
        <v>390000</v>
      </c>
      <c r="H11" s="152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8"/>
      <c r="Z11" s="159"/>
    </row>
    <row r="12" spans="1:26" s="160" customFormat="1" ht="21.75" customHeight="1">
      <c r="A12" s="157">
        <f t="shared" ref="A12:A21" si="0">IF(B12&lt;&gt;"",ROW()-10,"")</f>
        <v>2</v>
      </c>
      <c r="B12" s="157" t="s">
        <v>162</v>
      </c>
      <c r="C12" s="161" t="s">
        <v>170</v>
      </c>
      <c r="D12" s="157" t="s">
        <v>173</v>
      </c>
      <c r="E12" s="190">
        <v>2500000</v>
      </c>
      <c r="F12" s="152"/>
      <c r="G12" s="152">
        <v>390000</v>
      </c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8"/>
      <c r="Z12" s="159"/>
    </row>
    <row r="13" spans="1:26" s="160" customFormat="1" ht="21.75" customHeight="1">
      <c r="A13" s="157">
        <f t="shared" si="0"/>
        <v>3</v>
      </c>
      <c r="B13" s="157" t="s">
        <v>183</v>
      </c>
      <c r="C13" s="161" t="s">
        <v>171</v>
      </c>
      <c r="D13" s="157" t="s">
        <v>174</v>
      </c>
      <c r="E13" s="190">
        <v>2200000</v>
      </c>
      <c r="F13" s="152"/>
      <c r="G13" s="152">
        <v>390000</v>
      </c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8"/>
      <c r="Z13" s="159"/>
    </row>
    <row r="14" spans="1:26" s="169" customFormat="1" ht="21.75" customHeight="1">
      <c r="A14" s="163">
        <f t="shared" si="0"/>
        <v>4</v>
      </c>
      <c r="B14" s="164" t="s">
        <v>163</v>
      </c>
      <c r="C14" s="165" t="s">
        <v>175</v>
      </c>
      <c r="D14" s="163" t="s">
        <v>178</v>
      </c>
      <c r="E14" s="166">
        <v>2000000</v>
      </c>
      <c r="F14" s="166"/>
      <c r="G14" s="166">
        <v>390000</v>
      </c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7"/>
      <c r="Z14" s="168"/>
    </row>
    <row r="15" spans="1:26" s="169" customFormat="1" ht="21.75" customHeight="1">
      <c r="A15" s="163">
        <f t="shared" si="0"/>
        <v>5</v>
      </c>
      <c r="B15" s="164" t="s">
        <v>164</v>
      </c>
      <c r="C15" s="165" t="s">
        <v>179</v>
      </c>
      <c r="D15" s="163" t="s">
        <v>180</v>
      </c>
      <c r="E15" s="166">
        <v>2000000</v>
      </c>
      <c r="F15" s="166"/>
      <c r="G15" s="166">
        <v>390000</v>
      </c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7"/>
      <c r="Z15" s="168"/>
    </row>
    <row r="16" spans="1:26" s="169" customFormat="1" ht="21.75" customHeight="1">
      <c r="A16" s="163">
        <f t="shared" si="0"/>
        <v>6</v>
      </c>
      <c r="B16" s="164" t="s">
        <v>165</v>
      </c>
      <c r="C16" s="165" t="s">
        <v>176</v>
      </c>
      <c r="D16" s="163" t="s">
        <v>88</v>
      </c>
      <c r="E16" s="166">
        <v>1800000</v>
      </c>
      <c r="F16" s="166"/>
      <c r="G16" s="166">
        <v>390000</v>
      </c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7"/>
      <c r="Z16" s="168"/>
    </row>
    <row r="17" spans="1:26" s="169" customFormat="1" ht="21.75" customHeight="1">
      <c r="A17" s="157">
        <f t="shared" si="0"/>
        <v>7</v>
      </c>
      <c r="B17" s="164" t="s">
        <v>166</v>
      </c>
      <c r="C17" s="165" t="s">
        <v>177</v>
      </c>
      <c r="D17" s="163" t="s">
        <v>88</v>
      </c>
      <c r="E17" s="166">
        <v>1800000</v>
      </c>
      <c r="F17" s="166"/>
      <c r="G17" s="166">
        <v>390000</v>
      </c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7"/>
      <c r="Z17" s="168"/>
    </row>
    <row r="18" spans="1:26" s="169" customFormat="1" ht="21.75" customHeight="1">
      <c r="A18" s="157">
        <f t="shared" si="0"/>
        <v>8</v>
      </c>
      <c r="B18" s="164" t="s">
        <v>167</v>
      </c>
      <c r="C18" s="165" t="s">
        <v>181</v>
      </c>
      <c r="D18" s="163" t="s">
        <v>88</v>
      </c>
      <c r="E18" s="166">
        <v>1800000</v>
      </c>
      <c r="F18" s="166"/>
      <c r="G18" s="166">
        <v>390000</v>
      </c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7"/>
      <c r="Z18" s="168"/>
    </row>
    <row r="19" spans="1:26" s="169" customFormat="1" ht="21.75" customHeight="1">
      <c r="A19" s="157">
        <f t="shared" si="0"/>
        <v>9</v>
      </c>
      <c r="B19" s="164" t="s">
        <v>168</v>
      </c>
      <c r="C19" s="165" t="s">
        <v>182</v>
      </c>
      <c r="D19" s="163" t="s">
        <v>88</v>
      </c>
      <c r="E19" s="166">
        <v>1800000</v>
      </c>
      <c r="F19" s="166"/>
      <c r="G19" s="166">
        <v>390000</v>
      </c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7"/>
      <c r="Z19" s="168"/>
    </row>
    <row r="20" spans="1:26" ht="21.75" customHeight="1">
      <c r="A20" s="157" t="str">
        <f t="shared" si="0"/>
        <v/>
      </c>
      <c r="B20" s="17"/>
      <c r="C20" s="53"/>
      <c r="D20" s="141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07"/>
    </row>
    <row r="21" spans="1:26" ht="21.75" customHeight="1">
      <c r="A21" s="157" t="str">
        <f t="shared" si="0"/>
        <v/>
      </c>
      <c r="B21" s="142"/>
      <c r="C21" s="149"/>
      <c r="D21" s="148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07"/>
    </row>
    <row r="22" spans="1:26" ht="21.75" customHeight="1">
      <c r="A22" s="233" t="s">
        <v>25</v>
      </c>
      <c r="B22" s="234"/>
      <c r="C22" s="234"/>
      <c r="D22" s="154" t="s">
        <v>135</v>
      </c>
      <c r="E22" s="151">
        <f>SUM(E11:E21)</f>
        <v>19400000</v>
      </c>
      <c r="F22" s="151">
        <f>SUM(F11:F21)</f>
        <v>0</v>
      </c>
      <c r="G22" s="151">
        <f>SUM(G11:G21)</f>
        <v>3510000</v>
      </c>
      <c r="H22" s="151">
        <f>SUM(H11:H21)</f>
        <v>0</v>
      </c>
      <c r="I22" s="151"/>
      <c r="J22" s="151">
        <f t="shared" ref="J22:U22" si="1">SUMIF(J$11:J$21,"x",$E$11:$E$21)</f>
        <v>0</v>
      </c>
      <c r="K22" s="151">
        <f t="shared" si="1"/>
        <v>0</v>
      </c>
      <c r="L22" s="151">
        <f t="shared" si="1"/>
        <v>0</v>
      </c>
      <c r="M22" s="151">
        <f t="shared" si="1"/>
        <v>0</v>
      </c>
      <c r="N22" s="151">
        <f t="shared" si="1"/>
        <v>0</v>
      </c>
      <c r="O22" s="151">
        <f t="shared" si="1"/>
        <v>0</v>
      </c>
      <c r="P22" s="151">
        <f t="shared" si="1"/>
        <v>0</v>
      </c>
      <c r="Q22" s="151">
        <f t="shared" si="1"/>
        <v>0</v>
      </c>
      <c r="R22" s="151">
        <f t="shared" si="1"/>
        <v>0</v>
      </c>
      <c r="S22" s="151">
        <f t="shared" si="1"/>
        <v>0</v>
      </c>
      <c r="T22" s="151">
        <f t="shared" si="1"/>
        <v>0</v>
      </c>
      <c r="U22" s="151">
        <f t="shared" si="1"/>
        <v>0</v>
      </c>
      <c r="V22" s="151"/>
      <c r="W22" s="151"/>
      <c r="X22" s="151"/>
      <c r="Y22" s="107"/>
    </row>
    <row r="23" spans="1:26" ht="21.75" customHeight="1">
      <c r="A23" s="235"/>
      <c r="B23" s="236"/>
      <c r="C23" s="236"/>
      <c r="D23" s="154" t="s">
        <v>136</v>
      </c>
      <c r="E23" s="151"/>
      <c r="F23" s="151"/>
      <c r="G23" s="151"/>
      <c r="H23" s="151"/>
      <c r="I23" s="151"/>
      <c r="J23" s="151">
        <f t="array" ref="J23">SUM((J$11:J$21="x")*1)</f>
        <v>0</v>
      </c>
      <c r="K23" s="151">
        <f t="array" ref="K23">SUM((K$11:K$21="x")*1)</f>
        <v>0</v>
      </c>
      <c r="L23" s="151">
        <f t="array" ref="L23">SUM((L$11:L$21="x")*1)</f>
        <v>0</v>
      </c>
      <c r="M23" s="151">
        <f t="array" ref="M23">SUM((M$11:M$21="x")*1)</f>
        <v>0</v>
      </c>
      <c r="N23" s="151">
        <f t="array" ref="N23">SUM((N$11:N$21="x")*1)</f>
        <v>0</v>
      </c>
      <c r="O23" s="151">
        <f t="array" ref="O23">SUM((O$11:O$21="x")*1)</f>
        <v>0</v>
      </c>
      <c r="P23" s="151">
        <f t="array" ref="P23">SUM((P$11:P$21="x")*1)</f>
        <v>0</v>
      </c>
      <c r="Q23" s="151">
        <f t="array" ref="Q23">SUM((Q$11:Q$21="x")*1)</f>
        <v>0</v>
      </c>
      <c r="R23" s="151">
        <f t="array" ref="R23">SUM((R$11:R$21="x")*1)</f>
        <v>0</v>
      </c>
      <c r="S23" s="151">
        <f t="array" ref="S23">SUM((S$11:S$21="x")*1)</f>
        <v>0</v>
      </c>
      <c r="T23" s="151">
        <f t="array" ref="T23">SUM((T$11:T$21="x")*1)</f>
        <v>0</v>
      </c>
      <c r="U23" s="151">
        <f t="array" ref="U23">SUM((U$11:U$21="x")*1)</f>
        <v>0</v>
      </c>
      <c r="V23" s="151"/>
      <c r="W23" s="151"/>
      <c r="X23" s="151"/>
      <c r="Y23" s="107"/>
    </row>
    <row r="24" spans="1:26" ht="21.75" customHeight="1">
      <c r="A24" s="237"/>
      <c r="B24" s="238"/>
      <c r="C24" s="238"/>
      <c r="D24" s="154" t="s">
        <v>137</v>
      </c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07"/>
    </row>
    <row r="25" spans="1:26" ht="11.25" customHeight="1">
      <c r="A25" s="19"/>
      <c r="B25" s="19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1:26" ht="11.25" customHeight="1">
      <c r="A26" s="19"/>
      <c r="B26" s="19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108" t="s">
        <v>55</v>
      </c>
      <c r="X26" s="78"/>
    </row>
    <row r="27" spans="1:26" ht="16.5" customHeight="1">
      <c r="A27" s="19"/>
      <c r="B27" s="19"/>
      <c r="C27" s="20" t="s">
        <v>14</v>
      </c>
      <c r="D27" s="21"/>
      <c r="E27" s="22"/>
      <c r="F27" s="30"/>
      <c r="G27" s="30"/>
      <c r="H27" s="30"/>
      <c r="I27" s="23"/>
      <c r="J27" s="23">
        <v>8278</v>
      </c>
      <c r="K27" s="225">
        <f>E13/27/8</f>
        <v>10185.185185185184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 t="s">
        <v>22</v>
      </c>
      <c r="X27" s="49"/>
    </row>
    <row r="28" spans="1:26" ht="11.25" customHeight="1">
      <c r="A28" s="19"/>
      <c r="B28" s="19"/>
      <c r="C28" s="20"/>
      <c r="D28" s="21"/>
      <c r="E28" s="22"/>
      <c r="F28" s="30"/>
      <c r="G28" s="30"/>
      <c r="H28" s="30"/>
      <c r="I28" s="23"/>
      <c r="J28" s="23"/>
      <c r="K28" s="23">
        <f>J27/K27</f>
        <v>0.81274909090909098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6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6" ht="11.25" customHeight="1">
      <c r="A30" s="19"/>
      <c r="B30" s="19"/>
      <c r="C30" s="20"/>
      <c r="D30" s="21"/>
      <c r="E30" s="22"/>
      <c r="F30" s="30"/>
      <c r="G30" s="30"/>
      <c r="H30" s="30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49"/>
      <c r="X30" s="49"/>
    </row>
    <row r="31" spans="1:26" ht="11.25" customHeight="1">
      <c r="A31" s="19"/>
      <c r="B31" s="19"/>
      <c r="C31" s="20"/>
      <c r="D31" s="21"/>
      <c r="E31" s="22"/>
      <c r="F31" s="30"/>
      <c r="G31" s="30"/>
      <c r="H31" s="30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49"/>
      <c r="X31" s="49"/>
    </row>
    <row r="32" spans="1:26" ht="11.25" customHeight="1">
      <c r="A32" s="19"/>
      <c r="B32" s="19"/>
      <c r="C32" s="20"/>
      <c r="D32" s="21"/>
      <c r="E32" s="22"/>
      <c r="F32" s="30"/>
      <c r="G32" s="30"/>
      <c r="H32" s="30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49"/>
      <c r="X32" s="49"/>
    </row>
    <row r="33" spans="1:24">
      <c r="A33" s="24"/>
      <c r="B33" s="24"/>
      <c r="C33" s="29" t="s">
        <v>21</v>
      </c>
      <c r="D33" s="21"/>
      <c r="E33" s="22"/>
      <c r="F33" s="30"/>
      <c r="G33" s="30"/>
      <c r="H33" s="30"/>
      <c r="I33" s="2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79"/>
      <c r="X33" s="50"/>
    </row>
    <row r="34" spans="1:24" ht="9" customHeight="1">
      <c r="C34" s="46"/>
      <c r="D34" s="46"/>
      <c r="E34" s="22"/>
      <c r="F34" s="51"/>
      <c r="G34" s="51"/>
      <c r="H34" s="51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52"/>
      <c r="X34" s="52"/>
    </row>
    <row r="35" spans="1:24">
      <c r="E35" s="22"/>
    </row>
    <row r="36" spans="1:24">
      <c r="E36" s="22"/>
    </row>
    <row r="49" spans="3:14">
      <c r="C49" s="153"/>
      <c r="G49" s="165" t="s">
        <v>117</v>
      </c>
      <c r="J49" s="2" t="s">
        <v>61</v>
      </c>
      <c r="K49" s="2" t="s">
        <v>117</v>
      </c>
      <c r="M49" s="2" t="str">
        <f>VLOOKUP(K49,$G$49:$J$108,4,0)</f>
        <v>ALTP001</v>
      </c>
      <c r="N49" s="226" t="str">
        <f>M49</f>
        <v>ALTP001</v>
      </c>
    </row>
    <row r="50" spans="3:14">
      <c r="C50" s="153"/>
      <c r="G50" s="165" t="s">
        <v>118</v>
      </c>
      <c r="J50" s="2" t="s">
        <v>62</v>
      </c>
      <c r="K50" s="2" t="s">
        <v>118</v>
      </c>
      <c r="M50" s="2" t="str">
        <f t="shared" ref="M50:M79" si="2">VLOOKUP(K50,$G$49:$J$108,4,0)</f>
        <v>ALTP002</v>
      </c>
      <c r="N50" s="226"/>
    </row>
    <row r="51" spans="3:14">
      <c r="C51" s="153"/>
      <c r="G51" s="165" t="s">
        <v>119</v>
      </c>
      <c r="J51" s="2" t="s">
        <v>63</v>
      </c>
      <c r="K51" s="2" t="s">
        <v>119</v>
      </c>
      <c r="M51" s="2" t="str">
        <f t="shared" si="2"/>
        <v>ALTP003</v>
      </c>
      <c r="N51" s="226" t="str">
        <f>M50</f>
        <v>ALTP002</v>
      </c>
    </row>
    <row r="52" spans="3:14">
      <c r="C52" s="153"/>
      <c r="G52" s="165" t="s">
        <v>120</v>
      </c>
      <c r="J52" s="2" t="s">
        <v>64</v>
      </c>
      <c r="K52" s="2" t="s">
        <v>120</v>
      </c>
      <c r="M52" s="2" t="str">
        <f t="shared" si="2"/>
        <v>ALTP004</v>
      </c>
      <c r="N52" s="226"/>
    </row>
    <row r="53" spans="3:14">
      <c r="C53" s="153"/>
      <c r="G53" s="165" t="s">
        <v>121</v>
      </c>
      <c r="J53" s="2" t="s">
        <v>65</v>
      </c>
      <c r="K53" s="2" t="s">
        <v>121</v>
      </c>
      <c r="M53" s="2" t="str">
        <f t="shared" si="2"/>
        <v>ALTP005</v>
      </c>
      <c r="N53" s="226" t="str">
        <f>M51</f>
        <v>ALTP003</v>
      </c>
    </row>
    <row r="54" spans="3:14">
      <c r="C54" s="153"/>
      <c r="G54" s="165" t="s">
        <v>122</v>
      </c>
      <c r="J54" s="2" t="s">
        <v>66</v>
      </c>
      <c r="K54" s="2" t="s">
        <v>122</v>
      </c>
      <c r="M54" s="2" t="str">
        <f t="shared" si="2"/>
        <v>ALTP006</v>
      </c>
      <c r="N54" s="226"/>
    </row>
    <row r="55" spans="3:14">
      <c r="C55" s="153"/>
      <c r="G55" s="165" t="s">
        <v>123</v>
      </c>
      <c r="J55" s="2" t="s">
        <v>67</v>
      </c>
      <c r="K55" s="2" t="s">
        <v>123</v>
      </c>
      <c r="M55" s="2" t="str">
        <f t="shared" si="2"/>
        <v>ALTP007</v>
      </c>
      <c r="N55" s="226" t="str">
        <f>M52</f>
        <v>ALTP004</v>
      </c>
    </row>
    <row r="56" spans="3:14">
      <c r="C56" s="153"/>
      <c r="G56" s="165" t="s">
        <v>124</v>
      </c>
      <c r="J56" s="2" t="s">
        <v>68</v>
      </c>
      <c r="K56" s="2" t="s">
        <v>124</v>
      </c>
      <c r="M56" s="2" t="str">
        <f t="shared" si="2"/>
        <v>ALTP008</v>
      </c>
      <c r="N56" s="226"/>
    </row>
    <row r="57" spans="3:14">
      <c r="C57" s="153"/>
      <c r="G57" s="165" t="s">
        <v>125</v>
      </c>
      <c r="J57" s="2" t="s">
        <v>69</v>
      </c>
      <c r="K57" s="2" t="s">
        <v>125</v>
      </c>
      <c r="M57" s="2" t="str">
        <f t="shared" si="2"/>
        <v>ALTP009</v>
      </c>
      <c r="N57" s="226" t="str">
        <f>M53</f>
        <v>ALTP005</v>
      </c>
    </row>
    <row r="58" spans="3:14">
      <c r="C58" s="153"/>
      <c r="G58" s="165" t="s">
        <v>126</v>
      </c>
      <c r="J58" s="2" t="s">
        <v>70</v>
      </c>
      <c r="K58" s="2" t="s">
        <v>126</v>
      </c>
      <c r="M58" s="2" t="str">
        <f t="shared" si="2"/>
        <v>ALTP010</v>
      </c>
      <c r="N58" s="226"/>
    </row>
    <row r="59" spans="3:14">
      <c r="C59" s="153"/>
      <c r="G59" s="165" t="s">
        <v>127</v>
      </c>
      <c r="J59" s="2" t="s">
        <v>71</v>
      </c>
      <c r="K59" s="2" t="s">
        <v>127</v>
      </c>
      <c r="M59" s="2" t="str">
        <f t="shared" si="2"/>
        <v>ALTP011</v>
      </c>
      <c r="N59" s="226" t="str">
        <f>M54</f>
        <v>ALTP006</v>
      </c>
    </row>
    <row r="60" spans="3:14">
      <c r="C60" s="153"/>
      <c r="G60" s="165" t="s">
        <v>128</v>
      </c>
      <c r="J60" s="2" t="s">
        <v>72</v>
      </c>
      <c r="K60" s="2" t="s">
        <v>129</v>
      </c>
      <c r="M60" s="2" t="str">
        <f t="shared" si="2"/>
        <v>ALTP013</v>
      </c>
      <c r="N60" s="226"/>
    </row>
    <row r="61" spans="3:14">
      <c r="C61" s="153"/>
      <c r="G61" s="165" t="s">
        <v>129</v>
      </c>
      <c r="J61" s="2" t="s">
        <v>73</v>
      </c>
      <c r="K61" s="2" t="s">
        <v>130</v>
      </c>
      <c r="M61" s="2" t="str">
        <f t="shared" si="2"/>
        <v>ALTP014</v>
      </c>
      <c r="N61" s="226" t="str">
        <f>M55</f>
        <v>ALTP007</v>
      </c>
    </row>
    <row r="62" spans="3:14">
      <c r="C62" s="153"/>
      <c r="G62" s="165" t="s">
        <v>130</v>
      </c>
      <c r="J62" s="2" t="s">
        <v>74</v>
      </c>
      <c r="K62" s="2" t="s">
        <v>131</v>
      </c>
      <c r="M62" s="2" t="str">
        <f t="shared" si="2"/>
        <v>ALTP015</v>
      </c>
      <c r="N62" s="226"/>
    </row>
    <row r="63" spans="3:14">
      <c r="C63" s="153"/>
      <c r="G63" s="165" t="s">
        <v>131</v>
      </c>
      <c r="J63" s="2" t="s">
        <v>75</v>
      </c>
      <c r="K63" s="2" t="s">
        <v>132</v>
      </c>
      <c r="M63" s="2" t="str">
        <f t="shared" si="2"/>
        <v>ALTP016</v>
      </c>
      <c r="N63" s="226" t="str">
        <f>M56</f>
        <v>ALTP008</v>
      </c>
    </row>
    <row r="64" spans="3:14">
      <c r="C64" s="153"/>
      <c r="G64" s="165" t="s">
        <v>132</v>
      </c>
      <c r="J64" s="2" t="s">
        <v>76</v>
      </c>
      <c r="K64" s="2" t="s">
        <v>133</v>
      </c>
      <c r="M64" s="2" t="str">
        <f t="shared" si="2"/>
        <v>ALTP017</v>
      </c>
      <c r="N64" s="226"/>
    </row>
    <row r="65" spans="3:14">
      <c r="C65" s="153"/>
      <c r="G65" s="165" t="s">
        <v>133</v>
      </c>
      <c r="J65" s="2" t="s">
        <v>77</v>
      </c>
      <c r="K65" s="2" t="s">
        <v>134</v>
      </c>
      <c r="M65" s="2" t="str">
        <f t="shared" si="2"/>
        <v>ALTP018</v>
      </c>
      <c r="N65" s="226" t="str">
        <f>M57</f>
        <v>ALTP009</v>
      </c>
    </row>
    <row r="66" spans="3:14">
      <c r="C66" s="153"/>
      <c r="G66" s="165" t="s">
        <v>134</v>
      </c>
      <c r="J66" s="2" t="s">
        <v>78</v>
      </c>
      <c r="K66" s="2" t="s">
        <v>138</v>
      </c>
      <c r="M66" s="2" t="str">
        <f t="shared" si="2"/>
        <v>ALTP019</v>
      </c>
      <c r="N66" s="226"/>
    </row>
    <row r="67" spans="3:14">
      <c r="C67" s="153"/>
      <c r="G67" s="165" t="s">
        <v>138</v>
      </c>
      <c r="J67" s="2" t="s">
        <v>79</v>
      </c>
      <c r="K67" s="2" t="s">
        <v>140</v>
      </c>
      <c r="M67" s="2" t="str">
        <f t="shared" si="2"/>
        <v>ALTP020</v>
      </c>
      <c r="N67" s="226" t="str">
        <f>M58</f>
        <v>ALTP010</v>
      </c>
    </row>
    <row r="68" spans="3:14">
      <c r="C68" s="153"/>
      <c r="G68" s="165" t="s">
        <v>140</v>
      </c>
      <c r="J68" s="2" t="s">
        <v>80</v>
      </c>
      <c r="K68" s="2" t="s">
        <v>145</v>
      </c>
      <c r="M68" s="2" t="str">
        <f t="shared" si="2"/>
        <v>ALTP025</v>
      </c>
      <c r="N68" s="226"/>
    </row>
    <row r="69" spans="3:14">
      <c r="C69" s="153"/>
      <c r="G69" s="165" t="s">
        <v>141</v>
      </c>
      <c r="J69" s="2" t="s">
        <v>81</v>
      </c>
      <c r="K69" s="2" t="s">
        <v>152</v>
      </c>
      <c r="M69" s="2" t="str">
        <f t="shared" si="2"/>
        <v>ALTP027</v>
      </c>
      <c r="N69" s="226" t="str">
        <f>M59</f>
        <v>ALTP011</v>
      </c>
    </row>
    <row r="70" spans="3:14">
      <c r="C70" s="153"/>
      <c r="G70" s="165" t="s">
        <v>142</v>
      </c>
      <c r="J70" s="2" t="s">
        <v>82</v>
      </c>
      <c r="K70" s="2" t="s">
        <v>100</v>
      </c>
      <c r="M70" s="2" t="str">
        <f t="shared" si="2"/>
        <v>ALTN001</v>
      </c>
      <c r="N70" s="226"/>
    </row>
    <row r="71" spans="3:14">
      <c r="C71" s="153"/>
      <c r="G71" s="165" t="s">
        <v>152</v>
      </c>
      <c r="J71" s="2" t="s">
        <v>87</v>
      </c>
      <c r="K71" s="2" t="s">
        <v>101</v>
      </c>
      <c r="M71" s="2" t="str">
        <f t="shared" si="2"/>
        <v>ALTN002</v>
      </c>
      <c r="N71" s="226" t="str">
        <f>M60</f>
        <v>ALTP013</v>
      </c>
    </row>
    <row r="72" spans="3:14">
      <c r="C72" s="153"/>
      <c r="G72" s="2" t="s">
        <v>143</v>
      </c>
      <c r="J72" s="2" t="s">
        <v>83</v>
      </c>
      <c r="K72" s="2" t="s">
        <v>102</v>
      </c>
      <c r="M72" s="2" t="str">
        <f t="shared" si="2"/>
        <v>ALTN003</v>
      </c>
      <c r="N72" s="226"/>
    </row>
    <row r="73" spans="3:14">
      <c r="C73" s="153"/>
      <c r="G73" s="2" t="s">
        <v>144</v>
      </c>
      <c r="J73" s="2" t="s">
        <v>84</v>
      </c>
      <c r="K73" s="2" t="s">
        <v>151</v>
      </c>
      <c r="M73" s="2" t="str">
        <f t="shared" si="2"/>
        <v>ALTN004</v>
      </c>
      <c r="N73" s="226" t="str">
        <f>M61</f>
        <v>ALTP014</v>
      </c>
    </row>
    <row r="74" spans="3:14">
      <c r="C74" s="153"/>
      <c r="G74" s="2" t="s">
        <v>145</v>
      </c>
      <c r="J74" s="2" t="s">
        <v>85</v>
      </c>
      <c r="K74" s="2" t="s">
        <v>104</v>
      </c>
      <c r="M74" s="2" t="str">
        <f t="shared" si="2"/>
        <v>ALTN006</v>
      </c>
      <c r="N74" s="226"/>
    </row>
    <row r="75" spans="3:14">
      <c r="C75" s="153"/>
      <c r="G75" s="2" t="s">
        <v>150</v>
      </c>
      <c r="J75" s="2" t="s">
        <v>86</v>
      </c>
      <c r="K75" s="2" t="s">
        <v>139</v>
      </c>
      <c r="M75" s="2" t="str">
        <f t="shared" si="2"/>
        <v>ALTN007</v>
      </c>
      <c r="N75" s="226" t="str">
        <f>M62</f>
        <v>ALTP015</v>
      </c>
    </row>
    <row r="76" spans="3:14">
      <c r="C76" s="153"/>
      <c r="G76" s="2" t="s">
        <v>100</v>
      </c>
      <c r="J76" s="2" t="s">
        <v>89</v>
      </c>
      <c r="K76" s="2" t="s">
        <v>146</v>
      </c>
      <c r="M76" s="2" t="str">
        <f t="shared" si="2"/>
        <v>ALTN008</v>
      </c>
      <c r="N76" s="226"/>
    </row>
    <row r="77" spans="3:14">
      <c r="C77" s="153"/>
      <c r="G77" s="2" t="s">
        <v>101</v>
      </c>
      <c r="J77" s="2" t="s">
        <v>90</v>
      </c>
      <c r="K77" s="2" t="s">
        <v>147</v>
      </c>
      <c r="M77" s="2" t="str">
        <f t="shared" si="2"/>
        <v>ALTN009</v>
      </c>
      <c r="N77" s="226" t="str">
        <f>M63</f>
        <v>ALTP016</v>
      </c>
    </row>
    <row r="78" spans="3:14">
      <c r="C78" s="153"/>
      <c r="G78" s="2" t="s">
        <v>102</v>
      </c>
      <c r="J78" s="2" t="s">
        <v>91</v>
      </c>
      <c r="K78" s="2" t="s">
        <v>148</v>
      </c>
      <c r="M78" s="2" t="str">
        <f t="shared" si="2"/>
        <v>ALTN010</v>
      </c>
      <c r="N78" s="226"/>
    </row>
    <row r="79" spans="3:14">
      <c r="C79" s="153"/>
      <c r="G79" s="2" t="s">
        <v>151</v>
      </c>
      <c r="J79" s="2" t="s">
        <v>92</v>
      </c>
      <c r="K79" s="2" t="s">
        <v>149</v>
      </c>
      <c r="M79" s="2" t="str">
        <f t="shared" si="2"/>
        <v>ALTN011</v>
      </c>
      <c r="N79" s="226" t="str">
        <f>M64</f>
        <v>ALTP017</v>
      </c>
    </row>
    <row r="80" spans="3:14">
      <c r="C80" s="153"/>
      <c r="G80" s="2" t="s">
        <v>103</v>
      </c>
      <c r="J80" s="2" t="s">
        <v>93</v>
      </c>
      <c r="N80" s="226"/>
    </row>
    <row r="81" spans="3:14">
      <c r="C81" s="153"/>
      <c r="G81" s="31" t="s">
        <v>104</v>
      </c>
      <c r="J81" s="2" t="s">
        <v>94</v>
      </c>
      <c r="N81" s="226" t="str">
        <f>M65</f>
        <v>ALTP018</v>
      </c>
    </row>
    <row r="82" spans="3:14">
      <c r="C82" s="153"/>
      <c r="G82" s="31" t="s">
        <v>139</v>
      </c>
      <c r="J82" s="2" t="s">
        <v>95</v>
      </c>
      <c r="N82" s="226"/>
    </row>
    <row r="83" spans="3:14">
      <c r="C83" s="153"/>
      <c r="G83" s="31" t="s">
        <v>146</v>
      </c>
      <c r="J83" s="2" t="s">
        <v>96</v>
      </c>
      <c r="N83" s="226" t="str">
        <f>M66</f>
        <v>ALTP019</v>
      </c>
    </row>
    <row r="84" spans="3:14">
      <c r="C84" s="153"/>
      <c r="G84" s="31" t="s">
        <v>147</v>
      </c>
      <c r="J84" s="2" t="s">
        <v>97</v>
      </c>
      <c r="N84" s="226"/>
    </row>
    <row r="85" spans="3:14">
      <c r="C85" s="153"/>
      <c r="G85" s="31" t="s">
        <v>148</v>
      </c>
      <c r="J85" s="2" t="s">
        <v>98</v>
      </c>
      <c r="N85" s="226" t="str">
        <f>M67</f>
        <v>ALTP020</v>
      </c>
    </row>
    <row r="86" spans="3:14">
      <c r="C86" s="153"/>
      <c r="G86" s="31" t="s">
        <v>149</v>
      </c>
      <c r="J86" s="2" t="s">
        <v>99</v>
      </c>
      <c r="N86" s="226"/>
    </row>
    <row r="87" spans="3:14">
      <c r="C87" s="153"/>
      <c r="N87" s="226" t="str">
        <f>M68</f>
        <v>ALTP025</v>
      </c>
    </row>
    <row r="88" spans="3:14">
      <c r="C88" s="153"/>
      <c r="N88" s="226"/>
    </row>
    <row r="89" spans="3:14">
      <c r="C89" s="153"/>
      <c r="N89" s="226" t="str">
        <f>M69</f>
        <v>ALTP027</v>
      </c>
    </row>
    <row r="90" spans="3:14">
      <c r="C90" s="153"/>
      <c r="N90" s="226"/>
    </row>
    <row r="91" spans="3:14">
      <c r="C91" s="153"/>
      <c r="N91" s="226" t="str">
        <f>M70</f>
        <v>ALTN001</v>
      </c>
    </row>
    <row r="92" spans="3:14">
      <c r="C92" s="153"/>
      <c r="N92" s="226"/>
    </row>
    <row r="93" spans="3:14">
      <c r="C93" s="153"/>
      <c r="N93" s="226" t="str">
        <f>M71</f>
        <v>ALTN002</v>
      </c>
    </row>
    <row r="94" spans="3:14">
      <c r="C94" s="153"/>
      <c r="N94" s="226"/>
    </row>
    <row r="95" spans="3:14">
      <c r="C95" s="153"/>
      <c r="N95" s="226" t="str">
        <f>M72</f>
        <v>ALTN003</v>
      </c>
    </row>
    <row r="96" spans="3:14">
      <c r="C96" s="153"/>
      <c r="N96" s="226"/>
    </row>
    <row r="97" spans="3:14">
      <c r="C97" s="153"/>
      <c r="N97" s="226" t="str">
        <f>M73</f>
        <v>ALTN004</v>
      </c>
    </row>
    <row r="98" spans="3:14">
      <c r="C98" s="153"/>
      <c r="N98" s="226"/>
    </row>
    <row r="99" spans="3:14">
      <c r="C99" s="153"/>
      <c r="N99" s="226" t="str">
        <f>M74</f>
        <v>ALTN006</v>
      </c>
    </row>
    <row r="100" spans="3:14">
      <c r="C100" s="153"/>
      <c r="N100" s="226"/>
    </row>
    <row r="101" spans="3:14">
      <c r="C101" s="153"/>
      <c r="N101" s="226" t="str">
        <f>M75</f>
        <v>ALTN007</v>
      </c>
    </row>
    <row r="102" spans="3:14">
      <c r="C102" s="153"/>
      <c r="N102" s="226"/>
    </row>
    <row r="103" spans="3:14">
      <c r="C103" s="153"/>
      <c r="N103" s="226" t="str">
        <f>M76</f>
        <v>ALTN008</v>
      </c>
    </row>
    <row r="104" spans="3:14">
      <c r="C104" s="153"/>
      <c r="N104" s="226"/>
    </row>
    <row r="105" spans="3:14">
      <c r="C105" s="153"/>
      <c r="N105" s="226" t="str">
        <f>M77</f>
        <v>ALTN009</v>
      </c>
    </row>
    <row r="106" spans="3:14">
      <c r="C106" s="153"/>
      <c r="N106" s="226"/>
    </row>
    <row r="107" spans="3:14">
      <c r="C107" s="153"/>
      <c r="N107" s="226" t="str">
        <f>M78</f>
        <v>ALTN010</v>
      </c>
    </row>
    <row r="108" spans="3:14">
      <c r="C108" s="153"/>
      <c r="N108" s="226"/>
    </row>
    <row r="109" spans="3:14">
      <c r="C109" s="153"/>
      <c r="N109" s="226" t="str">
        <f>M79</f>
        <v>ALTN011</v>
      </c>
    </row>
    <row r="110" spans="3:14">
      <c r="C110" s="153"/>
      <c r="N110" s="226"/>
    </row>
  </sheetData>
  <protectedRanges>
    <protectedRange password="CC78" sqref="E37:E65338 B8:D9 W8:W9 B25:B65338 C34:D65338 F34:JG48 F100:M100 Y8:JG12 F49 H49:J49 L49:JG49 L50:L76 F87:L99 N50:JG100 M50:M79 F101:JG65338 K77:L86 F50:J70 F72:J86 F71 H71:J71 F8:H8 J20:JG24 C20:H24 B10:X10 V14:JG19 J11:X12 J13:JG13 A8:A65338 E11:H19" name="Range1"/>
    <protectedRange password="CC78" sqref="C27:C32 E34:E36 W27:JG32 D27:H33" name="Range1_1_1"/>
    <protectedRange password="CC78" sqref="C33 W33:JG33" name="Range1_3_1"/>
    <protectedRange password="CC78" sqref="A5:JG7" name="Range1_2"/>
    <protectedRange password="CC78" sqref="I8:V9 I11:I24" name="Range1_3"/>
    <protectedRange password="CC78" sqref="B20:B24" name="Range1_1"/>
    <protectedRange password="CC78" sqref="E8:E9 F9" name="Range1_4"/>
    <protectedRange password="CC78" sqref="B14:B19" name="Range1_6"/>
    <protectedRange password="CC78" sqref="D14:D19" name="Range1_7"/>
    <protectedRange password="CC78" sqref="J11:U19" name="Range1_11"/>
  </protectedRanges>
  <autoFilter ref="A10:Z19"/>
  <mergeCells count="45">
    <mergeCell ref="N93:N94"/>
    <mergeCell ref="N95:N96"/>
    <mergeCell ref="N97:N98"/>
    <mergeCell ref="A22:C24"/>
    <mergeCell ref="N69:N70"/>
    <mergeCell ref="N71:N72"/>
    <mergeCell ref="N73:N74"/>
    <mergeCell ref="N75:N76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05:N106"/>
    <mergeCell ref="N107:N108"/>
    <mergeCell ref="N109:N110"/>
    <mergeCell ref="J8:U8"/>
    <mergeCell ref="V8:V9"/>
    <mergeCell ref="N77:N78"/>
    <mergeCell ref="N79:N80"/>
    <mergeCell ref="N81:N82"/>
    <mergeCell ref="N83:N84"/>
    <mergeCell ref="N85:N86"/>
    <mergeCell ref="N87:N88"/>
    <mergeCell ref="N101:N102"/>
    <mergeCell ref="N103:N104"/>
    <mergeCell ref="N99:N100"/>
    <mergeCell ref="N89:N90"/>
    <mergeCell ref="N91:N92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E5" sqref="E5:E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20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2013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185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41275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57" t="s">
        <v>29</v>
      </c>
      <c r="E5" s="263" t="s">
        <v>30</v>
      </c>
      <c r="F5" s="118">
        <f>+E4</f>
        <v>41275</v>
      </c>
      <c r="G5" s="118">
        <f t="shared" ref="G5:AJ5" si="0">F5+1</f>
        <v>41276</v>
      </c>
      <c r="H5" s="118">
        <f t="shared" si="0"/>
        <v>41277</v>
      </c>
      <c r="I5" s="118">
        <f t="shared" si="0"/>
        <v>41278</v>
      </c>
      <c r="J5" s="118">
        <f t="shared" si="0"/>
        <v>41279</v>
      </c>
      <c r="K5" s="118">
        <f t="shared" si="0"/>
        <v>41280</v>
      </c>
      <c r="L5" s="118">
        <f t="shared" si="0"/>
        <v>41281</v>
      </c>
      <c r="M5" s="118">
        <f t="shared" si="0"/>
        <v>41282</v>
      </c>
      <c r="N5" s="118">
        <f t="shared" si="0"/>
        <v>41283</v>
      </c>
      <c r="O5" s="118">
        <f t="shared" si="0"/>
        <v>41284</v>
      </c>
      <c r="P5" s="118">
        <f t="shared" si="0"/>
        <v>41285</v>
      </c>
      <c r="Q5" s="118">
        <f t="shared" si="0"/>
        <v>41286</v>
      </c>
      <c r="R5" s="118">
        <f t="shared" si="0"/>
        <v>41287</v>
      </c>
      <c r="S5" s="118">
        <f t="shared" si="0"/>
        <v>41288</v>
      </c>
      <c r="T5" s="118">
        <f t="shared" si="0"/>
        <v>41289</v>
      </c>
      <c r="U5" s="118">
        <f t="shared" si="0"/>
        <v>41290</v>
      </c>
      <c r="V5" s="118">
        <f t="shared" si="0"/>
        <v>41291</v>
      </c>
      <c r="W5" s="118">
        <f t="shared" si="0"/>
        <v>41292</v>
      </c>
      <c r="X5" s="118">
        <f t="shared" si="0"/>
        <v>41293</v>
      </c>
      <c r="Y5" s="118">
        <f t="shared" si="0"/>
        <v>41294</v>
      </c>
      <c r="Z5" s="118">
        <f t="shared" si="0"/>
        <v>41295</v>
      </c>
      <c r="AA5" s="118">
        <f t="shared" si="0"/>
        <v>41296</v>
      </c>
      <c r="AB5" s="118">
        <f t="shared" si="0"/>
        <v>41297</v>
      </c>
      <c r="AC5" s="118">
        <f t="shared" si="0"/>
        <v>41298</v>
      </c>
      <c r="AD5" s="118">
        <f t="shared" si="0"/>
        <v>41299</v>
      </c>
      <c r="AE5" s="118">
        <f t="shared" si="0"/>
        <v>41300</v>
      </c>
      <c r="AF5" s="118">
        <f t="shared" si="0"/>
        <v>41301</v>
      </c>
      <c r="AG5" s="118">
        <f t="shared" si="0"/>
        <v>41302</v>
      </c>
      <c r="AH5" s="118">
        <f>AG5+1</f>
        <v>41303</v>
      </c>
      <c r="AI5" s="118">
        <f t="shared" si="0"/>
        <v>41304</v>
      </c>
      <c r="AJ5" s="118">
        <f t="shared" si="0"/>
        <v>41305</v>
      </c>
      <c r="AK5" s="264" t="s">
        <v>15</v>
      </c>
      <c r="AL5" s="265"/>
      <c r="AM5" s="266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7" t="s">
        <v>0</v>
      </c>
      <c r="AT5" s="25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8"/>
      <c r="B6" s="258"/>
      <c r="C6" s="258"/>
      <c r="D6" s="258"/>
      <c r="E6" s="258"/>
      <c r="F6" s="174" t="str">
        <f>CHOOSE(WEEKDAY(F5),"C.Nhật","T.Hai","T.Ba","T.Tư","T.Năm","T.Sáu","T.Bảy")</f>
        <v>T.Ba</v>
      </c>
      <c r="G6" s="174" t="str">
        <f t="shared" ref="G6:AJ6" si="1">CHOOSE(WEEKDAY(G5),"C.Nhật","T.Hai","T.Ba","T.Tư","T.Năm","T.Sáu","T.Bảy")</f>
        <v>T.Tư</v>
      </c>
      <c r="H6" s="174" t="str">
        <f t="shared" si="1"/>
        <v>T.Năm</v>
      </c>
      <c r="I6" s="174" t="str">
        <f t="shared" si="1"/>
        <v>T.Sáu</v>
      </c>
      <c r="J6" s="174" t="str">
        <f t="shared" si="1"/>
        <v>T.Bảy</v>
      </c>
      <c r="K6" s="174" t="str">
        <f t="shared" si="1"/>
        <v>C.Nhật</v>
      </c>
      <c r="L6" s="174" t="str">
        <f t="shared" si="1"/>
        <v>T.Hai</v>
      </c>
      <c r="M6" s="174" t="str">
        <f t="shared" si="1"/>
        <v>T.Ba</v>
      </c>
      <c r="N6" s="174" t="str">
        <f t="shared" si="1"/>
        <v>T.Tư</v>
      </c>
      <c r="O6" s="174" t="str">
        <f t="shared" si="1"/>
        <v>T.Năm</v>
      </c>
      <c r="P6" s="174" t="str">
        <f t="shared" si="1"/>
        <v>T.Sáu</v>
      </c>
      <c r="Q6" s="174" t="str">
        <f t="shared" si="1"/>
        <v>T.Bảy</v>
      </c>
      <c r="R6" s="174" t="str">
        <f t="shared" si="1"/>
        <v>C.Nhật</v>
      </c>
      <c r="S6" s="174" t="str">
        <f t="shared" si="1"/>
        <v>T.Hai</v>
      </c>
      <c r="T6" s="174" t="str">
        <f t="shared" si="1"/>
        <v>T.Ba</v>
      </c>
      <c r="U6" s="174" t="str">
        <f t="shared" si="1"/>
        <v>T.Tư</v>
      </c>
      <c r="V6" s="174" t="str">
        <f t="shared" si="1"/>
        <v>T.Năm</v>
      </c>
      <c r="W6" s="174" t="str">
        <f t="shared" si="1"/>
        <v>T.Sáu</v>
      </c>
      <c r="X6" s="174" t="str">
        <f t="shared" si="1"/>
        <v>T.Bảy</v>
      </c>
      <c r="Y6" s="174" t="str">
        <f t="shared" si="1"/>
        <v>C.Nhật</v>
      </c>
      <c r="Z6" s="174" t="str">
        <f t="shared" si="1"/>
        <v>T.Hai</v>
      </c>
      <c r="AA6" s="174" t="str">
        <f t="shared" si="1"/>
        <v>T.Ba</v>
      </c>
      <c r="AB6" s="174" t="str">
        <f t="shared" si="1"/>
        <v>T.Tư</v>
      </c>
      <c r="AC6" s="174" t="str">
        <f t="shared" si="1"/>
        <v>T.Năm</v>
      </c>
      <c r="AD6" s="174" t="str">
        <f t="shared" si="1"/>
        <v>T.Sáu</v>
      </c>
      <c r="AE6" s="174" t="str">
        <f t="shared" si="1"/>
        <v>T.Bảy</v>
      </c>
      <c r="AF6" s="174" t="str">
        <f t="shared" si="1"/>
        <v>C.Nhật</v>
      </c>
      <c r="AG6" s="174" t="str">
        <f t="shared" si="1"/>
        <v>T.Hai</v>
      </c>
      <c r="AH6" s="174" t="str">
        <f t="shared" si="1"/>
        <v>T.Ba</v>
      </c>
      <c r="AI6" s="174" t="str">
        <f t="shared" si="1"/>
        <v>T.Tư</v>
      </c>
      <c r="AJ6" s="174" t="str">
        <f t="shared" si="1"/>
        <v>T.Năm</v>
      </c>
      <c r="AK6" s="175" t="s">
        <v>16</v>
      </c>
      <c r="AL6" s="175" t="s">
        <v>31</v>
      </c>
      <c r="AM6" s="176" t="s">
        <v>17</v>
      </c>
      <c r="AN6" s="256"/>
      <c r="AO6" s="256"/>
      <c r="AP6" s="256"/>
      <c r="AQ6" s="256"/>
      <c r="AR6" s="256"/>
      <c r="AS6" s="258"/>
      <c r="AT6" s="25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2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184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7">
        <v>1</v>
      </c>
      <c r="B9" s="247" t="s">
        <v>162</v>
      </c>
      <c r="C9" s="249" t="str">
        <f>VLOOKUP(B9,DS,2,0)</f>
        <v>Phan Văn Hiền</v>
      </c>
      <c r="D9" s="251" t="str">
        <f>VLOOKUP(B9,DS,3,0)</f>
        <v>Quản Đốc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53">
        <f t="shared" ref="AK9" si="2">((SUM(F9:AJ9))/8)-(SUMIF($F$6:$AJ$6,"C.Nhật",F9:AJ9)/8)</f>
        <v>21</v>
      </c>
      <c r="AL9" s="253">
        <f t="shared" ref="AL9" si="3">SUM(F10:AJ10)/8*1.5</f>
        <v>0</v>
      </c>
      <c r="AM9" s="241">
        <f t="shared" ref="AM9:AM11" si="4">SUMIF($F$6:$AJ$6,"C.Nhật",$F9:$AJ10)/8*2</f>
        <v>8</v>
      </c>
      <c r="AN9" s="243">
        <f t="shared" ref="AN9" si="5">SUM(AK9:AM10)</f>
        <v>29</v>
      </c>
      <c r="AO9" s="245">
        <v>0</v>
      </c>
      <c r="AP9" s="243"/>
      <c r="AQ9" s="243"/>
      <c r="AR9" s="243"/>
      <c r="AS9" s="239"/>
      <c r="AT9" s="22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4"/>
      <c r="AL10" s="254"/>
      <c r="AM10" s="242"/>
      <c r="AN10" s="244"/>
      <c r="AO10" s="246"/>
      <c r="AP10" s="244"/>
      <c r="AQ10" s="244"/>
      <c r="AR10" s="244"/>
      <c r="AS10" s="240"/>
      <c r="AT10" s="22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v>2</v>
      </c>
      <c r="B11" s="247" t="s">
        <v>183</v>
      </c>
      <c r="C11" s="249" t="str">
        <f>VLOOKUP(B11,DS,2,0)</f>
        <v>Nguyễn Thị Thu Sương</v>
      </c>
      <c r="D11" s="251" t="str">
        <f>VLOOKUP(B11,DS,3,0)</f>
        <v>Kinh Doanh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53">
        <f t="shared" ref="AK11" si="6">((SUM(F11:AJ11))/8)-(SUMIF($F$6:$AJ$6,"C.Nhật",F11:AJ11)/8)</f>
        <v>21</v>
      </c>
      <c r="AL11" s="253">
        <f t="shared" ref="AL11" si="7">SUM(F12:AJ12)/8*1.5</f>
        <v>0</v>
      </c>
      <c r="AM11" s="241">
        <f t="shared" si="4"/>
        <v>8</v>
      </c>
      <c r="AN11" s="243">
        <f t="shared" ref="AN11" si="8">SUM(AK11:AM12)</f>
        <v>29</v>
      </c>
      <c r="AO11" s="245">
        <v>0</v>
      </c>
      <c r="AP11" s="243"/>
      <c r="AQ11" s="243"/>
      <c r="AR11" s="243"/>
      <c r="AS11" s="239"/>
      <c r="AT11" s="22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4"/>
      <c r="AL12" s="254"/>
      <c r="AM12" s="242"/>
      <c r="AN12" s="244"/>
      <c r="AO12" s="246"/>
      <c r="AP12" s="244"/>
      <c r="AQ12" s="244"/>
      <c r="AR12" s="244"/>
      <c r="AS12" s="240"/>
      <c r="AT12" s="22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7">
        <v>1</v>
      </c>
      <c r="B14" s="247" t="s">
        <v>163</v>
      </c>
      <c r="C14" s="249" t="str">
        <f>VLOOKUP(B14,DS,2,0)</f>
        <v>Nguyễn Trường Giang</v>
      </c>
      <c r="D14" s="251" t="str">
        <f>VLOOKUP(B14,DS,3,0)</f>
        <v>Thợ in</v>
      </c>
      <c r="E14" s="68" t="s">
        <v>32</v>
      </c>
      <c r="F14" s="143"/>
      <c r="G14" s="143"/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/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/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/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/>
      <c r="AI14" s="143">
        <v>8</v>
      </c>
      <c r="AJ14" s="143">
        <v>8</v>
      </c>
      <c r="AK14" s="253">
        <f t="shared" ref="AK14" si="9">((SUM(F14:AJ14))/8)-(SUMIF($F$6:$AJ$6,"C.Nhật",F14:AJ14)/8)</f>
        <v>21</v>
      </c>
      <c r="AL14" s="253">
        <f t="shared" ref="AL14" si="10">SUM(F15:AJ15)/8*1.5</f>
        <v>0</v>
      </c>
      <c r="AM14" s="241">
        <f>SUMIF($F$6:$AJ$6,"C.Nhật",$F14:$AJ15)/8*2</f>
        <v>8</v>
      </c>
      <c r="AN14" s="243">
        <f>SUM(AK14:AM15)</f>
        <v>29</v>
      </c>
      <c r="AO14" s="245">
        <v>0</v>
      </c>
      <c r="AP14" s="243"/>
      <c r="AQ14" s="243"/>
      <c r="AR14" s="243"/>
      <c r="AS14" s="239"/>
      <c r="AT14" s="22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8"/>
      <c r="B15" s="248"/>
      <c r="C15" s="250"/>
      <c r="D15" s="252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54"/>
      <c r="AL15" s="254"/>
      <c r="AM15" s="242"/>
      <c r="AN15" s="244"/>
      <c r="AO15" s="246"/>
      <c r="AP15" s="244"/>
      <c r="AQ15" s="244"/>
      <c r="AR15" s="244"/>
      <c r="AS15" s="240"/>
      <c r="AT15" s="22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7">
        <f>A14+1</f>
        <v>2</v>
      </c>
      <c r="B16" s="247" t="s">
        <v>164</v>
      </c>
      <c r="C16" s="249" t="str">
        <f>VLOOKUP(B16,DS,2,0)</f>
        <v>Đoàn Hồng Phong</v>
      </c>
      <c r="D16" s="251" t="str">
        <f>VLOOKUP(B16,DS,3,0)</f>
        <v>Thợ đóng - xả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53">
        <f t="shared" ref="AK16" si="11">((SUM(F16:AJ16))/8)-(SUMIF($F$6:$AJ$6,"C.Nhật",F16:AJ16)/8)</f>
        <v>21</v>
      </c>
      <c r="AL16" s="253">
        <f t="shared" ref="AL16" si="12">SUM(F17:AJ17)/8*1.5</f>
        <v>0</v>
      </c>
      <c r="AM16" s="241">
        <f>SUMIF($F$6:$AJ$6,"C.Nhật",$F16:$AJ17)/8*2</f>
        <v>8</v>
      </c>
      <c r="AN16" s="243">
        <f t="shared" ref="AN16" si="13">SUM(AK16:AM17)</f>
        <v>29</v>
      </c>
      <c r="AO16" s="245">
        <v>0</v>
      </c>
      <c r="AP16" s="243"/>
      <c r="AQ16" s="243"/>
      <c r="AR16" s="243"/>
      <c r="AS16" s="239"/>
      <c r="AT16" s="22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4"/>
      <c r="AL17" s="254"/>
      <c r="AM17" s="242"/>
      <c r="AN17" s="244"/>
      <c r="AO17" s="246"/>
      <c r="AP17" s="244"/>
      <c r="AQ17" s="244"/>
      <c r="AR17" s="244"/>
      <c r="AS17" s="240"/>
      <c r="AT17" s="22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47">
        <f t="shared" ref="A18" si="14">A16+1</f>
        <v>3</v>
      </c>
      <c r="B18" s="247" t="s">
        <v>165</v>
      </c>
      <c r="C18" s="249" t="str">
        <f>VLOOKUP(B18,DS,2,0)</f>
        <v>Trần Hữu Tình</v>
      </c>
      <c r="D18" s="251" t="str">
        <f>VLOOKUP(B18,DS,3,0)</f>
        <v>Công nhân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53">
        <f t="shared" ref="AK18" si="15">((SUM(F18:AJ18))/8)-(SUMIF($F$6:$AJ$6,"C.Nhật",F18:AJ18)/8)</f>
        <v>21</v>
      </c>
      <c r="AL18" s="253">
        <f t="shared" ref="AL18" si="16">SUM(F19:AJ19)/8*1.5</f>
        <v>0</v>
      </c>
      <c r="AM18" s="241">
        <f>SUMIF($F$6:$AJ$6,"C.Nhật",$F18:$AJ19)/8*2</f>
        <v>8</v>
      </c>
      <c r="AN18" s="243">
        <f t="shared" ref="AN18" si="17">SUM(AK18:AM19)</f>
        <v>29</v>
      </c>
      <c r="AO18" s="245">
        <v>0</v>
      </c>
      <c r="AP18" s="243"/>
      <c r="AQ18" s="243"/>
      <c r="AR18" s="243"/>
      <c r="AS18" s="239"/>
      <c r="AT18" s="22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4"/>
      <c r="AL19" s="254"/>
      <c r="AM19" s="242"/>
      <c r="AN19" s="244"/>
      <c r="AO19" s="246"/>
      <c r="AP19" s="244"/>
      <c r="AQ19" s="244"/>
      <c r="AR19" s="244"/>
      <c r="AS19" s="240"/>
      <c r="AT19" s="22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20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20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20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20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20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20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20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20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11:A12"/>
    <mergeCell ref="B11:B12"/>
    <mergeCell ref="C11:C12"/>
    <mergeCell ref="D11:D12"/>
    <mergeCell ref="AK11:AK12"/>
    <mergeCell ref="AL11:AL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M11:AM12"/>
    <mergeCell ref="AN11:AN12"/>
    <mergeCell ref="AO11:AO12"/>
    <mergeCell ref="AP11:AP12"/>
    <mergeCell ref="AQ11:AQ12"/>
    <mergeCell ref="AR11:AR12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P18:AP19"/>
    <mergeCell ref="AQ18:AQ19"/>
    <mergeCell ref="AR18:AR19"/>
    <mergeCell ref="AS18:AS19"/>
  </mergeCells>
  <conditionalFormatting sqref="F5:AJ6 F11:G12 H9:AJ12 F14:G19">
    <cfRule type="expression" dxfId="144" priority="11" stopIfTrue="1">
      <formula>IF(WEEKDAY(F$5)=1,TRUE,FALSE)</formula>
    </cfRule>
  </conditionalFormatting>
  <conditionalFormatting sqref="F11:G12 H9:AJ12">
    <cfRule type="expression" dxfId="143" priority="10" stopIfTrue="1">
      <formula>IF(WEEKDAY(F$5)=1,TRUE,FALSE)</formula>
    </cfRule>
  </conditionalFormatting>
  <conditionalFormatting sqref="F14:G19">
    <cfRule type="expression" dxfId="142" priority="9" stopIfTrue="1">
      <formula>IF(WEEKDAY(F$5)=1,TRUE,FALSE)</formula>
    </cfRule>
  </conditionalFormatting>
  <conditionalFormatting sqref="F9:G10">
    <cfRule type="expression" dxfId="141" priority="8" stopIfTrue="1">
      <formula>IF(WEEKDAY(F$5)=1,TRUE,FALSE)</formula>
    </cfRule>
  </conditionalFormatting>
  <conditionalFormatting sqref="F9:G10">
    <cfRule type="expression" dxfId="140" priority="7" stopIfTrue="1">
      <formula>IF(WEEKDAY(F$5)=1,TRUE,FALSE)</formula>
    </cfRule>
  </conditionalFormatting>
  <conditionalFormatting sqref="H14:AJ19">
    <cfRule type="expression" dxfId="139" priority="6" stopIfTrue="1">
      <formula>IF(WEEKDAY(H$5)=1,TRUE,FALSE)</formula>
    </cfRule>
  </conditionalFormatting>
  <conditionalFormatting sqref="H14:AJ19">
    <cfRule type="expression" dxfId="138" priority="5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A12" sqref="A1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4"/>
      <c r="C1" s="224"/>
      <c r="D1" s="277" t="str">
        <f>"BẢNG THANH TOÁN LƯƠNG THÁNG"&amp;" "&amp;TEXT($E$4,"mm")&amp;" / "&amp;TEXT($E$4,"yyyy")</f>
        <v>BẢNG THANH TOÁN LƯƠNG THÁNG 01 / 2013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9" t="s">
        <v>185</v>
      </c>
      <c r="S1" s="280"/>
      <c r="T1" s="28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4"/>
      <c r="C2" s="224"/>
      <c r="D2" s="224"/>
      <c r="E2" s="81"/>
      <c r="F2" s="224"/>
      <c r="G2" s="224"/>
      <c r="H2" s="224"/>
      <c r="I2" s="224"/>
      <c r="J2" s="82"/>
      <c r="K2" s="224"/>
      <c r="L2" s="224"/>
      <c r="M2" s="224"/>
      <c r="N2" s="224"/>
      <c r="O2" s="224"/>
      <c r="P2" s="224"/>
      <c r="Q2" s="224"/>
      <c r="R2" s="224"/>
      <c r="S2" s="224"/>
      <c r="T2" s="59"/>
      <c r="U2" s="80">
        <f>MAX(F10:F19)</f>
        <v>21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4"/>
      <c r="C3" s="224"/>
      <c r="D3" s="224"/>
      <c r="E3" s="81"/>
      <c r="F3" s="224"/>
      <c r="G3" s="224"/>
      <c r="H3" s="224"/>
      <c r="I3" s="224"/>
      <c r="J3" s="82"/>
      <c r="K3" s="224"/>
      <c r="L3" s="224"/>
      <c r="M3" s="224"/>
      <c r="N3" s="224"/>
      <c r="O3" s="224"/>
      <c r="P3" s="224"/>
      <c r="Q3" s="224"/>
      <c r="R3" s="224"/>
      <c r="S3" s="224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-1'!$E$4</f>
        <v>41275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2" t="s">
        <v>19</v>
      </c>
      <c r="B5" s="282" t="s">
        <v>20</v>
      </c>
      <c r="C5" s="232" t="s">
        <v>1</v>
      </c>
      <c r="D5" s="232" t="s">
        <v>2</v>
      </c>
      <c r="E5" s="227" t="s">
        <v>56</v>
      </c>
      <c r="F5" s="270" t="s">
        <v>26</v>
      </c>
      <c r="G5" s="272"/>
      <c r="H5" s="272"/>
      <c r="I5" s="272"/>
      <c r="J5" s="272"/>
      <c r="K5" s="271"/>
      <c r="L5" s="267" t="s">
        <v>57</v>
      </c>
      <c r="M5" s="267" t="s">
        <v>5</v>
      </c>
      <c r="N5" s="232" t="s">
        <v>6</v>
      </c>
      <c r="O5" s="232"/>
      <c r="P5" s="232"/>
      <c r="Q5" s="267" t="s">
        <v>7</v>
      </c>
      <c r="R5" s="267" t="s">
        <v>8</v>
      </c>
      <c r="S5" s="267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3"/>
      <c r="B6" s="283"/>
      <c r="C6" s="232"/>
      <c r="D6" s="232"/>
      <c r="E6" s="227"/>
      <c r="F6" s="270" t="s">
        <v>59</v>
      </c>
      <c r="G6" s="271"/>
      <c r="H6" s="270" t="s">
        <v>158</v>
      </c>
      <c r="I6" s="272"/>
      <c r="J6" s="273" t="s">
        <v>27</v>
      </c>
      <c r="K6" s="267" t="s">
        <v>4</v>
      </c>
      <c r="L6" s="268"/>
      <c r="M6" s="268"/>
      <c r="N6" s="275" t="s">
        <v>12</v>
      </c>
      <c r="O6" s="267" t="s">
        <v>13</v>
      </c>
      <c r="P6" s="267" t="s">
        <v>34</v>
      </c>
      <c r="Q6" s="268"/>
      <c r="R6" s="268"/>
      <c r="S6" s="268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3"/>
      <c r="B7" s="283"/>
      <c r="C7" s="267"/>
      <c r="D7" s="267"/>
      <c r="E7" s="227"/>
      <c r="F7" s="223" t="s">
        <v>40</v>
      </c>
      <c r="G7" s="221" t="s">
        <v>18</v>
      </c>
      <c r="H7" s="223" t="s">
        <v>40</v>
      </c>
      <c r="I7" s="128" t="s">
        <v>18</v>
      </c>
      <c r="J7" s="274"/>
      <c r="K7" s="268"/>
      <c r="L7" s="284"/>
      <c r="M7" s="284"/>
      <c r="N7" s="276"/>
      <c r="O7" s="268"/>
      <c r="P7" s="268"/>
      <c r="Q7" s="268"/>
      <c r="R7" s="268"/>
      <c r="S7" s="268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186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2500000</v>
      </c>
      <c r="F10" s="92">
        <f>VLOOKUP(B10,'CC -1'!$B$9:$AS$20,36,0)</f>
        <v>21</v>
      </c>
      <c r="G10" s="145">
        <f t="shared" ref="G10:G11" si="3">ROUND(E10/$U$2*F10,0)</f>
        <v>2500000</v>
      </c>
      <c r="H10" s="92">
        <f>(VLOOKUP(B10,'CC -1'!$B$9:$AS$20,37,0)+VLOOKUP(B10,'CC -1'!$B$9:$AS$20,38,0))</f>
        <v>8</v>
      </c>
      <c r="I10" s="145">
        <f t="shared" ref="I10:I11" si="4">ROUND(E10/$U$2*H10,0)</f>
        <v>952381</v>
      </c>
      <c r="J10" s="93">
        <f t="shared" ref="J10:K11" si="5">F10+H10</f>
        <v>29</v>
      </c>
      <c r="K10" s="39">
        <f t="shared" si="5"/>
        <v>3452381</v>
      </c>
      <c r="L10" s="90">
        <f t="shared" ref="L10:L11" si="6">+F10*15000</f>
        <v>315000</v>
      </c>
      <c r="M10" s="40">
        <f t="shared" ref="M10:M11" si="7">K10+L10</f>
        <v>3767381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3767381</v>
      </c>
      <c r="R10" s="39">
        <f>VLOOKUP(B10,DS,23,0)</f>
        <v>0</v>
      </c>
      <c r="S10" s="45">
        <f t="shared" ref="S10:S11" si="9">Q10-R10</f>
        <v>3767381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183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2200000</v>
      </c>
      <c r="F11" s="92">
        <f>VLOOKUP(B11,'CC -1'!$B$9:$AS$20,36,0)</f>
        <v>21</v>
      </c>
      <c r="G11" s="145">
        <f t="shared" si="3"/>
        <v>2200000</v>
      </c>
      <c r="H11" s="92">
        <f>(VLOOKUP(B11,'CC -1'!$B$9:$AS$20,37,0)+VLOOKUP(B11,'CC -1'!$B$9:$AS$20,38,0))</f>
        <v>8</v>
      </c>
      <c r="I11" s="145">
        <f t="shared" si="4"/>
        <v>838095</v>
      </c>
      <c r="J11" s="93">
        <f t="shared" si="5"/>
        <v>29</v>
      </c>
      <c r="K11" s="39">
        <f t="shared" si="5"/>
        <v>3038095</v>
      </c>
      <c r="L11" s="90">
        <f t="shared" si="6"/>
        <v>315000</v>
      </c>
      <c r="M11" s="40">
        <f t="shared" si="7"/>
        <v>3353095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3353095</v>
      </c>
      <c r="R11" s="39">
        <f>VLOOKUP(B11,DS,23,0)</f>
        <v>0</v>
      </c>
      <c r="S11" s="45">
        <f t="shared" si="9"/>
        <v>3353095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9" t="s">
        <v>25</v>
      </c>
      <c r="B13" s="269"/>
      <c r="C13" s="269"/>
      <c r="D13" s="269"/>
      <c r="E13" s="140">
        <f>SUM(E9:E11)</f>
        <v>4700000</v>
      </c>
      <c r="F13" s="140"/>
      <c r="G13" s="140">
        <f>SUM(G9:G11)</f>
        <v>4700000</v>
      </c>
      <c r="H13" s="140"/>
      <c r="I13" s="140">
        <f>SUM(I9:I11)</f>
        <v>1790476</v>
      </c>
      <c r="J13" s="140"/>
      <c r="K13" s="140">
        <f>SUM(K9:K11)</f>
        <v>6490476</v>
      </c>
      <c r="L13" s="140">
        <f>SUM(L9:L11)</f>
        <v>630000</v>
      </c>
      <c r="M13" s="140">
        <f>SUM(M9:M11)</f>
        <v>7120476</v>
      </c>
      <c r="N13" s="140">
        <f>SUM(N9:N11)</f>
        <v>0</v>
      </c>
      <c r="O13" s="140">
        <f>SUM(O9:O11)</f>
        <v>0</v>
      </c>
      <c r="P13" s="140">
        <f>SUM(P9:P11)</f>
        <v>0</v>
      </c>
      <c r="Q13" s="140">
        <f>SUM(Q9:Q11)</f>
        <v>7120476</v>
      </c>
      <c r="R13" s="140">
        <f>SUM(R9:R11)</f>
        <v>0</v>
      </c>
      <c r="S13" s="140">
        <f>SUM(S9:S11)</f>
        <v>7120476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:C17" si="10">VLOOKUP(B15,DS,2,0)</f>
        <v>Nguyễn Trường Giang</v>
      </c>
      <c r="D15" s="116" t="str">
        <f t="shared" ref="D15:D17" si="11">VLOOKUP(B15,DS,3,0)</f>
        <v>Thợ in</v>
      </c>
      <c r="E15" s="90">
        <f t="shared" ref="E15:E17" si="12">VLOOKUP(B15,DS,4,0)</f>
        <v>2000000</v>
      </c>
      <c r="F15" s="92">
        <f>VLOOKUP(B15,'CC -1'!$B$9:$AS$20,36,0)</f>
        <v>21</v>
      </c>
      <c r="G15" s="145">
        <f t="shared" ref="G15:G17" si="13">ROUND(E15/$U$2*F15,0)</f>
        <v>2000000</v>
      </c>
      <c r="H15" s="92">
        <f>(VLOOKUP(B15,'CC -1'!$B$9:$AS$20,37,0)+VLOOKUP(B15,'CC -1'!$B$9:$AS$20,38,0))</f>
        <v>8</v>
      </c>
      <c r="I15" s="145">
        <f t="shared" ref="I15:I17" si="14">ROUND(E15/$U$2*H15,0)</f>
        <v>761905</v>
      </c>
      <c r="J15" s="146">
        <f t="shared" ref="J15:K17" si="15">F15+H15</f>
        <v>29</v>
      </c>
      <c r="K15" s="39">
        <f t="shared" si="15"/>
        <v>2761905</v>
      </c>
      <c r="L15" s="90">
        <f t="shared" ref="L15:L17" si="16">+F15*15000</f>
        <v>315000</v>
      </c>
      <c r="M15" s="40">
        <f t="shared" ref="M15:M17" si="17">K15+L15</f>
        <v>3076905</v>
      </c>
      <c r="N15" s="40">
        <f>IF(VLOOKUP(B15,DS,9,0)="x",'L - 1'!E15*$N$4,0)</f>
        <v>0</v>
      </c>
      <c r="O15" s="40">
        <f t="shared" ref="O15:O17" si="18">IF(VLOOKUP(B15,DS,9,0)="x",E15*0.015,0)</f>
        <v>0</v>
      </c>
      <c r="P15" s="40">
        <f t="shared" ref="P15:P17" si="19">IF(VLOOKUP(B15,DS,9,0)="x",E15*0.01,0)</f>
        <v>0</v>
      </c>
      <c r="Q15" s="39">
        <f>M15-SUM(N15:P15)</f>
        <v>3076905</v>
      </c>
      <c r="R15" s="39">
        <f t="shared" ref="R15:R17" si="20">VLOOKUP(B15,DS,23,0)</f>
        <v>0</v>
      </c>
      <c r="S15" s="45">
        <f>Q15-R15</f>
        <v>3076905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si="10"/>
        <v>Đoàn Hồng Phong</v>
      </c>
      <c r="D16" s="116" t="str">
        <f t="shared" si="11"/>
        <v>Thợ đóng - xả</v>
      </c>
      <c r="E16" s="90">
        <f t="shared" si="12"/>
        <v>2000000</v>
      </c>
      <c r="F16" s="92">
        <f>VLOOKUP(B16,'CC -1'!$B$9:$AS$20,36,0)</f>
        <v>21</v>
      </c>
      <c r="G16" s="145">
        <f t="shared" si="13"/>
        <v>2000000</v>
      </c>
      <c r="H16" s="92">
        <f>(VLOOKUP(B16,'CC -1'!$B$9:$AS$20,37,0)+VLOOKUP(B16,'CC -1'!$B$9:$AS$20,38,0))</f>
        <v>8</v>
      </c>
      <c r="I16" s="145">
        <f t="shared" si="14"/>
        <v>761905</v>
      </c>
      <c r="J16" s="146">
        <f t="shared" si="15"/>
        <v>29</v>
      </c>
      <c r="K16" s="39">
        <f t="shared" si="15"/>
        <v>2761905</v>
      </c>
      <c r="L16" s="90">
        <f t="shared" si="16"/>
        <v>315000</v>
      </c>
      <c r="M16" s="40">
        <f t="shared" si="17"/>
        <v>3076905</v>
      </c>
      <c r="N16" s="40">
        <f>IF(VLOOKUP(B16,DS,9,0)="x",'L - 1'!E16*$N$4,0)</f>
        <v>0</v>
      </c>
      <c r="O16" s="40">
        <f t="shared" si="18"/>
        <v>0</v>
      </c>
      <c r="P16" s="40">
        <f t="shared" si="19"/>
        <v>0</v>
      </c>
      <c r="Q16" s="39">
        <f t="shared" ref="Q16:Q17" si="21">M16-SUM(N16:P16)</f>
        <v>3076905</v>
      </c>
      <c r="R16" s="39">
        <f t="shared" si="20"/>
        <v>0</v>
      </c>
      <c r="S16" s="45">
        <f t="shared" ref="S16:S17" si="22">Q16-R16</f>
        <v>3076905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10"/>
        <v>Trần Hữu Tình</v>
      </c>
      <c r="D17" s="116" t="str">
        <f t="shared" si="11"/>
        <v>Công nhân</v>
      </c>
      <c r="E17" s="90">
        <f t="shared" si="12"/>
        <v>1800000</v>
      </c>
      <c r="F17" s="92">
        <f>VLOOKUP(B17,'CC -1'!$B$9:$AS$20,36,0)</f>
        <v>21</v>
      </c>
      <c r="G17" s="145">
        <f t="shared" si="13"/>
        <v>1800000</v>
      </c>
      <c r="H17" s="92">
        <f>(VLOOKUP(B17,'CC -1'!$B$9:$AS$20,37,0)+VLOOKUP(B17,'CC -1'!$B$9:$AS$20,38,0))</f>
        <v>8</v>
      </c>
      <c r="I17" s="145">
        <f t="shared" si="14"/>
        <v>685714</v>
      </c>
      <c r="J17" s="146">
        <f t="shared" si="15"/>
        <v>29</v>
      </c>
      <c r="K17" s="39">
        <f t="shared" si="15"/>
        <v>2485714</v>
      </c>
      <c r="L17" s="90">
        <f t="shared" si="16"/>
        <v>315000</v>
      </c>
      <c r="M17" s="40">
        <f t="shared" si="17"/>
        <v>2800714</v>
      </c>
      <c r="N17" s="40">
        <f>IF(VLOOKUP(B17,DS,9,0)="x",'L - 1'!E17*$N$4,0)</f>
        <v>0</v>
      </c>
      <c r="O17" s="40">
        <f t="shared" si="18"/>
        <v>0</v>
      </c>
      <c r="P17" s="40">
        <f t="shared" si="19"/>
        <v>0</v>
      </c>
      <c r="Q17" s="39">
        <f t="shared" si="21"/>
        <v>2800714</v>
      </c>
      <c r="R17" s="39">
        <f t="shared" si="20"/>
        <v>0</v>
      </c>
      <c r="S17" s="45">
        <f t="shared" si="22"/>
        <v>2800714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9" t="s">
        <v>25</v>
      </c>
      <c r="B19" s="269"/>
      <c r="C19" s="269"/>
      <c r="D19" s="269"/>
      <c r="E19" s="140">
        <f>SUM(E14:E18)</f>
        <v>5800000</v>
      </c>
      <c r="F19" s="140"/>
      <c r="G19" s="140">
        <f>SUM(G14:G18)</f>
        <v>5800000</v>
      </c>
      <c r="H19" s="140"/>
      <c r="I19" s="140">
        <f>SUM(I14:I18)</f>
        <v>2209524</v>
      </c>
      <c r="J19" s="140"/>
      <c r="K19" s="140">
        <f>SUM(K14:K18)</f>
        <v>8009524</v>
      </c>
      <c r="L19" s="140">
        <f>SUM(L14:L18)</f>
        <v>945000</v>
      </c>
      <c r="M19" s="140">
        <f>SUM(M14:M18)</f>
        <v>8954524</v>
      </c>
      <c r="N19" s="140">
        <f>SUM(N14:N18)</f>
        <v>0</v>
      </c>
      <c r="O19" s="140">
        <f>SUM(O14:O18)</f>
        <v>0</v>
      </c>
      <c r="P19" s="140">
        <f>SUM(P14:P18)</f>
        <v>0</v>
      </c>
      <c r="Q19" s="140">
        <f>SUM(Q14:Q18)</f>
        <v>8954524</v>
      </c>
      <c r="R19" s="140">
        <f>SUM(R14:R18)</f>
        <v>0</v>
      </c>
      <c r="S19" s="140">
        <f>SUM(S14:S18)</f>
        <v>8954524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01   năm 2013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E5:I6 N5:P6 L5 L22 J6:K7 L7 A25:T58 U31:U58 N18:S18 V25:IK58 W10:W12 J18:L18 A59:IK65326 Q10:S12 AF14:IK14 V13:IK13 A10:B13 D13:T13 D19:T19 AF5:IK12" name="Range1"/>
    <protectedRange password="CC78" sqref="F7:H7" name="Range1_4"/>
    <protectedRange password="CC78" sqref="V22:IK23 S22:T23 N22:Q23 E22:I23" name="Range1_1_1"/>
    <protectedRange password="CC78" sqref="U1 W1:IK3 V4:IK4 B4:T4 X10:AE12 R2:S3 B1:Q3 U18:U30 X14:AE14 U10:U14 U4:U9 X5:AE9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A15:B17 Q15:S17 AF15:IK17 W15:W17" name="Range1_5"/>
    <protectedRange password="CC78" sqref="X15:AE17 U15:U17" name="Range1_2_3"/>
    <protectedRange password="CC78" sqref="V15:V17" name="Range1_1_3"/>
    <protectedRange password="CC78" sqref="K10:K12 K15:K17" name="Range1_6"/>
    <protectedRange password="CC78" sqref="A2:A3" name="Range1_2_1_3"/>
  </protectedRanges>
  <autoFilter ref="A7:AE9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3:D13"/>
    <mergeCell ref="A19:D19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20" sqref="A20:XFD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20" customWidth="1"/>
    <col min="5" max="5" width="7.140625" style="2" customWidth="1"/>
    <col min="6" max="33" width="3.42578125" style="123" customWidth="1"/>
    <col min="34" max="34" width="3.42578125" style="124" customWidth="1"/>
    <col min="35" max="36" width="4.42578125" style="2" customWidth="1"/>
    <col min="37" max="37" width="5.5703125" style="100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55"/>
      <c r="AJ1" s="55"/>
      <c r="AK1" s="260" t="s">
        <v>185</v>
      </c>
      <c r="AL1" s="261"/>
      <c r="AM1" s="261"/>
      <c r="AN1" s="261"/>
      <c r="AO1" s="261"/>
      <c r="AP1" s="261"/>
      <c r="AQ1" s="262"/>
      <c r="AR1" s="57"/>
    </row>
    <row r="2" spans="1:89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55"/>
      <c r="AJ2" s="55"/>
      <c r="AK2" s="96"/>
      <c r="AL2" s="59"/>
      <c r="AM2" s="59"/>
      <c r="AN2" s="59"/>
      <c r="AO2" s="59"/>
      <c r="AP2" s="59"/>
      <c r="AQ2" s="95"/>
      <c r="AR2" s="95"/>
    </row>
    <row r="3" spans="1:89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55"/>
      <c r="AJ3" s="55"/>
      <c r="AK3" s="96"/>
      <c r="AL3" s="57"/>
      <c r="AM3" s="57"/>
      <c r="AN3" s="57"/>
      <c r="AO3" s="57"/>
      <c r="AP3" s="57"/>
      <c r="AQ3" s="62"/>
      <c r="AR3" s="62"/>
    </row>
    <row r="4" spans="1:89" ht="14.25" customHeight="1">
      <c r="A4" s="63"/>
      <c r="B4" s="63"/>
      <c r="C4" s="156"/>
      <c r="D4" s="155"/>
      <c r="E4" s="64">
        <v>40940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3"/>
      <c r="AJ4" s="63"/>
      <c r="AK4" s="97"/>
      <c r="AL4" s="63"/>
      <c r="AM4" s="63"/>
      <c r="AN4" s="63"/>
      <c r="AO4" s="63"/>
      <c r="AP4" s="63"/>
      <c r="AQ4" s="63"/>
      <c r="AR4" s="101"/>
    </row>
    <row r="5" spans="1:89" s="67" customFormat="1" ht="18.75" customHeight="1">
      <c r="A5" s="263" t="s">
        <v>28</v>
      </c>
      <c r="B5" s="263" t="s">
        <v>3</v>
      </c>
      <c r="C5" s="263" t="s">
        <v>1</v>
      </c>
      <c r="D5" s="257" t="s">
        <v>29</v>
      </c>
      <c r="E5" s="263" t="s">
        <v>30</v>
      </c>
      <c r="F5" s="118">
        <f>+E4</f>
        <v>40940</v>
      </c>
      <c r="G5" s="118">
        <f t="shared" ref="G5:AG5" si="0">F5+1</f>
        <v>40941</v>
      </c>
      <c r="H5" s="118">
        <f t="shared" si="0"/>
        <v>40942</v>
      </c>
      <c r="I5" s="118">
        <f t="shared" si="0"/>
        <v>40943</v>
      </c>
      <c r="J5" s="118">
        <f t="shared" si="0"/>
        <v>40944</v>
      </c>
      <c r="K5" s="118">
        <f t="shared" si="0"/>
        <v>40945</v>
      </c>
      <c r="L5" s="118">
        <f t="shared" si="0"/>
        <v>40946</v>
      </c>
      <c r="M5" s="118">
        <f t="shared" si="0"/>
        <v>40947</v>
      </c>
      <c r="N5" s="118">
        <f t="shared" si="0"/>
        <v>40948</v>
      </c>
      <c r="O5" s="118">
        <f t="shared" si="0"/>
        <v>40949</v>
      </c>
      <c r="P5" s="118">
        <f t="shared" si="0"/>
        <v>40950</v>
      </c>
      <c r="Q5" s="118">
        <f t="shared" si="0"/>
        <v>40951</v>
      </c>
      <c r="R5" s="118">
        <f t="shared" si="0"/>
        <v>40952</v>
      </c>
      <c r="S5" s="118">
        <f t="shared" si="0"/>
        <v>40953</v>
      </c>
      <c r="T5" s="118">
        <f t="shared" si="0"/>
        <v>40954</v>
      </c>
      <c r="U5" s="118">
        <f t="shared" si="0"/>
        <v>40955</v>
      </c>
      <c r="V5" s="118">
        <f t="shared" si="0"/>
        <v>40956</v>
      </c>
      <c r="W5" s="118">
        <f t="shared" si="0"/>
        <v>40957</v>
      </c>
      <c r="X5" s="118">
        <f t="shared" si="0"/>
        <v>40958</v>
      </c>
      <c r="Y5" s="118">
        <f t="shared" si="0"/>
        <v>40959</v>
      </c>
      <c r="Z5" s="118">
        <f t="shared" si="0"/>
        <v>40960</v>
      </c>
      <c r="AA5" s="118">
        <f t="shared" si="0"/>
        <v>40961</v>
      </c>
      <c r="AB5" s="118">
        <f t="shared" si="0"/>
        <v>40962</v>
      </c>
      <c r="AC5" s="118">
        <f t="shared" si="0"/>
        <v>40963</v>
      </c>
      <c r="AD5" s="118">
        <f t="shared" si="0"/>
        <v>40964</v>
      </c>
      <c r="AE5" s="118">
        <f t="shared" si="0"/>
        <v>40965</v>
      </c>
      <c r="AF5" s="118">
        <f t="shared" si="0"/>
        <v>40966</v>
      </c>
      <c r="AG5" s="118">
        <f t="shared" si="0"/>
        <v>40967</v>
      </c>
      <c r="AH5" s="118">
        <f>AG5+1</f>
        <v>40968</v>
      </c>
      <c r="AI5" s="264" t="s">
        <v>15</v>
      </c>
      <c r="AJ5" s="265"/>
      <c r="AK5" s="266"/>
      <c r="AL5" s="255" t="s">
        <v>45</v>
      </c>
      <c r="AM5" s="255" t="s">
        <v>41</v>
      </c>
      <c r="AN5" s="255" t="s">
        <v>42</v>
      </c>
      <c r="AO5" s="255" t="s">
        <v>43</v>
      </c>
      <c r="AP5" s="255" t="s">
        <v>44</v>
      </c>
      <c r="AQ5" s="257" t="s">
        <v>0</v>
      </c>
      <c r="AR5" s="259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67" customFormat="1" ht="39.75" customHeight="1">
      <c r="A6" s="258"/>
      <c r="B6" s="258"/>
      <c r="C6" s="258"/>
      <c r="D6" s="258"/>
      <c r="E6" s="258"/>
      <c r="F6" s="174" t="str">
        <f>CHOOSE(WEEKDAY(F5),"C.Nhật","T.Hai","T.Ba","T.Tư","T.Năm","T.Sáu","T.Bảy")</f>
        <v>T.Tư</v>
      </c>
      <c r="G6" s="174" t="str">
        <f t="shared" ref="G6:AH6" si="1">CHOOSE(WEEKDAY(G5),"C.Nhật","T.Hai","T.Ba","T.Tư","T.Năm","T.Sáu","T.Bảy")</f>
        <v>T.Năm</v>
      </c>
      <c r="H6" s="174" t="str">
        <f t="shared" si="1"/>
        <v>T.Sáu</v>
      </c>
      <c r="I6" s="174" t="str">
        <f t="shared" si="1"/>
        <v>T.Bảy</v>
      </c>
      <c r="J6" s="174" t="str">
        <f t="shared" si="1"/>
        <v>C.Nhật</v>
      </c>
      <c r="K6" s="174" t="str">
        <f t="shared" si="1"/>
        <v>T.Hai</v>
      </c>
      <c r="L6" s="174" t="str">
        <f t="shared" si="1"/>
        <v>T.Ba</v>
      </c>
      <c r="M6" s="174" t="str">
        <f t="shared" si="1"/>
        <v>T.Tư</v>
      </c>
      <c r="N6" s="174" t="str">
        <f t="shared" si="1"/>
        <v>T.Năm</v>
      </c>
      <c r="O6" s="174" t="str">
        <f t="shared" si="1"/>
        <v>T.Sáu</v>
      </c>
      <c r="P6" s="174" t="str">
        <f t="shared" si="1"/>
        <v>T.Bảy</v>
      </c>
      <c r="Q6" s="174" t="str">
        <f t="shared" si="1"/>
        <v>C.Nhật</v>
      </c>
      <c r="R6" s="174" t="str">
        <f t="shared" si="1"/>
        <v>T.Hai</v>
      </c>
      <c r="S6" s="174" t="str">
        <f t="shared" si="1"/>
        <v>T.Ba</v>
      </c>
      <c r="T6" s="174" t="str">
        <f t="shared" si="1"/>
        <v>T.Tư</v>
      </c>
      <c r="U6" s="174" t="str">
        <f t="shared" si="1"/>
        <v>T.Năm</v>
      </c>
      <c r="V6" s="174" t="str">
        <f t="shared" si="1"/>
        <v>T.Sáu</v>
      </c>
      <c r="W6" s="174" t="str">
        <f t="shared" si="1"/>
        <v>T.Bảy</v>
      </c>
      <c r="X6" s="174" t="str">
        <f t="shared" si="1"/>
        <v>C.Nhật</v>
      </c>
      <c r="Y6" s="174" t="str">
        <f t="shared" si="1"/>
        <v>T.Hai</v>
      </c>
      <c r="Z6" s="174" t="str">
        <f t="shared" si="1"/>
        <v>T.Ba</v>
      </c>
      <c r="AA6" s="174" t="str">
        <f t="shared" si="1"/>
        <v>T.Tư</v>
      </c>
      <c r="AB6" s="174" t="str">
        <f t="shared" si="1"/>
        <v>T.Năm</v>
      </c>
      <c r="AC6" s="174" t="str">
        <f t="shared" si="1"/>
        <v>T.Sáu</v>
      </c>
      <c r="AD6" s="174" t="str">
        <f t="shared" si="1"/>
        <v>T.Bảy</v>
      </c>
      <c r="AE6" s="174" t="str">
        <f t="shared" si="1"/>
        <v>C.Nhật</v>
      </c>
      <c r="AF6" s="174" t="str">
        <f t="shared" si="1"/>
        <v>T.Hai</v>
      </c>
      <c r="AG6" s="174" t="str">
        <f t="shared" si="1"/>
        <v>T.Ba</v>
      </c>
      <c r="AH6" s="174" t="str">
        <f t="shared" si="1"/>
        <v>T.Tư</v>
      </c>
      <c r="AI6" s="175" t="s">
        <v>16</v>
      </c>
      <c r="AJ6" s="175" t="s">
        <v>31</v>
      </c>
      <c r="AK6" s="176" t="s">
        <v>17</v>
      </c>
      <c r="AL6" s="256"/>
      <c r="AM6" s="256"/>
      <c r="AN6" s="256"/>
      <c r="AO6" s="256"/>
      <c r="AP6" s="256"/>
      <c r="AQ6" s="258"/>
      <c r="AR6" s="259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22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80" customFormat="1" ht="21" customHeight="1">
      <c r="A8" s="178" t="s">
        <v>155</v>
      </c>
      <c r="B8" s="181" t="s">
        <v>184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3"/>
      <c r="AR8" s="179"/>
    </row>
    <row r="9" spans="1:89" s="67" customFormat="1" ht="18" customHeight="1">
      <c r="A9" s="247">
        <v>1</v>
      </c>
      <c r="B9" s="247" t="s">
        <v>162</v>
      </c>
      <c r="C9" s="249" t="str">
        <f>VLOOKUP(B9,DS,2,0)</f>
        <v>Phan Văn Hiền</v>
      </c>
      <c r="D9" s="251" t="str">
        <f>VLOOKUP(B9,DS,3,0)</f>
        <v>Quản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253">
        <f>((SUM(F9:AH9))/8)-(SUMIF($F$6:$AH$6,"C.Nhật",F9:AH9)/8)</f>
        <v>25</v>
      </c>
      <c r="AJ9" s="253">
        <f>SUM(F10:AH10)/8*1.5</f>
        <v>0</v>
      </c>
      <c r="AK9" s="241">
        <f>SUMIF($F$6:$AH$6,"C.Nhật",$F9:$AH10)/8*2</f>
        <v>0</v>
      </c>
      <c r="AL9" s="243">
        <f>SUM(AI9:AK10)</f>
        <v>25</v>
      </c>
      <c r="AM9" s="245">
        <v>0</v>
      </c>
      <c r="AN9" s="243"/>
      <c r="AO9" s="243"/>
      <c r="AP9" s="243"/>
      <c r="AQ9" s="239"/>
      <c r="AR9" s="22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254"/>
      <c r="AJ10" s="254"/>
      <c r="AK10" s="242"/>
      <c r="AL10" s="244"/>
      <c r="AM10" s="246"/>
      <c r="AN10" s="244"/>
      <c r="AO10" s="244"/>
      <c r="AP10" s="244"/>
      <c r="AQ10" s="240"/>
      <c r="AR10" s="22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67" customFormat="1" ht="18" customHeight="1">
      <c r="A11" s="247">
        <v>2</v>
      </c>
      <c r="B11" s="247" t="s">
        <v>183</v>
      </c>
      <c r="C11" s="249" t="str">
        <f>VLOOKUP(B11,DS,2,0)</f>
        <v>Nguyễn Thị Thu Sương</v>
      </c>
      <c r="D11" s="251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253">
        <f>((SUM(F11:AH11))/8)-(SUMIF($F$6:$AH$6,"C.Nhật",F11:AH11)/8)</f>
        <v>25</v>
      </c>
      <c r="AJ11" s="253">
        <f>SUM(F12:AH12)/8*1.5</f>
        <v>0</v>
      </c>
      <c r="AK11" s="241">
        <f>SUMIF($F$6:$AH$6,"C.Nhật",$F11:$AH12)/8*2</f>
        <v>0</v>
      </c>
      <c r="AL11" s="243">
        <f t="shared" ref="AL11" si="2">SUM(AI11:AK12)</f>
        <v>25</v>
      </c>
      <c r="AM11" s="245">
        <v>0</v>
      </c>
      <c r="AN11" s="243"/>
      <c r="AO11" s="243"/>
      <c r="AP11" s="243"/>
      <c r="AQ11" s="239"/>
      <c r="AR11" s="22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254"/>
      <c r="AJ12" s="254"/>
      <c r="AK12" s="242"/>
      <c r="AL12" s="244"/>
      <c r="AM12" s="246"/>
      <c r="AN12" s="244"/>
      <c r="AO12" s="244"/>
      <c r="AP12" s="244"/>
      <c r="AQ12" s="240"/>
      <c r="AR12" s="22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3"/>
      <c r="AR13" s="179"/>
    </row>
    <row r="14" spans="1:89" s="67" customFormat="1" ht="18" customHeight="1">
      <c r="A14" s="247">
        <v>1</v>
      </c>
      <c r="B14" s="247" t="s">
        <v>163</v>
      </c>
      <c r="C14" s="249" t="str">
        <f>VLOOKUP(B14,DS,2,0)</f>
        <v>Nguyễn Trường Giang</v>
      </c>
      <c r="D14" s="251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/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/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/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/>
      <c r="AF14" s="143">
        <v>8</v>
      </c>
      <c r="AG14" s="143">
        <v>8</v>
      </c>
      <c r="AH14" s="143">
        <v>8</v>
      </c>
      <c r="AI14" s="253">
        <f>((SUM(F14:AH14))/8)-(SUMIF($F$6:$AH$6,"C.Nhật",F14:AH14)/8)</f>
        <v>25</v>
      </c>
      <c r="AJ14" s="253">
        <f>SUM(F15:AH15)/8*1.5</f>
        <v>0</v>
      </c>
      <c r="AK14" s="241">
        <f>SUMIF($F$6:$AH$6,"C.Nhật",$F14:$AH15)/8*2</f>
        <v>0</v>
      </c>
      <c r="AL14" s="243">
        <f>SUM(AI14:AK15)</f>
        <v>25</v>
      </c>
      <c r="AM14" s="245">
        <v>0</v>
      </c>
      <c r="AN14" s="243"/>
      <c r="AO14" s="243"/>
      <c r="AP14" s="243"/>
      <c r="AQ14" s="239"/>
      <c r="AR14" s="22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67" customFormat="1" ht="18" customHeight="1">
      <c r="A15" s="248"/>
      <c r="B15" s="248"/>
      <c r="C15" s="250"/>
      <c r="D15" s="252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254"/>
      <c r="AJ15" s="254"/>
      <c r="AK15" s="242"/>
      <c r="AL15" s="244"/>
      <c r="AM15" s="246"/>
      <c r="AN15" s="244"/>
      <c r="AO15" s="244"/>
      <c r="AP15" s="244"/>
      <c r="AQ15" s="240"/>
      <c r="AR15" s="22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67" customFormat="1" ht="18" customHeight="1">
      <c r="A16" s="247">
        <v>2</v>
      </c>
      <c r="B16" s="247" t="s">
        <v>164</v>
      </c>
      <c r="C16" s="249" t="str">
        <f>VLOOKUP(B16,DS,2,0)</f>
        <v>Đoàn Hồng Phong</v>
      </c>
      <c r="D16" s="251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253">
        <f>((SUM(F16:AH16))/8)-(SUMIF($F$6:$AH$6,"C.Nhật",F16:AH16)/8)</f>
        <v>25</v>
      </c>
      <c r="AJ16" s="253">
        <f>SUM(F17:AH17)/8*1.5</f>
        <v>0</v>
      </c>
      <c r="AK16" s="241">
        <f>SUMIF($F$6:$AH$6,"C.Nhật",$F16:$AH17)/8*2</f>
        <v>0</v>
      </c>
      <c r="AL16" s="243">
        <f t="shared" ref="AL16" si="3">SUM(AI16:AK17)</f>
        <v>25</v>
      </c>
      <c r="AM16" s="245">
        <v>0</v>
      </c>
      <c r="AN16" s="243"/>
      <c r="AO16" s="243"/>
      <c r="AP16" s="243"/>
      <c r="AQ16" s="239"/>
      <c r="AR16" s="22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91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254"/>
      <c r="AJ17" s="254"/>
      <c r="AK17" s="242"/>
      <c r="AL17" s="244"/>
      <c r="AM17" s="246"/>
      <c r="AN17" s="244"/>
      <c r="AO17" s="244"/>
      <c r="AP17" s="244"/>
      <c r="AQ17" s="240"/>
      <c r="AR17" s="22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91" s="67" customFormat="1" ht="18" customHeight="1">
      <c r="A18" s="247">
        <v>3</v>
      </c>
      <c r="B18" s="247" t="s">
        <v>165</v>
      </c>
      <c r="C18" s="249" t="str">
        <f>VLOOKUP(B18,DS,2,0)</f>
        <v>Trần Hữu Tình</v>
      </c>
      <c r="D18" s="251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253">
        <f>((SUM(F18:AH18))/8)-(SUMIF($F$6:$AH$6,"C.Nhật",F18:AH18)/8)</f>
        <v>25</v>
      </c>
      <c r="AJ18" s="253">
        <f>SUM(F19:AH19)/8*1.5</f>
        <v>0</v>
      </c>
      <c r="AK18" s="241">
        <f>SUMIF($F$6:$AH$6,"C.Nhật",$F18:$AH19)/8*2</f>
        <v>0</v>
      </c>
      <c r="AL18" s="243">
        <f>SUM(AI18:AK19)</f>
        <v>25</v>
      </c>
      <c r="AM18" s="245">
        <v>0</v>
      </c>
      <c r="AN18" s="243"/>
      <c r="AO18" s="243"/>
      <c r="AP18" s="243"/>
      <c r="AQ18" s="239"/>
      <c r="AR18" s="22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91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254"/>
      <c r="AJ19" s="254"/>
      <c r="AK19" s="242"/>
      <c r="AL19" s="244"/>
      <c r="AM19" s="246"/>
      <c r="AN19" s="244"/>
      <c r="AO19" s="244"/>
      <c r="AP19" s="244"/>
      <c r="AQ19" s="240"/>
      <c r="AR19" s="22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4"/>
      <c r="AJ20" s="4"/>
      <c r="AK20" s="98"/>
      <c r="AL20" s="74"/>
      <c r="AM20" s="74"/>
      <c r="AN20" s="74"/>
      <c r="AO20" s="74"/>
      <c r="AP20" s="74"/>
      <c r="AQ20" s="4"/>
      <c r="AR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4"/>
      <c r="AJ21" s="4"/>
      <c r="AK21" s="98"/>
      <c r="AL21" s="74"/>
      <c r="AM21" s="74"/>
      <c r="AN21" s="74"/>
      <c r="AO21" s="74"/>
      <c r="AP21" s="74"/>
      <c r="AQ21" s="4"/>
      <c r="AR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4"/>
      <c r="AJ22" s="4"/>
      <c r="AK22" s="98"/>
      <c r="AL22" s="76"/>
      <c r="AM22" s="76"/>
      <c r="AN22" s="76"/>
      <c r="AO22" s="76"/>
      <c r="AP22" s="76"/>
      <c r="AQ22" s="4"/>
      <c r="AR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4"/>
      <c r="AJ23" s="4"/>
      <c r="AK23" s="98"/>
      <c r="AL23" s="76"/>
      <c r="AM23" s="76"/>
      <c r="AN23" s="76"/>
      <c r="AO23" s="76"/>
      <c r="AP23" s="76"/>
      <c r="AQ23" s="4"/>
      <c r="AR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4"/>
      <c r="AJ24" s="4"/>
      <c r="AK24" s="98"/>
      <c r="AL24" s="76"/>
      <c r="AM24" s="76"/>
      <c r="AN24" s="76"/>
      <c r="AO24" s="76"/>
      <c r="AP24" s="76"/>
      <c r="AQ24" s="4"/>
      <c r="AR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4"/>
      <c r="AJ25" s="4"/>
      <c r="AK25" s="98"/>
      <c r="AL25" s="76"/>
      <c r="AM25" s="76"/>
      <c r="AN25" s="76"/>
      <c r="AO25" s="76"/>
      <c r="AP25" s="76"/>
      <c r="AQ25" s="4"/>
      <c r="AR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77"/>
      <c r="AK26" s="99"/>
      <c r="AL26" s="10"/>
      <c r="AM26" s="10"/>
      <c r="AN26" s="10"/>
      <c r="AO26" s="10"/>
      <c r="AP26" s="10"/>
      <c r="AQ26" s="14"/>
      <c r="AR26" s="4"/>
    </row>
    <row r="27" spans="1:91" s="73" customFormat="1" ht="12.75">
      <c r="A27" s="2"/>
      <c r="B27" s="2" t="s">
        <v>0</v>
      </c>
      <c r="C27" s="2"/>
      <c r="D27" s="220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2"/>
      <c r="AJ27" s="2"/>
      <c r="AK27" s="100"/>
      <c r="AL27" s="2"/>
      <c r="AM27" s="2"/>
      <c r="AN27" s="2"/>
      <c r="AO27" s="2"/>
      <c r="AP27" s="2"/>
      <c r="AQ27" s="2"/>
      <c r="AR27" s="4"/>
    </row>
    <row r="28" spans="1:91" s="73" customFormat="1" ht="12.75">
      <c r="A28" s="2"/>
      <c r="B28" s="2"/>
      <c r="C28" s="2" t="s">
        <v>46</v>
      </c>
      <c r="D28" s="220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2"/>
      <c r="AJ28" s="2"/>
      <c r="AK28" s="100"/>
      <c r="AL28" s="2"/>
      <c r="AM28" s="2"/>
      <c r="AN28" s="2"/>
      <c r="AO28" s="2"/>
      <c r="AP28" s="2"/>
      <c r="AQ28" s="2"/>
      <c r="AR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20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2"/>
      <c r="AJ31" s="2"/>
      <c r="AK31" s="100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20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2"/>
      <c r="AJ32" s="2"/>
      <c r="AK32" s="100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20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2"/>
      <c r="AJ33" s="2"/>
      <c r="AK33" s="100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20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2"/>
      <c r="AJ34" s="2"/>
      <c r="AK34" s="100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20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2"/>
      <c r="AJ35" s="2"/>
      <c r="AK35" s="100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20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2"/>
      <c r="AJ36" s="2"/>
      <c r="AK36" s="100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  <mergeCell ref="AR5:AR6"/>
    <mergeCell ref="A9:A10"/>
    <mergeCell ref="B9:B10"/>
    <mergeCell ref="C9:C10"/>
    <mergeCell ref="D9:D10"/>
    <mergeCell ref="AI9:AI10"/>
    <mergeCell ref="AJ9:AJ10"/>
    <mergeCell ref="AQ9:AQ10"/>
    <mergeCell ref="A11:A12"/>
    <mergeCell ref="B11:B12"/>
    <mergeCell ref="C11:C12"/>
    <mergeCell ref="D11:D12"/>
    <mergeCell ref="AI11:AI12"/>
    <mergeCell ref="AJ11:AJ12"/>
    <mergeCell ref="AK11:AK12"/>
    <mergeCell ref="AL11:AL12"/>
    <mergeCell ref="AM11:AM12"/>
    <mergeCell ref="AK9:AK10"/>
    <mergeCell ref="AL9:AL10"/>
    <mergeCell ref="AM9:AM10"/>
    <mergeCell ref="AN9:AN10"/>
    <mergeCell ref="AO9:AO10"/>
    <mergeCell ref="AP9:AP10"/>
    <mergeCell ref="AN11:AN12"/>
    <mergeCell ref="AO11:AO12"/>
    <mergeCell ref="AP11:AP12"/>
    <mergeCell ref="AQ11:AQ12"/>
    <mergeCell ref="A14:A15"/>
    <mergeCell ref="B14:B15"/>
    <mergeCell ref="C14:C15"/>
    <mergeCell ref="D14:D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16:A17"/>
    <mergeCell ref="B16:B17"/>
    <mergeCell ref="C16:C17"/>
    <mergeCell ref="D16:D17"/>
    <mergeCell ref="AI16:AI17"/>
    <mergeCell ref="AJ16:AJ17"/>
    <mergeCell ref="AQ16:AQ17"/>
    <mergeCell ref="AK16:AK17"/>
    <mergeCell ref="AL16:AL17"/>
    <mergeCell ref="AM16:AM17"/>
    <mergeCell ref="AN16:AN17"/>
    <mergeCell ref="AO16:AO17"/>
    <mergeCell ref="AP16:AP17"/>
    <mergeCell ref="A18:A19"/>
    <mergeCell ref="B18:B19"/>
    <mergeCell ref="C18:C19"/>
    <mergeCell ref="D18:D19"/>
    <mergeCell ref="AI18:AI19"/>
    <mergeCell ref="AJ18:AJ19"/>
    <mergeCell ref="AQ18:AQ19"/>
    <mergeCell ref="AK18:AK19"/>
    <mergeCell ref="AL18:AL19"/>
    <mergeCell ref="AM18:AM19"/>
    <mergeCell ref="AN18:AN19"/>
    <mergeCell ref="AO18:AO19"/>
    <mergeCell ref="AP18:AP19"/>
  </mergeCells>
  <conditionalFormatting sqref="F5:AH6 F9:AH12 F14:AH17">
    <cfRule type="expression" dxfId="137" priority="11" stopIfTrue="1">
      <formula>IF(WEEKDAY(F$5)=1,TRUE,FALSE)</formula>
    </cfRule>
  </conditionalFormatting>
  <conditionalFormatting sqref="F14:G17">
    <cfRule type="expression" dxfId="136" priority="9" stopIfTrue="1">
      <formula>IF(WEEKDAY(F$5)=1,TRUE,FALSE)</formula>
    </cfRule>
  </conditionalFormatting>
  <conditionalFormatting sqref="F18:AH19">
    <cfRule type="expression" dxfId="135" priority="2" stopIfTrue="1">
      <formula>IF(WEEKDAY(F$5)=1,TRUE,FALSE)</formula>
    </cfRule>
  </conditionalFormatting>
  <conditionalFormatting sqref="F18:G19">
    <cfRule type="expression" dxfId="13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A18" sqref="A18:XFD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4"/>
      <c r="C1" s="224"/>
      <c r="D1" s="277" t="str">
        <f>"BẢNG THANH TOÁN LƯƠNG THÁNG"&amp;" "&amp;TEXT($E$4,"mm")&amp;" / "&amp;TEXT($E$4,"yyyy")</f>
        <v>BẢNG THANH TOÁN LƯƠNG THÁNG 02 / 2012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9" t="s">
        <v>185</v>
      </c>
      <c r="S1" s="280"/>
      <c r="T1" s="28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4"/>
      <c r="C2" s="224"/>
      <c r="D2" s="224"/>
      <c r="E2" s="81"/>
      <c r="F2" s="224"/>
      <c r="G2" s="224"/>
      <c r="H2" s="224"/>
      <c r="I2" s="224"/>
      <c r="J2" s="82"/>
      <c r="K2" s="224"/>
      <c r="L2" s="224"/>
      <c r="M2" s="224"/>
      <c r="N2" s="224"/>
      <c r="O2" s="224"/>
      <c r="P2" s="224"/>
      <c r="Q2" s="224"/>
      <c r="R2" s="224"/>
      <c r="S2" s="224"/>
      <c r="T2" s="59"/>
      <c r="U2" s="80">
        <f>MAX(F10:F19)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4"/>
      <c r="C3" s="224"/>
      <c r="D3" s="224"/>
      <c r="E3" s="81"/>
      <c r="F3" s="224"/>
      <c r="G3" s="224"/>
      <c r="H3" s="224"/>
      <c r="I3" s="224"/>
      <c r="J3" s="82"/>
      <c r="K3" s="224"/>
      <c r="L3" s="224"/>
      <c r="M3" s="224"/>
      <c r="N3" s="224"/>
      <c r="O3" s="224"/>
      <c r="P3" s="224"/>
      <c r="Q3" s="224"/>
      <c r="R3" s="224"/>
      <c r="S3" s="224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-2'!$E$4</f>
        <v>40940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2" t="s">
        <v>19</v>
      </c>
      <c r="B5" s="282" t="s">
        <v>20</v>
      </c>
      <c r="C5" s="232" t="s">
        <v>1</v>
      </c>
      <c r="D5" s="232" t="s">
        <v>2</v>
      </c>
      <c r="E5" s="227" t="s">
        <v>56</v>
      </c>
      <c r="F5" s="270" t="s">
        <v>26</v>
      </c>
      <c r="G5" s="272"/>
      <c r="H5" s="272"/>
      <c r="I5" s="272"/>
      <c r="J5" s="272"/>
      <c r="K5" s="271"/>
      <c r="L5" s="267" t="s">
        <v>57</v>
      </c>
      <c r="M5" s="267" t="s">
        <v>5</v>
      </c>
      <c r="N5" s="232" t="s">
        <v>6</v>
      </c>
      <c r="O5" s="232"/>
      <c r="P5" s="232"/>
      <c r="Q5" s="267" t="s">
        <v>7</v>
      </c>
      <c r="R5" s="267" t="s">
        <v>8</v>
      </c>
      <c r="S5" s="267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3"/>
      <c r="B6" s="283"/>
      <c r="C6" s="232"/>
      <c r="D6" s="232"/>
      <c r="E6" s="227"/>
      <c r="F6" s="270" t="s">
        <v>59</v>
      </c>
      <c r="G6" s="271"/>
      <c r="H6" s="270" t="s">
        <v>158</v>
      </c>
      <c r="I6" s="272"/>
      <c r="J6" s="273" t="s">
        <v>27</v>
      </c>
      <c r="K6" s="267" t="s">
        <v>4</v>
      </c>
      <c r="L6" s="268"/>
      <c r="M6" s="268"/>
      <c r="N6" s="275" t="s">
        <v>12</v>
      </c>
      <c r="O6" s="267" t="s">
        <v>13</v>
      </c>
      <c r="P6" s="267" t="s">
        <v>34</v>
      </c>
      <c r="Q6" s="268"/>
      <c r="R6" s="268"/>
      <c r="S6" s="268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3"/>
      <c r="B7" s="283"/>
      <c r="C7" s="267"/>
      <c r="D7" s="267"/>
      <c r="E7" s="227"/>
      <c r="F7" s="223" t="s">
        <v>40</v>
      </c>
      <c r="G7" s="221" t="s">
        <v>18</v>
      </c>
      <c r="H7" s="223" t="s">
        <v>40</v>
      </c>
      <c r="I7" s="128" t="s">
        <v>18</v>
      </c>
      <c r="J7" s="274"/>
      <c r="K7" s="268"/>
      <c r="L7" s="284"/>
      <c r="M7" s="284"/>
      <c r="N7" s="276"/>
      <c r="O7" s="268"/>
      <c r="P7" s="268"/>
      <c r="Q7" s="268"/>
      <c r="R7" s="268"/>
      <c r="S7" s="268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186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2500000</v>
      </c>
      <c r="F10" s="92">
        <f>VLOOKUP(B10,'CC -2'!$B$8:$AQ$19,34,0)</f>
        <v>25</v>
      </c>
      <c r="G10" s="145">
        <f t="shared" ref="G10:G11" si="3">ROUND(E10/$U$2*F10,0)</f>
        <v>2500000</v>
      </c>
      <c r="H10" s="92">
        <f>(VLOOKUP(B10,'CC -2'!$B$8:$AQ$19,35,0)+VLOOKUP(B10,'CC -2'!$B$8:$AQ$19,36,0))</f>
        <v>0</v>
      </c>
      <c r="I10" s="145">
        <f t="shared" ref="I10:I11" si="4">ROUND(E10/$U$2*H10,0)</f>
        <v>0</v>
      </c>
      <c r="J10" s="93">
        <f t="shared" ref="J10:K11" si="5">F10+H10</f>
        <v>25</v>
      </c>
      <c r="K10" s="39">
        <f>G10+I10</f>
        <v>2500000</v>
      </c>
      <c r="L10" s="90">
        <f t="shared" ref="L10:L11" si="6">+F10*15000</f>
        <v>375000</v>
      </c>
      <c r="M10" s="40">
        <f t="shared" ref="M10:M11" si="7">K10+L10</f>
        <v>2875000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2875000</v>
      </c>
      <c r="R10" s="39">
        <f>VLOOKUP(B10,DS,23,0)</f>
        <v>0</v>
      </c>
      <c r="S10" s="45">
        <f t="shared" ref="S10:S11" si="9">Q10-R10</f>
        <v>2875000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183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2200000</v>
      </c>
      <c r="F11" s="92">
        <f>VLOOKUP(B11,'CC -2'!$B$8:$AQ$19,34,0)</f>
        <v>25</v>
      </c>
      <c r="G11" s="145">
        <f t="shared" si="3"/>
        <v>2200000</v>
      </c>
      <c r="H11" s="92">
        <f>(VLOOKUP(B11,'CC -2'!$B$8:$AQ$19,35,0)+VLOOKUP(B11,'CC -2'!$B$8:$AQ$19,36,0))</f>
        <v>0</v>
      </c>
      <c r="I11" s="145">
        <f t="shared" si="4"/>
        <v>0</v>
      </c>
      <c r="J11" s="93">
        <f t="shared" si="5"/>
        <v>25</v>
      </c>
      <c r="K11" s="39">
        <f t="shared" si="5"/>
        <v>2200000</v>
      </c>
      <c r="L11" s="90">
        <f t="shared" si="6"/>
        <v>375000</v>
      </c>
      <c r="M11" s="40">
        <f t="shared" si="7"/>
        <v>2575000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2575000</v>
      </c>
      <c r="R11" s="39">
        <f>VLOOKUP(B11,DS,23,0)</f>
        <v>0</v>
      </c>
      <c r="S11" s="45">
        <f t="shared" si="9"/>
        <v>2575000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9" t="s">
        <v>25</v>
      </c>
      <c r="B13" s="269"/>
      <c r="C13" s="269"/>
      <c r="D13" s="269"/>
      <c r="E13" s="140">
        <f>SUM(E9:E11)</f>
        <v>4700000</v>
      </c>
      <c r="F13" s="140"/>
      <c r="G13" s="140">
        <f>SUM(G9:G11)</f>
        <v>4700000</v>
      </c>
      <c r="H13" s="140"/>
      <c r="I13" s="140">
        <f>SUM(I9:I11)</f>
        <v>0</v>
      </c>
      <c r="J13" s="140"/>
      <c r="K13" s="140">
        <f>SUM(K9:K11)</f>
        <v>4700000</v>
      </c>
      <c r="L13" s="140">
        <f>SUM(L9:L11)</f>
        <v>750000</v>
      </c>
      <c r="M13" s="140">
        <f>SUM(M9:M11)</f>
        <v>5450000</v>
      </c>
      <c r="N13" s="140">
        <f>SUM(N9:N11)</f>
        <v>0</v>
      </c>
      <c r="O13" s="140">
        <f>SUM(O9:O11)</f>
        <v>0</v>
      </c>
      <c r="P13" s="140">
        <f>SUM(P9:P11)</f>
        <v>0</v>
      </c>
      <c r="Q13" s="140">
        <f>SUM(Q9:Q11)</f>
        <v>5450000</v>
      </c>
      <c r="R13" s="140">
        <f>SUM(R9:R11)</f>
        <v>0</v>
      </c>
      <c r="S13" s="140">
        <f>SUM(S9:S11)</f>
        <v>5450000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0">VLOOKUP(B15,DS,2,0)</f>
        <v>Nguyễn Trường Giang</v>
      </c>
      <c r="D15" s="116" t="str">
        <f t="shared" ref="D15" si="11">VLOOKUP(B15,DS,3,0)</f>
        <v>Thợ in</v>
      </c>
      <c r="E15" s="90">
        <f t="shared" ref="E15" si="12">VLOOKUP(B15,DS,4,0)</f>
        <v>2000000</v>
      </c>
      <c r="F15" s="92">
        <f>VLOOKUP(B15,'CC -2'!$B$8:$AQ$19,34,0)</f>
        <v>25</v>
      </c>
      <c r="G15" s="145">
        <f t="shared" ref="G15" si="13">ROUND(E15/$U$2*F15,0)</f>
        <v>2000000</v>
      </c>
      <c r="H15" s="92">
        <f>(VLOOKUP(B15,'CC -2'!$B$8:$AQ$19,35,0)+VLOOKUP(B15,'CC -2'!$B$8:$AQ$19,36,0))</f>
        <v>0</v>
      </c>
      <c r="I15" s="145">
        <f t="shared" ref="I15" si="14">ROUND(E15/$U$2*H15,0)</f>
        <v>0</v>
      </c>
      <c r="J15" s="146">
        <f t="shared" ref="J15:K15" si="15">F15+H15</f>
        <v>25</v>
      </c>
      <c r="K15" s="39">
        <f t="shared" si="15"/>
        <v>2000000</v>
      </c>
      <c r="L15" s="90">
        <f t="shared" ref="L15" si="16">+F15*15000</f>
        <v>375000</v>
      </c>
      <c r="M15" s="40">
        <f t="shared" ref="M15" si="17">K15+L15</f>
        <v>2375000</v>
      </c>
      <c r="N15" s="40">
        <f>IF(VLOOKUP(B15,DS,9,0)="x",'L - 2'!E15*$N$4,0)</f>
        <v>0</v>
      </c>
      <c r="O15" s="40">
        <f t="shared" ref="O15" si="18">IF(VLOOKUP(B15,DS,9,0)="x",E15*0.015,0)</f>
        <v>0</v>
      </c>
      <c r="P15" s="40">
        <f t="shared" ref="P15" si="19">IF(VLOOKUP(B15,DS,9,0)="x",E15*0.01,0)</f>
        <v>0</v>
      </c>
      <c r="Q15" s="39">
        <f>M15-SUM(N15:P15)</f>
        <v>2375000</v>
      </c>
      <c r="R15" s="39">
        <f t="shared" ref="R15" si="20">VLOOKUP(B15,DS,23,0)</f>
        <v>0</v>
      </c>
      <c r="S15" s="45">
        <f>Q15-R15</f>
        <v>2375000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1">VLOOKUP(B16,DS,2,0)</f>
        <v>Đoàn Hồng Phong</v>
      </c>
      <c r="D16" s="116" t="str">
        <f t="shared" ref="D16:D17" si="22">VLOOKUP(B16,DS,3,0)</f>
        <v>Thợ đóng - xả</v>
      </c>
      <c r="E16" s="90">
        <f t="shared" ref="E16:E17" si="23">VLOOKUP(B16,DS,4,0)</f>
        <v>2000000</v>
      </c>
      <c r="F16" s="92">
        <f>VLOOKUP(B16,'CC -2'!$B$8:$AQ$19,34,0)</f>
        <v>25</v>
      </c>
      <c r="G16" s="145">
        <f t="shared" ref="G16:G17" si="24">ROUND(E16/$U$2*F16,0)</f>
        <v>2000000</v>
      </c>
      <c r="H16" s="92">
        <f>(VLOOKUP(B16,'CC -2'!$B$8:$AQ$19,35,0)+VLOOKUP(B16,'CC -2'!$B$8:$AQ$19,36,0))</f>
        <v>0</v>
      </c>
      <c r="I16" s="145">
        <f t="shared" ref="I16:I17" si="25">ROUND(E16/$U$2*H16,0)</f>
        <v>0</v>
      </c>
      <c r="J16" s="146">
        <f t="shared" ref="J16:J17" si="26">F16+H16</f>
        <v>25</v>
      </c>
      <c r="K16" s="39">
        <f t="shared" ref="K16:K17" si="27">G16+I16</f>
        <v>2000000</v>
      </c>
      <c r="L16" s="90">
        <f t="shared" ref="L16:L17" si="28">+F16*15000</f>
        <v>375000</v>
      </c>
      <c r="M16" s="40">
        <f t="shared" ref="M16:M17" si="29">K16+L16</f>
        <v>2375000</v>
      </c>
      <c r="N16" s="40">
        <f>IF(VLOOKUP(B16,DS,9,0)="x",'L - 2'!E16*$N$4,0)</f>
        <v>0</v>
      </c>
      <c r="O16" s="40">
        <f t="shared" ref="O16:O17" si="30">IF(VLOOKUP(B16,DS,9,0)="x",E16*0.015,0)</f>
        <v>0</v>
      </c>
      <c r="P16" s="40">
        <f t="shared" ref="P16:P17" si="31">IF(VLOOKUP(B16,DS,9,0)="x",E16*0.01,0)</f>
        <v>0</v>
      </c>
      <c r="Q16" s="39">
        <f t="shared" ref="Q16:Q17" si="32">M16-SUM(N16:P16)</f>
        <v>2375000</v>
      </c>
      <c r="R16" s="39">
        <f t="shared" ref="R16:R17" si="33">VLOOKUP(B16,DS,23,0)</f>
        <v>0</v>
      </c>
      <c r="S16" s="45">
        <f t="shared" ref="S16:S17" si="34">Q16-R16</f>
        <v>2375000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1"/>
        <v>Trần Hữu Tình</v>
      </c>
      <c r="D17" s="116" t="str">
        <f t="shared" si="22"/>
        <v>Công nhân</v>
      </c>
      <c r="E17" s="90">
        <f t="shared" si="23"/>
        <v>1800000</v>
      </c>
      <c r="F17" s="92">
        <f>VLOOKUP(B17,'CC -2'!$B$8:$AQ$19,34,0)</f>
        <v>25</v>
      </c>
      <c r="G17" s="145">
        <f t="shared" si="24"/>
        <v>1800000</v>
      </c>
      <c r="H17" s="92">
        <f>(VLOOKUP(B17,'CC -2'!$B$8:$AQ$19,35,0)+VLOOKUP(B17,'CC -2'!$B$8:$AQ$19,36,0))</f>
        <v>0</v>
      </c>
      <c r="I17" s="145">
        <f t="shared" si="25"/>
        <v>0</v>
      </c>
      <c r="J17" s="146">
        <f t="shared" si="26"/>
        <v>25</v>
      </c>
      <c r="K17" s="39">
        <f t="shared" si="27"/>
        <v>1800000</v>
      </c>
      <c r="L17" s="90">
        <f t="shared" si="28"/>
        <v>375000</v>
      </c>
      <c r="M17" s="40">
        <f t="shared" si="29"/>
        <v>2175000</v>
      </c>
      <c r="N17" s="40">
        <f>IF(VLOOKUP(B17,DS,9,0)="x",'L - 2'!E17*$N$4,0)</f>
        <v>0</v>
      </c>
      <c r="O17" s="40">
        <f t="shared" si="30"/>
        <v>0</v>
      </c>
      <c r="P17" s="40">
        <f t="shared" si="31"/>
        <v>0</v>
      </c>
      <c r="Q17" s="39">
        <f t="shared" si="32"/>
        <v>2175000</v>
      </c>
      <c r="R17" s="39">
        <f t="shared" si="33"/>
        <v>0</v>
      </c>
      <c r="S17" s="45">
        <f t="shared" si="34"/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9" t="s">
        <v>25</v>
      </c>
      <c r="B19" s="269"/>
      <c r="C19" s="269"/>
      <c r="D19" s="269"/>
      <c r="E19" s="140">
        <f>SUM(E14:E18)</f>
        <v>5800000</v>
      </c>
      <c r="F19" s="140"/>
      <c r="G19" s="140">
        <f>SUM(G14:G18)</f>
        <v>5800000</v>
      </c>
      <c r="H19" s="140"/>
      <c r="I19" s="140">
        <f>SUM(I14:I18)</f>
        <v>0</v>
      </c>
      <c r="J19" s="140"/>
      <c r="K19" s="140">
        <f>SUM(K14:K18)</f>
        <v>5800000</v>
      </c>
      <c r="L19" s="140">
        <f>SUM(L14:L18)</f>
        <v>1125000</v>
      </c>
      <c r="M19" s="140">
        <f>SUM(M14:M18)</f>
        <v>6925000</v>
      </c>
      <c r="N19" s="140">
        <f>SUM(N14:N18)</f>
        <v>0</v>
      </c>
      <c r="O19" s="140">
        <f>SUM(O14:O18)</f>
        <v>0</v>
      </c>
      <c r="P19" s="140">
        <f>SUM(P14:P18)</f>
        <v>0</v>
      </c>
      <c r="Q19" s="140">
        <f>SUM(Q14:Q18)</f>
        <v>6925000</v>
      </c>
      <c r="R19" s="140">
        <f>SUM(R14:R18)</f>
        <v>0</v>
      </c>
      <c r="S19" s="140">
        <f>SUM(S14:S18)</f>
        <v>6925000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02   năm 2012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3:D13"/>
    <mergeCell ref="A19:D19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13" activePane="bottomRight" state="frozen"/>
      <selection activeCell="X10" sqref="X10"/>
      <selection pane="topRight" activeCell="X10" sqref="X10"/>
      <selection pane="bottomLeft" activeCell="X10" sqref="X10"/>
      <selection pane="bottomRight" activeCell="E20" sqref="A20:XFD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20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185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40969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57" t="s">
        <v>29</v>
      </c>
      <c r="E5" s="263" t="s">
        <v>30</v>
      </c>
      <c r="F5" s="118">
        <f>+E4</f>
        <v>40969</v>
      </c>
      <c r="G5" s="118">
        <f t="shared" ref="G5:AJ5" si="0">F5+1</f>
        <v>40970</v>
      </c>
      <c r="H5" s="118">
        <f t="shared" si="0"/>
        <v>40971</v>
      </c>
      <c r="I5" s="118">
        <f t="shared" si="0"/>
        <v>40972</v>
      </c>
      <c r="J5" s="118">
        <f t="shared" si="0"/>
        <v>40973</v>
      </c>
      <c r="K5" s="118">
        <f t="shared" si="0"/>
        <v>40974</v>
      </c>
      <c r="L5" s="118">
        <f t="shared" si="0"/>
        <v>40975</v>
      </c>
      <c r="M5" s="118">
        <f t="shared" si="0"/>
        <v>40976</v>
      </c>
      <c r="N5" s="118">
        <f t="shared" si="0"/>
        <v>40977</v>
      </c>
      <c r="O5" s="118">
        <f t="shared" si="0"/>
        <v>40978</v>
      </c>
      <c r="P5" s="118">
        <f t="shared" si="0"/>
        <v>40979</v>
      </c>
      <c r="Q5" s="118">
        <f t="shared" si="0"/>
        <v>40980</v>
      </c>
      <c r="R5" s="118">
        <f t="shared" si="0"/>
        <v>40981</v>
      </c>
      <c r="S5" s="118">
        <f t="shared" si="0"/>
        <v>40982</v>
      </c>
      <c r="T5" s="118">
        <f t="shared" si="0"/>
        <v>40983</v>
      </c>
      <c r="U5" s="118">
        <f t="shared" si="0"/>
        <v>40984</v>
      </c>
      <c r="V5" s="118">
        <f t="shared" si="0"/>
        <v>40985</v>
      </c>
      <c r="W5" s="118">
        <f t="shared" si="0"/>
        <v>40986</v>
      </c>
      <c r="X5" s="118">
        <f t="shared" si="0"/>
        <v>40987</v>
      </c>
      <c r="Y5" s="118">
        <f t="shared" si="0"/>
        <v>40988</v>
      </c>
      <c r="Z5" s="118">
        <f t="shared" si="0"/>
        <v>40989</v>
      </c>
      <c r="AA5" s="118">
        <f t="shared" si="0"/>
        <v>40990</v>
      </c>
      <c r="AB5" s="118">
        <f t="shared" si="0"/>
        <v>40991</v>
      </c>
      <c r="AC5" s="118">
        <f t="shared" si="0"/>
        <v>40992</v>
      </c>
      <c r="AD5" s="118">
        <f t="shared" si="0"/>
        <v>40993</v>
      </c>
      <c r="AE5" s="118">
        <f t="shared" si="0"/>
        <v>40994</v>
      </c>
      <c r="AF5" s="118">
        <f t="shared" si="0"/>
        <v>40995</v>
      </c>
      <c r="AG5" s="118">
        <f t="shared" si="0"/>
        <v>40996</v>
      </c>
      <c r="AH5" s="118">
        <f>AG5+1</f>
        <v>40997</v>
      </c>
      <c r="AI5" s="118">
        <f t="shared" si="0"/>
        <v>40998</v>
      </c>
      <c r="AJ5" s="118">
        <f t="shared" si="0"/>
        <v>40999</v>
      </c>
      <c r="AK5" s="264" t="s">
        <v>15</v>
      </c>
      <c r="AL5" s="265"/>
      <c r="AM5" s="266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7" t="s">
        <v>0</v>
      </c>
      <c r="AT5" s="25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8"/>
      <c r="B6" s="258"/>
      <c r="C6" s="258"/>
      <c r="D6" s="258"/>
      <c r="E6" s="258"/>
      <c r="F6" s="174" t="str">
        <f>CHOOSE(WEEKDAY(F5),"C.Nhật","T.Hai","T.Ba","T.Tư","T.Năm","T.Sáu","T.Bảy")</f>
        <v>T.Năm</v>
      </c>
      <c r="G6" s="174" t="str">
        <f t="shared" ref="G6:AJ6" si="1">CHOOSE(WEEKDAY(G5),"C.Nhật","T.Hai","T.Ba","T.Tư","T.Năm","T.Sáu","T.Bảy")</f>
        <v>T.Sáu</v>
      </c>
      <c r="H6" s="174" t="str">
        <f t="shared" si="1"/>
        <v>T.Bảy</v>
      </c>
      <c r="I6" s="174" t="str">
        <f t="shared" si="1"/>
        <v>C.Nhật</v>
      </c>
      <c r="J6" s="174" t="str">
        <f t="shared" si="1"/>
        <v>T.Hai</v>
      </c>
      <c r="K6" s="174" t="str">
        <f t="shared" si="1"/>
        <v>T.Ba</v>
      </c>
      <c r="L6" s="174" t="str">
        <f t="shared" si="1"/>
        <v>T.Tư</v>
      </c>
      <c r="M6" s="174" t="str">
        <f t="shared" si="1"/>
        <v>T.Năm</v>
      </c>
      <c r="N6" s="174" t="str">
        <f t="shared" si="1"/>
        <v>T.Sáu</v>
      </c>
      <c r="O6" s="174" t="str">
        <f t="shared" si="1"/>
        <v>T.Bảy</v>
      </c>
      <c r="P6" s="174" t="str">
        <f t="shared" si="1"/>
        <v>C.Nhật</v>
      </c>
      <c r="Q6" s="174" t="str">
        <f t="shared" si="1"/>
        <v>T.Hai</v>
      </c>
      <c r="R6" s="174" t="str">
        <f t="shared" si="1"/>
        <v>T.Ba</v>
      </c>
      <c r="S6" s="174" t="str">
        <f t="shared" si="1"/>
        <v>T.Tư</v>
      </c>
      <c r="T6" s="174" t="str">
        <f t="shared" si="1"/>
        <v>T.Năm</v>
      </c>
      <c r="U6" s="174" t="str">
        <f t="shared" si="1"/>
        <v>T.Sáu</v>
      </c>
      <c r="V6" s="174" t="str">
        <f t="shared" si="1"/>
        <v>T.Bảy</v>
      </c>
      <c r="W6" s="174" t="str">
        <f t="shared" si="1"/>
        <v>C.Nhật</v>
      </c>
      <c r="X6" s="174" t="str">
        <f t="shared" si="1"/>
        <v>T.Hai</v>
      </c>
      <c r="Y6" s="174" t="str">
        <f t="shared" si="1"/>
        <v>T.Ba</v>
      </c>
      <c r="Z6" s="174" t="str">
        <f t="shared" si="1"/>
        <v>T.Tư</v>
      </c>
      <c r="AA6" s="174" t="str">
        <f t="shared" si="1"/>
        <v>T.Năm</v>
      </c>
      <c r="AB6" s="174" t="str">
        <f t="shared" si="1"/>
        <v>T.Sáu</v>
      </c>
      <c r="AC6" s="174" t="str">
        <f t="shared" si="1"/>
        <v>T.Bảy</v>
      </c>
      <c r="AD6" s="174" t="str">
        <f t="shared" si="1"/>
        <v>C.Nhật</v>
      </c>
      <c r="AE6" s="174" t="str">
        <f t="shared" si="1"/>
        <v>T.Hai</v>
      </c>
      <c r="AF6" s="174" t="str">
        <f t="shared" si="1"/>
        <v>T.Ba</v>
      </c>
      <c r="AG6" s="174" t="str">
        <f t="shared" si="1"/>
        <v>T.Tư</v>
      </c>
      <c r="AH6" s="174" t="str">
        <f t="shared" si="1"/>
        <v>T.Năm</v>
      </c>
      <c r="AI6" s="174" t="str">
        <f t="shared" si="1"/>
        <v>T.Sáu</v>
      </c>
      <c r="AJ6" s="174" t="str">
        <f t="shared" si="1"/>
        <v>T.Bảy</v>
      </c>
      <c r="AK6" s="175" t="s">
        <v>16</v>
      </c>
      <c r="AL6" s="175" t="s">
        <v>31</v>
      </c>
      <c r="AM6" s="176" t="s">
        <v>17</v>
      </c>
      <c r="AN6" s="256"/>
      <c r="AO6" s="256"/>
      <c r="AP6" s="256"/>
      <c r="AQ6" s="256"/>
      <c r="AR6" s="256"/>
      <c r="AS6" s="258"/>
      <c r="AT6" s="25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2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184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7">
        <v>1</v>
      </c>
      <c r="B9" s="247" t="s">
        <v>162</v>
      </c>
      <c r="C9" s="249" t="str">
        <f>VLOOKUP(B9,DS,2,0)</f>
        <v>Phan Văn Hiền</v>
      </c>
      <c r="D9" s="251" t="str">
        <f>VLOOKUP(B9,DS,3,0)</f>
        <v>Quản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53">
        <f>((SUM(F9:AJ9))/8)-(SUMIF($F$6:$AJ$6,"C.Nhật",F9:AJ9)/8)</f>
        <v>27</v>
      </c>
      <c r="AL9" s="253">
        <f>SUM(F10:AJ10)/8*1.5</f>
        <v>0</v>
      </c>
      <c r="AM9" s="241">
        <f>SUMIF($F$6:$AJ$6,"C.Nhật",$F9:$AJ10)/8*2</f>
        <v>0</v>
      </c>
      <c r="AN9" s="243">
        <f>SUM(AK9:AM10)</f>
        <v>27</v>
      </c>
      <c r="AO9" s="245">
        <v>0</v>
      </c>
      <c r="AP9" s="243"/>
      <c r="AQ9" s="243"/>
      <c r="AR9" s="243"/>
      <c r="AS9" s="239"/>
      <c r="AT9" s="22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4"/>
      <c r="AL10" s="254"/>
      <c r="AM10" s="242"/>
      <c r="AN10" s="244"/>
      <c r="AO10" s="246"/>
      <c r="AP10" s="244"/>
      <c r="AQ10" s="244"/>
      <c r="AR10" s="244"/>
      <c r="AS10" s="240"/>
      <c r="AT10" s="22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v>2</v>
      </c>
      <c r="B11" s="247" t="s">
        <v>183</v>
      </c>
      <c r="C11" s="249" t="str">
        <f>VLOOKUP(B11,DS,2,0)</f>
        <v>Nguyễn Thị Thu Sương</v>
      </c>
      <c r="D11" s="251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>
        <v>8</v>
      </c>
      <c r="AK11" s="253">
        <f t="shared" ref="AK11" si="2">((SUM(F11:AJ11))/8)-(SUMIF($F$6:$AJ$6,"C.Nhật",F11:AJ11)/8)</f>
        <v>27</v>
      </c>
      <c r="AL11" s="253">
        <f t="shared" ref="AL11" si="3">SUM(F12:AJ12)/8*1.5</f>
        <v>0</v>
      </c>
      <c r="AM11" s="241">
        <f t="shared" ref="AM11" si="4">SUMIF($F$6:$AJ$6,"C.Nhật",$F11:$AJ12)/8*2</f>
        <v>0</v>
      </c>
      <c r="AN11" s="243">
        <f t="shared" ref="AN11" si="5">SUM(AK11:AM12)</f>
        <v>27</v>
      </c>
      <c r="AO11" s="245">
        <v>0</v>
      </c>
      <c r="AP11" s="243"/>
      <c r="AQ11" s="243"/>
      <c r="AR11" s="243"/>
      <c r="AS11" s="239"/>
      <c r="AT11" s="22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4"/>
      <c r="AL12" s="254"/>
      <c r="AM12" s="242"/>
      <c r="AN12" s="244"/>
      <c r="AO12" s="246"/>
      <c r="AP12" s="244"/>
      <c r="AQ12" s="244"/>
      <c r="AR12" s="244"/>
      <c r="AS12" s="240"/>
      <c r="AT12" s="22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7">
        <v>1</v>
      </c>
      <c r="B14" s="247" t="s">
        <v>163</v>
      </c>
      <c r="C14" s="249" t="str">
        <f>VLOOKUP(B14,DS,2,0)</f>
        <v>Nguyễn Trường Giang</v>
      </c>
      <c r="D14" s="251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/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/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/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/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>
        <v>8</v>
      </c>
      <c r="AK14" s="253">
        <f t="shared" ref="AK14" si="6">((SUM(F14:AJ14))/8)-(SUMIF($F$6:$AJ$6,"C.Nhật",F14:AJ14)/8)</f>
        <v>27</v>
      </c>
      <c r="AL14" s="253">
        <f t="shared" ref="AL14" si="7">SUM(F15:AJ15)/8*1.5</f>
        <v>0</v>
      </c>
      <c r="AM14" s="241">
        <f>SUMIF($F$6:$AJ$6,"C.Nhật",$F14:$AJ15)/8*2</f>
        <v>0</v>
      </c>
      <c r="AN14" s="243">
        <f>SUM(AK14:AM15)</f>
        <v>27</v>
      </c>
      <c r="AO14" s="245">
        <v>0</v>
      </c>
      <c r="AP14" s="243"/>
      <c r="AQ14" s="243"/>
      <c r="AR14" s="243"/>
      <c r="AS14" s="239"/>
      <c r="AT14" s="22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8"/>
      <c r="B15" s="248"/>
      <c r="C15" s="250"/>
      <c r="D15" s="252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54"/>
      <c r="AL15" s="254"/>
      <c r="AM15" s="242"/>
      <c r="AN15" s="244"/>
      <c r="AO15" s="246"/>
      <c r="AP15" s="244"/>
      <c r="AQ15" s="244"/>
      <c r="AR15" s="244"/>
      <c r="AS15" s="240"/>
      <c r="AT15" s="22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7">
        <f>A14+1</f>
        <v>2</v>
      </c>
      <c r="B16" s="247" t="s">
        <v>164</v>
      </c>
      <c r="C16" s="249" t="str">
        <f>VLOOKUP(B16,DS,2,0)</f>
        <v>Đoàn Hồng Phong</v>
      </c>
      <c r="D16" s="251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53">
        <f t="shared" ref="AK16" si="8">((SUM(F16:AJ16))/8)-(SUMIF($F$6:$AJ$6,"C.Nhật",F16:AJ16)/8)</f>
        <v>27</v>
      </c>
      <c r="AL16" s="253">
        <f t="shared" ref="AL16" si="9">SUM(F17:AJ17)/8*1.5</f>
        <v>0</v>
      </c>
      <c r="AM16" s="241">
        <f>SUMIF($F$6:$AJ$6,"C.Nhật",$F16:$AJ17)/8*2</f>
        <v>0</v>
      </c>
      <c r="AN16" s="243">
        <f t="shared" ref="AN16" si="10">SUM(AK16:AM17)</f>
        <v>27</v>
      </c>
      <c r="AO16" s="245">
        <v>0</v>
      </c>
      <c r="AP16" s="243"/>
      <c r="AQ16" s="243"/>
      <c r="AR16" s="243"/>
      <c r="AS16" s="239"/>
      <c r="AT16" s="22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4"/>
      <c r="AL17" s="254"/>
      <c r="AM17" s="242"/>
      <c r="AN17" s="244"/>
      <c r="AO17" s="246"/>
      <c r="AP17" s="244"/>
      <c r="AQ17" s="244"/>
      <c r="AR17" s="244"/>
      <c r="AS17" s="240"/>
      <c r="AT17" s="22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8" customHeight="1">
      <c r="A18" s="247">
        <f t="shared" ref="A18" si="11">A16+1</f>
        <v>3</v>
      </c>
      <c r="B18" s="247" t="s">
        <v>165</v>
      </c>
      <c r="C18" s="249" t="str">
        <f>VLOOKUP(B18,DS,2,0)</f>
        <v>Trần Hữu Tình</v>
      </c>
      <c r="D18" s="251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>
        <v>8</v>
      </c>
      <c r="AK18" s="253">
        <f t="shared" ref="AK18" si="12">((SUM(F18:AJ18))/8)-(SUMIF($F$6:$AJ$6,"C.Nhật",F18:AJ18)/8)</f>
        <v>27</v>
      </c>
      <c r="AL18" s="253">
        <f t="shared" ref="AL18" si="13">SUM(F19:AJ19)/8*1.5</f>
        <v>0</v>
      </c>
      <c r="AM18" s="241">
        <f>SUMIF($F$6:$AJ$6,"C.Nhật",$F18:$AJ19)/8*2</f>
        <v>0</v>
      </c>
      <c r="AN18" s="243">
        <f t="shared" ref="AN18" si="14">SUM(AK18:AM19)</f>
        <v>27</v>
      </c>
      <c r="AO18" s="245">
        <v>0</v>
      </c>
      <c r="AP18" s="243"/>
      <c r="AQ18" s="243"/>
      <c r="AR18" s="243"/>
      <c r="AS18" s="239"/>
      <c r="AT18" s="22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4"/>
      <c r="AL19" s="254"/>
      <c r="AM19" s="242"/>
      <c r="AN19" s="244"/>
      <c r="AO19" s="246"/>
      <c r="AP19" s="244"/>
      <c r="AQ19" s="244"/>
      <c r="AR19" s="244"/>
      <c r="AS19" s="240"/>
      <c r="AT19" s="22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1" s="73" customFormat="1" ht="12.75">
      <c r="A27" s="2"/>
      <c r="B27" s="2" t="s">
        <v>0</v>
      </c>
      <c r="C27" s="2"/>
      <c r="D27" s="220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1" s="73" customFormat="1" ht="12.75">
      <c r="A28" s="2"/>
      <c r="B28" s="2"/>
      <c r="C28" s="2" t="s">
        <v>46</v>
      </c>
      <c r="D28" s="220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20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124"/>
      <c r="AK31" s="2"/>
      <c r="AL31" s="2"/>
      <c r="AM31" s="100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20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124"/>
      <c r="AK32" s="2"/>
      <c r="AL32" s="2"/>
      <c r="AM32" s="100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20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20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20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20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18:A19"/>
    <mergeCell ref="B18:B19"/>
    <mergeCell ref="C18:C19"/>
    <mergeCell ref="D18:D19"/>
    <mergeCell ref="AK18:AK19"/>
    <mergeCell ref="AL18:AL19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S18:AS19"/>
    <mergeCell ref="AM18:AM19"/>
    <mergeCell ref="AN18:AN19"/>
    <mergeCell ref="AO18:AO19"/>
    <mergeCell ref="AP18:AP19"/>
    <mergeCell ref="AQ18:AQ19"/>
    <mergeCell ref="AR18:AR19"/>
    <mergeCell ref="AP16:AP17"/>
    <mergeCell ref="AQ16:AQ17"/>
    <mergeCell ref="AR16:AR17"/>
    <mergeCell ref="AS16:AS17"/>
  </mergeCells>
  <conditionalFormatting sqref="F5:AJ6 F9:AJ12">
    <cfRule type="expression" dxfId="133" priority="15" stopIfTrue="1">
      <formula>IF(WEEKDAY(F$5)=1,TRUE,FALSE)</formula>
    </cfRule>
  </conditionalFormatting>
  <conditionalFormatting sqref="F9:AJ12">
    <cfRule type="expression" dxfId="132" priority="14" stopIfTrue="1">
      <formula>IF(WEEKDAY(F$5)=1,TRUE,FALSE)</formula>
    </cfRule>
  </conditionalFormatting>
  <conditionalFormatting sqref="F14:AJ19">
    <cfRule type="expression" dxfId="131" priority="4" stopIfTrue="1">
      <formula>IF(WEEKDAY(F$5)=1,TRUE,FALSE)</formula>
    </cfRule>
  </conditionalFormatting>
  <conditionalFormatting sqref="F14:AJ19">
    <cfRule type="expression" dxfId="130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A18" sqref="A18:XFD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4"/>
      <c r="C1" s="224"/>
      <c r="D1" s="277" t="str">
        <f>"BẢNG THANH TOÁN LƯƠNG THÁNG"&amp;" "&amp;TEXT($E$4,"mm")&amp;" / "&amp;TEXT($E$4,"yyyy")</f>
        <v>BẢNG THANH TOÁN LƯƠNG THÁNG 03 / 2012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9" t="s">
        <v>185</v>
      </c>
      <c r="S1" s="280"/>
      <c r="T1" s="28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4"/>
      <c r="C2" s="224"/>
      <c r="D2" s="224"/>
      <c r="E2" s="81"/>
      <c r="F2" s="224"/>
      <c r="G2" s="224"/>
      <c r="H2" s="224"/>
      <c r="I2" s="224"/>
      <c r="J2" s="82"/>
      <c r="K2" s="224"/>
      <c r="L2" s="224"/>
      <c r="M2" s="224"/>
      <c r="N2" s="224"/>
      <c r="O2" s="224"/>
      <c r="P2" s="224"/>
      <c r="Q2" s="224"/>
      <c r="R2" s="224"/>
      <c r="S2" s="224"/>
      <c r="T2" s="59"/>
      <c r="U2" s="80">
        <f>MAX(F10:F19)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4"/>
      <c r="C3" s="224"/>
      <c r="D3" s="224"/>
      <c r="E3" s="81"/>
      <c r="F3" s="224"/>
      <c r="G3" s="224"/>
      <c r="H3" s="224"/>
      <c r="I3" s="224"/>
      <c r="J3" s="82"/>
      <c r="K3" s="224"/>
      <c r="L3" s="224"/>
      <c r="M3" s="224"/>
      <c r="N3" s="224"/>
      <c r="O3" s="224"/>
      <c r="P3" s="224"/>
      <c r="Q3" s="224"/>
      <c r="R3" s="224"/>
      <c r="S3" s="224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-3'!$E$4</f>
        <v>40969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2" t="s">
        <v>19</v>
      </c>
      <c r="B5" s="282" t="s">
        <v>20</v>
      </c>
      <c r="C5" s="232" t="s">
        <v>1</v>
      </c>
      <c r="D5" s="232" t="s">
        <v>2</v>
      </c>
      <c r="E5" s="227" t="s">
        <v>56</v>
      </c>
      <c r="F5" s="270" t="s">
        <v>26</v>
      </c>
      <c r="G5" s="272"/>
      <c r="H5" s="272"/>
      <c r="I5" s="272"/>
      <c r="J5" s="272"/>
      <c r="K5" s="271"/>
      <c r="L5" s="267" t="s">
        <v>57</v>
      </c>
      <c r="M5" s="267" t="s">
        <v>5</v>
      </c>
      <c r="N5" s="232" t="s">
        <v>6</v>
      </c>
      <c r="O5" s="232"/>
      <c r="P5" s="232"/>
      <c r="Q5" s="267" t="s">
        <v>7</v>
      </c>
      <c r="R5" s="267" t="s">
        <v>8</v>
      </c>
      <c r="S5" s="267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3"/>
      <c r="B6" s="283"/>
      <c r="C6" s="232"/>
      <c r="D6" s="232"/>
      <c r="E6" s="227"/>
      <c r="F6" s="270" t="s">
        <v>59</v>
      </c>
      <c r="G6" s="271"/>
      <c r="H6" s="270" t="s">
        <v>158</v>
      </c>
      <c r="I6" s="272"/>
      <c r="J6" s="273" t="s">
        <v>27</v>
      </c>
      <c r="K6" s="267" t="s">
        <v>4</v>
      </c>
      <c r="L6" s="268"/>
      <c r="M6" s="268"/>
      <c r="N6" s="275" t="s">
        <v>12</v>
      </c>
      <c r="O6" s="267" t="s">
        <v>13</v>
      </c>
      <c r="P6" s="267" t="s">
        <v>34</v>
      </c>
      <c r="Q6" s="268"/>
      <c r="R6" s="268"/>
      <c r="S6" s="268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3"/>
      <c r="B7" s="283"/>
      <c r="C7" s="267"/>
      <c r="D7" s="267"/>
      <c r="E7" s="227"/>
      <c r="F7" s="223" t="s">
        <v>40</v>
      </c>
      <c r="G7" s="221" t="s">
        <v>18</v>
      </c>
      <c r="H7" s="223" t="s">
        <v>40</v>
      </c>
      <c r="I7" s="128" t="s">
        <v>18</v>
      </c>
      <c r="J7" s="274"/>
      <c r="K7" s="268"/>
      <c r="L7" s="284"/>
      <c r="M7" s="284"/>
      <c r="N7" s="276"/>
      <c r="O7" s="268"/>
      <c r="P7" s="268"/>
      <c r="Q7" s="268"/>
      <c r="R7" s="268"/>
      <c r="S7" s="268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186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2500000</v>
      </c>
      <c r="F10" s="92">
        <f>VLOOKUP(B10,'CC -3'!$B$8:$AS$19,36,0)</f>
        <v>27</v>
      </c>
      <c r="G10" s="145">
        <f t="shared" ref="G10:G11" si="3">ROUND(E10/$U$2*F10,0)</f>
        <v>2500000</v>
      </c>
      <c r="H10" s="92">
        <f>(VLOOKUP(B10,'CC -3'!$B$8:$AS$19,37,0)+VLOOKUP(B10,'CC -3'!$B$8:$AS$19,38,0))</f>
        <v>0</v>
      </c>
      <c r="I10" s="145">
        <f t="shared" ref="I10:I11" si="4">ROUND(E10/$U$2*H10,0)</f>
        <v>0</v>
      </c>
      <c r="J10" s="93">
        <f t="shared" ref="J10:K11" si="5">F10+H10</f>
        <v>27</v>
      </c>
      <c r="K10" s="39">
        <f>G10+I10</f>
        <v>2500000</v>
      </c>
      <c r="L10" s="90">
        <f t="shared" ref="L10:L11" si="6">+F10*15000</f>
        <v>405000</v>
      </c>
      <c r="M10" s="40">
        <f t="shared" ref="M10:M11" si="7">K10+L10</f>
        <v>2905000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2905000</v>
      </c>
      <c r="R10" s="39">
        <f>VLOOKUP(B10,DS,23,0)</f>
        <v>0</v>
      </c>
      <c r="S10" s="45">
        <f t="shared" ref="S10:S11" si="9">Q10-R10</f>
        <v>2905000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183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2200000</v>
      </c>
      <c r="F11" s="92">
        <f>VLOOKUP(B11,'CC -3'!$B$8:$AS$19,36,0)</f>
        <v>27</v>
      </c>
      <c r="G11" s="145">
        <f t="shared" si="3"/>
        <v>2200000</v>
      </c>
      <c r="H11" s="92">
        <f>(VLOOKUP(B11,'CC -3'!$B$8:$AS$19,37,0)+VLOOKUP(B11,'CC -3'!$B$8:$AS$19,38,0))</f>
        <v>0</v>
      </c>
      <c r="I11" s="145">
        <f t="shared" si="4"/>
        <v>0</v>
      </c>
      <c r="J11" s="93">
        <f t="shared" si="5"/>
        <v>27</v>
      </c>
      <c r="K11" s="39">
        <f t="shared" si="5"/>
        <v>2200000</v>
      </c>
      <c r="L11" s="90">
        <f t="shared" si="6"/>
        <v>405000</v>
      </c>
      <c r="M11" s="40">
        <f t="shared" si="7"/>
        <v>2605000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2605000</v>
      </c>
      <c r="R11" s="39">
        <f>VLOOKUP(B11,DS,23,0)</f>
        <v>0</v>
      </c>
      <c r="S11" s="45">
        <f t="shared" si="9"/>
        <v>2605000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9" t="s">
        <v>25</v>
      </c>
      <c r="B13" s="269"/>
      <c r="C13" s="269"/>
      <c r="D13" s="269"/>
      <c r="E13" s="140">
        <f>SUM(E9:E11)</f>
        <v>4700000</v>
      </c>
      <c r="F13" s="140"/>
      <c r="G13" s="140">
        <f>SUM(G9:G11)</f>
        <v>4700000</v>
      </c>
      <c r="H13" s="140"/>
      <c r="I13" s="140">
        <f>SUM(I9:I11)</f>
        <v>0</v>
      </c>
      <c r="J13" s="140"/>
      <c r="K13" s="140">
        <f>SUM(K9:K11)</f>
        <v>4700000</v>
      </c>
      <c r="L13" s="140">
        <f>SUM(L9:L11)</f>
        <v>810000</v>
      </c>
      <c r="M13" s="140">
        <f>SUM(M9:M11)</f>
        <v>5510000</v>
      </c>
      <c r="N13" s="140">
        <f>SUM(N9:N11)</f>
        <v>0</v>
      </c>
      <c r="O13" s="140">
        <f>SUM(O9:O11)</f>
        <v>0</v>
      </c>
      <c r="P13" s="140">
        <f>SUM(P9:P11)</f>
        <v>0</v>
      </c>
      <c r="Q13" s="140">
        <f>SUM(Q9:Q11)</f>
        <v>5510000</v>
      </c>
      <c r="R13" s="140">
        <f>SUM(R9:R11)</f>
        <v>0</v>
      </c>
      <c r="S13" s="140">
        <f>SUM(S9:S11)</f>
        <v>5510000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0">VLOOKUP(B15,DS,2,0)</f>
        <v>Nguyễn Trường Giang</v>
      </c>
      <c r="D15" s="116" t="str">
        <f t="shared" ref="D15" si="11">VLOOKUP(B15,DS,3,0)</f>
        <v>Thợ in</v>
      </c>
      <c r="E15" s="90">
        <f t="shared" ref="E15" si="12">VLOOKUP(B15,DS,4,0)</f>
        <v>2000000</v>
      </c>
      <c r="F15" s="92">
        <f>VLOOKUP(B15,'CC -3'!$B$8:$AS$19,36,0)</f>
        <v>27</v>
      </c>
      <c r="G15" s="145">
        <f t="shared" ref="G15" si="13">ROUND(E15/$U$2*F15,0)</f>
        <v>2000000</v>
      </c>
      <c r="H15" s="92">
        <f>(VLOOKUP(B15,'CC -3'!$B$8:$AS$19,37,0)+VLOOKUP(B15,'CC -3'!$B$8:$AS$19,38,0))</f>
        <v>0</v>
      </c>
      <c r="I15" s="145">
        <f t="shared" ref="I15" si="14">ROUND(E15/$U$2*H15,0)</f>
        <v>0</v>
      </c>
      <c r="J15" s="146">
        <f t="shared" ref="J15:K15" si="15">F15+H15</f>
        <v>27</v>
      </c>
      <c r="K15" s="39">
        <f t="shared" si="15"/>
        <v>2000000</v>
      </c>
      <c r="L15" s="90">
        <f t="shared" ref="L15" si="16">+F15*15000</f>
        <v>405000</v>
      </c>
      <c r="M15" s="40">
        <f t="shared" ref="M15" si="17">K15+L15</f>
        <v>2405000</v>
      </c>
      <c r="N15" s="40">
        <f>IF(VLOOKUP(B15,DS,9,0)="x",'L - 3'!E15*$N$4,0)</f>
        <v>0</v>
      </c>
      <c r="O15" s="40">
        <f t="shared" ref="O15" si="18">IF(VLOOKUP(B15,DS,9,0)="x",E15*0.015,0)</f>
        <v>0</v>
      </c>
      <c r="P15" s="40">
        <f t="shared" ref="P15" si="19">IF(VLOOKUP(B15,DS,9,0)="x",E15*0.01,0)</f>
        <v>0</v>
      </c>
      <c r="Q15" s="39">
        <f>M15-SUM(N15:P15)</f>
        <v>2405000</v>
      </c>
      <c r="R15" s="39">
        <f t="shared" ref="R15" si="20">VLOOKUP(B15,DS,23,0)</f>
        <v>0</v>
      </c>
      <c r="S15" s="45">
        <f>Q15-R15</f>
        <v>2405000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1">VLOOKUP(B16,DS,2,0)</f>
        <v>Đoàn Hồng Phong</v>
      </c>
      <c r="D16" s="116" t="str">
        <f t="shared" ref="D16:D17" si="22">VLOOKUP(B16,DS,3,0)</f>
        <v>Thợ đóng - xả</v>
      </c>
      <c r="E16" s="90">
        <f t="shared" ref="E16:E17" si="23">VLOOKUP(B16,DS,4,0)</f>
        <v>2000000</v>
      </c>
      <c r="F16" s="92">
        <f>VLOOKUP(B16,'CC -3'!$B$8:$AS$19,36,0)</f>
        <v>27</v>
      </c>
      <c r="G16" s="145">
        <f t="shared" ref="G16:G17" si="24">ROUND(E16/$U$2*F16,0)</f>
        <v>2000000</v>
      </c>
      <c r="H16" s="92">
        <f>(VLOOKUP(B16,'CC -3'!$B$8:$AS$19,37,0)+VLOOKUP(B16,'CC -3'!$B$8:$AS$19,38,0))</f>
        <v>0</v>
      </c>
      <c r="I16" s="145">
        <f t="shared" ref="I16:I17" si="25">ROUND(E16/$U$2*H16,0)</f>
        <v>0</v>
      </c>
      <c r="J16" s="146">
        <f t="shared" ref="J16:J17" si="26">F16+H16</f>
        <v>27</v>
      </c>
      <c r="K16" s="39">
        <f t="shared" ref="K16:K17" si="27">G16+I16</f>
        <v>2000000</v>
      </c>
      <c r="L16" s="90">
        <f t="shared" ref="L16:L17" si="28">+F16*15000</f>
        <v>405000</v>
      </c>
      <c r="M16" s="40">
        <f t="shared" ref="M16:M17" si="29">K16+L16</f>
        <v>2405000</v>
      </c>
      <c r="N16" s="40">
        <f>IF(VLOOKUP(B16,DS,9,0)="x",'L - 3'!E16*$N$4,0)</f>
        <v>0</v>
      </c>
      <c r="O16" s="40">
        <f t="shared" ref="O16:O17" si="30">IF(VLOOKUP(B16,DS,9,0)="x",E16*0.015,0)</f>
        <v>0</v>
      </c>
      <c r="P16" s="40">
        <f t="shared" ref="P16:P17" si="31">IF(VLOOKUP(B16,DS,9,0)="x",E16*0.01,0)</f>
        <v>0</v>
      </c>
      <c r="Q16" s="39">
        <f t="shared" ref="Q16:Q17" si="32">M16-SUM(N16:P16)</f>
        <v>2405000</v>
      </c>
      <c r="R16" s="39">
        <f t="shared" ref="R16:R17" si="33">VLOOKUP(B16,DS,23,0)</f>
        <v>0</v>
      </c>
      <c r="S16" s="45">
        <f t="shared" ref="S16:S17" si="34">Q16-R16</f>
        <v>2405000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1"/>
        <v>Trần Hữu Tình</v>
      </c>
      <c r="D17" s="116" t="str">
        <f t="shared" si="22"/>
        <v>Công nhân</v>
      </c>
      <c r="E17" s="90">
        <f t="shared" si="23"/>
        <v>1800000</v>
      </c>
      <c r="F17" s="92">
        <f>VLOOKUP(B17,'CC -3'!$B$8:$AS$19,36,0)</f>
        <v>27</v>
      </c>
      <c r="G17" s="145">
        <f t="shared" si="24"/>
        <v>1800000</v>
      </c>
      <c r="H17" s="92">
        <f>(VLOOKUP(B17,'CC -3'!$B$8:$AS$19,37,0)+VLOOKUP(B17,'CC -3'!$B$8:$AS$19,38,0))</f>
        <v>0</v>
      </c>
      <c r="I17" s="145">
        <f t="shared" si="25"/>
        <v>0</v>
      </c>
      <c r="J17" s="146">
        <f t="shared" si="26"/>
        <v>27</v>
      </c>
      <c r="K17" s="39">
        <f t="shared" si="27"/>
        <v>1800000</v>
      </c>
      <c r="L17" s="90">
        <f t="shared" si="28"/>
        <v>405000</v>
      </c>
      <c r="M17" s="40">
        <f t="shared" si="29"/>
        <v>2205000</v>
      </c>
      <c r="N17" s="40">
        <f>IF(VLOOKUP(B17,DS,9,0)="x",'L - 3'!E17*$N$4,0)</f>
        <v>0</v>
      </c>
      <c r="O17" s="40">
        <f t="shared" si="30"/>
        <v>0</v>
      </c>
      <c r="P17" s="40">
        <f t="shared" si="31"/>
        <v>0</v>
      </c>
      <c r="Q17" s="39">
        <f t="shared" si="32"/>
        <v>2205000</v>
      </c>
      <c r="R17" s="39">
        <f t="shared" si="33"/>
        <v>0</v>
      </c>
      <c r="S17" s="45">
        <f t="shared" si="34"/>
        <v>2205000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9" t="s">
        <v>25</v>
      </c>
      <c r="B19" s="269"/>
      <c r="C19" s="269"/>
      <c r="D19" s="269"/>
      <c r="E19" s="140">
        <f>SUM(E14:E18)</f>
        <v>5800000</v>
      </c>
      <c r="F19" s="140"/>
      <c r="G19" s="140">
        <f>SUM(G14:G18)</f>
        <v>5800000</v>
      </c>
      <c r="H19" s="140"/>
      <c r="I19" s="140">
        <f>SUM(I14:I18)</f>
        <v>0</v>
      </c>
      <c r="J19" s="140"/>
      <c r="K19" s="140">
        <f>SUM(K14:K18)</f>
        <v>5800000</v>
      </c>
      <c r="L19" s="140">
        <f>SUM(L14:L18)</f>
        <v>1215000</v>
      </c>
      <c r="M19" s="140">
        <f>SUM(M14:M18)</f>
        <v>7015000</v>
      </c>
      <c r="N19" s="140">
        <f>SUM(N14:N18)</f>
        <v>0</v>
      </c>
      <c r="O19" s="140">
        <f>SUM(O14:O18)</f>
        <v>0</v>
      </c>
      <c r="P19" s="140">
        <f>SUM(P14:P18)</f>
        <v>0</v>
      </c>
      <c r="Q19" s="140">
        <f>SUM(Q14:Q18)</f>
        <v>7015000</v>
      </c>
      <c r="R19" s="140">
        <f>SUM(R14:R18)</f>
        <v>0</v>
      </c>
      <c r="S19" s="140">
        <f>SUM(S14:S18)</f>
        <v>7015000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03   năm 2012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3:D13"/>
    <mergeCell ref="A19:D19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13" activePane="bottomRight" state="frozen"/>
      <selection activeCell="X10" sqref="X10"/>
      <selection pane="topRight" activeCell="X10" sqref="X10"/>
      <selection pane="bottomLeft" activeCell="X10" sqref="X10"/>
      <selection pane="bottomRight" activeCell="E20" sqref="A20:XFD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20" customWidth="1"/>
    <col min="5" max="5" width="7.140625" style="2" customWidth="1"/>
    <col min="6" max="33" width="3.42578125" style="123" customWidth="1"/>
    <col min="34" max="35" width="3.42578125" style="124" customWidth="1"/>
    <col min="36" max="37" width="4.42578125" style="2" customWidth="1"/>
    <col min="38" max="38" width="5.5703125" style="100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55"/>
      <c r="AK1" s="55"/>
      <c r="AL1" s="260" t="s">
        <v>185</v>
      </c>
      <c r="AM1" s="261"/>
      <c r="AN1" s="261"/>
      <c r="AO1" s="261"/>
      <c r="AP1" s="261"/>
      <c r="AQ1" s="261"/>
      <c r="AR1" s="262"/>
      <c r="AS1" s="57"/>
    </row>
    <row r="2" spans="1:90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55"/>
      <c r="AK2" s="55"/>
      <c r="AL2" s="96"/>
      <c r="AM2" s="59"/>
      <c r="AN2" s="59"/>
      <c r="AO2" s="59"/>
      <c r="AP2" s="59"/>
      <c r="AQ2" s="59"/>
      <c r="AR2" s="95"/>
      <c r="AS2" s="95"/>
    </row>
    <row r="3" spans="1:90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55"/>
      <c r="AK3" s="55"/>
      <c r="AL3" s="96"/>
      <c r="AM3" s="57"/>
      <c r="AN3" s="57"/>
      <c r="AO3" s="57"/>
      <c r="AP3" s="57"/>
      <c r="AQ3" s="57"/>
      <c r="AR3" s="62"/>
      <c r="AS3" s="62"/>
    </row>
    <row r="4" spans="1:90" ht="14.25" customHeight="1">
      <c r="A4" s="63"/>
      <c r="B4" s="63"/>
      <c r="C4" s="156"/>
      <c r="D4" s="155"/>
      <c r="E4" s="64">
        <v>41000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3"/>
      <c r="AK4" s="63"/>
      <c r="AL4" s="97"/>
      <c r="AM4" s="63"/>
      <c r="AN4" s="63"/>
      <c r="AO4" s="63"/>
      <c r="AP4" s="63"/>
      <c r="AQ4" s="63"/>
      <c r="AR4" s="63"/>
      <c r="AS4" s="101"/>
    </row>
    <row r="5" spans="1:90" s="67" customFormat="1" ht="18.75" customHeight="1">
      <c r="A5" s="263" t="s">
        <v>28</v>
      </c>
      <c r="B5" s="263" t="s">
        <v>3</v>
      </c>
      <c r="C5" s="263" t="s">
        <v>1</v>
      </c>
      <c r="D5" s="257" t="s">
        <v>29</v>
      </c>
      <c r="E5" s="263" t="s">
        <v>30</v>
      </c>
      <c r="F5" s="118">
        <f>+E4</f>
        <v>41000</v>
      </c>
      <c r="G5" s="118">
        <f t="shared" ref="G5:AI5" si="0">F5+1</f>
        <v>41001</v>
      </c>
      <c r="H5" s="118">
        <f t="shared" si="0"/>
        <v>41002</v>
      </c>
      <c r="I5" s="118">
        <f t="shared" si="0"/>
        <v>41003</v>
      </c>
      <c r="J5" s="118">
        <f t="shared" si="0"/>
        <v>41004</v>
      </c>
      <c r="K5" s="118">
        <f t="shared" si="0"/>
        <v>41005</v>
      </c>
      <c r="L5" s="118">
        <f t="shared" si="0"/>
        <v>41006</v>
      </c>
      <c r="M5" s="118">
        <f t="shared" si="0"/>
        <v>41007</v>
      </c>
      <c r="N5" s="118">
        <f t="shared" si="0"/>
        <v>41008</v>
      </c>
      <c r="O5" s="118">
        <f t="shared" si="0"/>
        <v>41009</v>
      </c>
      <c r="P5" s="118">
        <f t="shared" si="0"/>
        <v>41010</v>
      </c>
      <c r="Q5" s="118">
        <f t="shared" si="0"/>
        <v>41011</v>
      </c>
      <c r="R5" s="118">
        <f t="shared" si="0"/>
        <v>41012</v>
      </c>
      <c r="S5" s="118">
        <f t="shared" si="0"/>
        <v>41013</v>
      </c>
      <c r="T5" s="118">
        <f t="shared" si="0"/>
        <v>41014</v>
      </c>
      <c r="U5" s="118">
        <f t="shared" si="0"/>
        <v>41015</v>
      </c>
      <c r="V5" s="118">
        <f t="shared" si="0"/>
        <v>41016</v>
      </c>
      <c r="W5" s="118">
        <f t="shared" si="0"/>
        <v>41017</v>
      </c>
      <c r="X5" s="118">
        <f t="shared" si="0"/>
        <v>41018</v>
      </c>
      <c r="Y5" s="118">
        <f t="shared" si="0"/>
        <v>41019</v>
      </c>
      <c r="Z5" s="118">
        <f t="shared" si="0"/>
        <v>41020</v>
      </c>
      <c r="AA5" s="118">
        <f t="shared" si="0"/>
        <v>41021</v>
      </c>
      <c r="AB5" s="118">
        <f t="shared" si="0"/>
        <v>41022</v>
      </c>
      <c r="AC5" s="118">
        <f t="shared" si="0"/>
        <v>41023</v>
      </c>
      <c r="AD5" s="118">
        <f t="shared" si="0"/>
        <v>41024</v>
      </c>
      <c r="AE5" s="118">
        <f t="shared" si="0"/>
        <v>41025</v>
      </c>
      <c r="AF5" s="118">
        <f t="shared" si="0"/>
        <v>41026</v>
      </c>
      <c r="AG5" s="118">
        <f t="shared" si="0"/>
        <v>41027</v>
      </c>
      <c r="AH5" s="118">
        <f>AG5+1</f>
        <v>41028</v>
      </c>
      <c r="AI5" s="118">
        <f t="shared" si="0"/>
        <v>41029</v>
      </c>
      <c r="AJ5" s="264" t="s">
        <v>15</v>
      </c>
      <c r="AK5" s="265"/>
      <c r="AL5" s="266"/>
      <c r="AM5" s="255" t="s">
        <v>45</v>
      </c>
      <c r="AN5" s="255" t="s">
        <v>41</v>
      </c>
      <c r="AO5" s="255" t="s">
        <v>42</v>
      </c>
      <c r="AP5" s="255" t="s">
        <v>43</v>
      </c>
      <c r="AQ5" s="255" t="s">
        <v>44</v>
      </c>
      <c r="AR5" s="257" t="s">
        <v>0</v>
      </c>
      <c r="AS5" s="259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67" customFormat="1" ht="39.75" customHeight="1">
      <c r="A6" s="258"/>
      <c r="B6" s="258"/>
      <c r="C6" s="258"/>
      <c r="D6" s="258"/>
      <c r="E6" s="258"/>
      <c r="F6" s="174" t="str">
        <f>CHOOSE(WEEKDAY(F5),"C.Nhật","T.Hai","T.Ba","T.Tư","T.Năm","T.Sáu","T.Bảy")</f>
        <v>C.Nhật</v>
      </c>
      <c r="G6" s="174" t="str">
        <f t="shared" ref="G6:AI6" si="1">CHOOSE(WEEKDAY(G5),"C.Nhật","T.Hai","T.Ba","T.Tư","T.Năm","T.Sáu","T.Bảy")</f>
        <v>T.Hai</v>
      </c>
      <c r="H6" s="174" t="str">
        <f t="shared" si="1"/>
        <v>T.Ba</v>
      </c>
      <c r="I6" s="174" t="str">
        <f t="shared" si="1"/>
        <v>T.Tư</v>
      </c>
      <c r="J6" s="174" t="str">
        <f t="shared" si="1"/>
        <v>T.Năm</v>
      </c>
      <c r="K6" s="174" t="str">
        <f t="shared" si="1"/>
        <v>T.Sáu</v>
      </c>
      <c r="L6" s="174" t="str">
        <f t="shared" si="1"/>
        <v>T.Bảy</v>
      </c>
      <c r="M6" s="174" t="str">
        <f t="shared" si="1"/>
        <v>C.Nhật</v>
      </c>
      <c r="N6" s="174" t="str">
        <f t="shared" si="1"/>
        <v>T.Hai</v>
      </c>
      <c r="O6" s="174" t="str">
        <f t="shared" si="1"/>
        <v>T.Ba</v>
      </c>
      <c r="P6" s="174" t="str">
        <f t="shared" si="1"/>
        <v>T.Tư</v>
      </c>
      <c r="Q6" s="174" t="str">
        <f t="shared" si="1"/>
        <v>T.Năm</v>
      </c>
      <c r="R6" s="174" t="str">
        <f t="shared" si="1"/>
        <v>T.Sáu</v>
      </c>
      <c r="S6" s="174" t="str">
        <f t="shared" si="1"/>
        <v>T.Bảy</v>
      </c>
      <c r="T6" s="174" t="str">
        <f t="shared" si="1"/>
        <v>C.Nhật</v>
      </c>
      <c r="U6" s="174" t="str">
        <f t="shared" si="1"/>
        <v>T.Hai</v>
      </c>
      <c r="V6" s="174" t="str">
        <f t="shared" si="1"/>
        <v>T.Ba</v>
      </c>
      <c r="W6" s="174" t="str">
        <f t="shared" si="1"/>
        <v>T.Tư</v>
      </c>
      <c r="X6" s="174" t="str">
        <f t="shared" si="1"/>
        <v>T.Năm</v>
      </c>
      <c r="Y6" s="174" t="str">
        <f t="shared" si="1"/>
        <v>T.Sáu</v>
      </c>
      <c r="Z6" s="174" t="str">
        <f t="shared" si="1"/>
        <v>T.Bảy</v>
      </c>
      <c r="AA6" s="174" t="str">
        <f t="shared" si="1"/>
        <v>C.Nhật</v>
      </c>
      <c r="AB6" s="174" t="str">
        <f t="shared" si="1"/>
        <v>T.Hai</v>
      </c>
      <c r="AC6" s="174" t="str">
        <f t="shared" si="1"/>
        <v>T.Ba</v>
      </c>
      <c r="AD6" s="174" t="str">
        <f t="shared" si="1"/>
        <v>T.Tư</v>
      </c>
      <c r="AE6" s="174" t="str">
        <f t="shared" si="1"/>
        <v>T.Năm</v>
      </c>
      <c r="AF6" s="174" t="str">
        <f t="shared" si="1"/>
        <v>T.Sáu</v>
      </c>
      <c r="AG6" s="174" t="str">
        <f t="shared" si="1"/>
        <v>T.Bảy</v>
      </c>
      <c r="AH6" s="174" t="str">
        <f t="shared" si="1"/>
        <v>C.Nhật</v>
      </c>
      <c r="AI6" s="174" t="str">
        <f t="shared" si="1"/>
        <v>T.Hai</v>
      </c>
      <c r="AJ6" s="175" t="s">
        <v>16</v>
      </c>
      <c r="AK6" s="175" t="s">
        <v>31</v>
      </c>
      <c r="AL6" s="176" t="s">
        <v>17</v>
      </c>
      <c r="AM6" s="256"/>
      <c r="AN6" s="256"/>
      <c r="AO6" s="256"/>
      <c r="AP6" s="256"/>
      <c r="AQ6" s="256"/>
      <c r="AR6" s="258"/>
      <c r="AS6" s="259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36</v>
      </c>
      <c r="AK7" s="177">
        <v>37</v>
      </c>
      <c r="AL7" s="177">
        <v>38</v>
      </c>
      <c r="AM7" s="177">
        <v>39</v>
      </c>
      <c r="AN7" s="177">
        <v>40</v>
      </c>
      <c r="AO7" s="177">
        <v>41</v>
      </c>
      <c r="AP7" s="177">
        <v>42</v>
      </c>
      <c r="AQ7" s="177">
        <v>43</v>
      </c>
      <c r="AR7" s="177">
        <v>44</v>
      </c>
      <c r="AS7" s="22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80" customFormat="1" ht="21" customHeight="1">
      <c r="A8" s="178" t="s">
        <v>155</v>
      </c>
      <c r="B8" s="181" t="s">
        <v>184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3"/>
      <c r="AS8" s="179"/>
    </row>
    <row r="9" spans="1:90" s="67" customFormat="1" ht="18" customHeight="1">
      <c r="A9" s="247">
        <v>1</v>
      </c>
      <c r="B9" s="247" t="s">
        <v>162</v>
      </c>
      <c r="C9" s="249" t="str">
        <f>VLOOKUP(B9,DS,2,0)</f>
        <v>Phan Văn Hiền</v>
      </c>
      <c r="D9" s="251" t="str">
        <f>VLOOKUP(B9,DS,3,0)</f>
        <v>Quản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/>
      <c r="AJ9" s="253">
        <f>((SUM(F9:AI9))/8)-(SUMIF($F$6:$AI$6,"C.Nhật",F9:AI9)/8)</f>
        <v>24</v>
      </c>
      <c r="AK9" s="253">
        <f>SUM(F10:AI10)/8*1.5</f>
        <v>0</v>
      </c>
      <c r="AL9" s="241">
        <f>SUMIF($F$6:$AI$6,"C.Nhật",$F9:$AI10)/8*2</f>
        <v>0</v>
      </c>
      <c r="AM9" s="243">
        <f>SUM(AJ9:AL10)</f>
        <v>24</v>
      </c>
      <c r="AN9" s="245">
        <v>0</v>
      </c>
      <c r="AO9" s="243"/>
      <c r="AP9" s="243"/>
      <c r="AQ9" s="243"/>
      <c r="AR9" s="239"/>
      <c r="AS9" s="22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254"/>
      <c r="AK10" s="254"/>
      <c r="AL10" s="242"/>
      <c r="AM10" s="244"/>
      <c r="AN10" s="246"/>
      <c r="AO10" s="244"/>
      <c r="AP10" s="244"/>
      <c r="AQ10" s="244"/>
      <c r="AR10" s="240"/>
      <c r="AS10" s="22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67" customFormat="1" ht="18" customHeight="1">
      <c r="A11" s="247">
        <v>2</v>
      </c>
      <c r="B11" s="247" t="s">
        <v>183</v>
      </c>
      <c r="C11" s="249" t="str">
        <f>VLOOKUP(B11,DS,2,0)</f>
        <v>Nguyễn Thị Thu Sương</v>
      </c>
      <c r="D11" s="251" t="str">
        <f>VLOOKUP(B11,DS,3,0)</f>
        <v>Kinh Doanh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/>
      <c r="AJ11" s="253">
        <f>((SUM(F11:AI11))/8)-(SUMIF($F$6:$AI$6,"C.Nhật",F11:AI11)/8)</f>
        <v>24</v>
      </c>
      <c r="AK11" s="253">
        <f>SUM(F12:AI12)/8*1.5</f>
        <v>0</v>
      </c>
      <c r="AL11" s="241">
        <f>SUMIF($F$6:$AI$6,"C.Nhật",$F11:$AI12)/8*2</f>
        <v>0</v>
      </c>
      <c r="AM11" s="243">
        <f t="shared" ref="AM11" si="2">SUM(AJ11:AL12)</f>
        <v>24</v>
      </c>
      <c r="AN11" s="245">
        <v>0</v>
      </c>
      <c r="AO11" s="243"/>
      <c r="AP11" s="243"/>
      <c r="AQ11" s="243"/>
      <c r="AR11" s="239"/>
      <c r="AS11" s="22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254"/>
      <c r="AK12" s="254"/>
      <c r="AL12" s="242"/>
      <c r="AM12" s="244"/>
      <c r="AN12" s="246"/>
      <c r="AO12" s="244"/>
      <c r="AP12" s="244"/>
      <c r="AQ12" s="244"/>
      <c r="AR12" s="240"/>
      <c r="AS12" s="22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3"/>
      <c r="AS13" s="179"/>
    </row>
    <row r="14" spans="1:90" s="67" customFormat="1" ht="18" customHeight="1">
      <c r="A14" s="247">
        <v>1</v>
      </c>
      <c r="B14" s="247" t="s">
        <v>163</v>
      </c>
      <c r="C14" s="249" t="str">
        <f>VLOOKUP(B14,DS,2,0)</f>
        <v>Nguyễn Trường Giang</v>
      </c>
      <c r="D14" s="251" t="str">
        <f>VLOOKUP(B14,DS,3,0)</f>
        <v>Thợ in</v>
      </c>
      <c r="E14" s="68" t="s">
        <v>32</v>
      </c>
      <c r="F14" s="143"/>
      <c r="G14" s="143">
        <v>8</v>
      </c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/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/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/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/>
      <c r="AI14" s="143"/>
      <c r="AJ14" s="253">
        <f>((SUM(F14:AI14))/8)-(SUMIF($F$6:$AI$6,"C.Nhật",F14:AI14)/8)</f>
        <v>24</v>
      </c>
      <c r="AK14" s="253">
        <f>SUM(F15:AI15)/8*1.5</f>
        <v>0</v>
      </c>
      <c r="AL14" s="241">
        <f>SUMIF($F$6:$AI$6,"C.Nhật",$F14:$AI15)/8*2</f>
        <v>0</v>
      </c>
      <c r="AM14" s="243">
        <f>SUM(AJ14:AL15)</f>
        <v>24</v>
      </c>
      <c r="AN14" s="245">
        <v>0</v>
      </c>
      <c r="AO14" s="243"/>
      <c r="AP14" s="243"/>
      <c r="AQ14" s="243"/>
      <c r="AR14" s="239"/>
      <c r="AS14" s="22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67" customFormat="1" ht="18" customHeight="1">
      <c r="A15" s="248"/>
      <c r="B15" s="248"/>
      <c r="C15" s="250"/>
      <c r="D15" s="252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254"/>
      <c r="AK15" s="254"/>
      <c r="AL15" s="242"/>
      <c r="AM15" s="244"/>
      <c r="AN15" s="246"/>
      <c r="AO15" s="244"/>
      <c r="AP15" s="244"/>
      <c r="AQ15" s="244"/>
      <c r="AR15" s="240"/>
      <c r="AS15" s="22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67" customFormat="1" ht="18" customHeight="1">
      <c r="A16" s="247">
        <f>A14+1</f>
        <v>2</v>
      </c>
      <c r="B16" s="247" t="s">
        <v>164</v>
      </c>
      <c r="C16" s="249" t="str">
        <f>VLOOKUP(B16,DS,2,0)</f>
        <v>Đoàn Hồng Phong</v>
      </c>
      <c r="D16" s="251" t="str">
        <f>VLOOKUP(B16,DS,3,0)</f>
        <v>Thợ đóng - xả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/>
      <c r="AJ16" s="253">
        <f>((SUM(F16:AI16))/8)-(SUMIF($F$6:$AI$6,"C.Nhật",F16:AI16)/8)</f>
        <v>24</v>
      </c>
      <c r="AK16" s="253">
        <f>SUM(F17:AI17)/8*1.5</f>
        <v>0</v>
      </c>
      <c r="AL16" s="241">
        <f>SUMIF($F$6:$AI$6,"C.Nhật",$F16:$AI17)/8*2</f>
        <v>0</v>
      </c>
      <c r="AM16" s="243">
        <f t="shared" ref="AM16" si="3">SUM(AJ16:AL17)</f>
        <v>24</v>
      </c>
      <c r="AN16" s="245">
        <v>0</v>
      </c>
      <c r="AO16" s="243"/>
      <c r="AP16" s="243"/>
      <c r="AQ16" s="243"/>
      <c r="AR16" s="239"/>
      <c r="AS16" s="22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254"/>
      <c r="AK17" s="254"/>
      <c r="AL17" s="242"/>
      <c r="AM17" s="244"/>
      <c r="AN17" s="246"/>
      <c r="AO17" s="244"/>
      <c r="AP17" s="244"/>
      <c r="AQ17" s="244"/>
      <c r="AR17" s="240"/>
      <c r="AS17" s="22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67" customFormat="1" ht="18" customHeight="1">
      <c r="A18" s="247">
        <f t="shared" ref="A18" si="4">A16+1</f>
        <v>3</v>
      </c>
      <c r="B18" s="247" t="s">
        <v>165</v>
      </c>
      <c r="C18" s="249" t="str">
        <f>VLOOKUP(B18,DS,2,0)</f>
        <v>Trần Hữu Tình</v>
      </c>
      <c r="D18" s="251" t="str">
        <f>VLOOKUP(B18,DS,3,0)</f>
        <v>Công nhân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/>
      <c r="AJ18" s="253">
        <f>((SUM(F18:AI18))/8)-(SUMIF($F$6:$AI$6,"C.Nhật",F18:AI18)/8)</f>
        <v>24</v>
      </c>
      <c r="AK18" s="253">
        <f>SUM(F19:AI19)/8*1.5</f>
        <v>0</v>
      </c>
      <c r="AL18" s="241">
        <f>SUMIF($F$6:$AI$6,"C.Nhật",$F18:$AI19)/8*2</f>
        <v>0</v>
      </c>
      <c r="AM18" s="243">
        <f t="shared" ref="AM18" si="5">SUM(AJ18:AL19)</f>
        <v>24</v>
      </c>
      <c r="AN18" s="245">
        <v>0</v>
      </c>
      <c r="AO18" s="243"/>
      <c r="AP18" s="243"/>
      <c r="AQ18" s="243"/>
      <c r="AR18" s="239"/>
      <c r="AS18" s="22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91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254"/>
      <c r="AK19" s="254"/>
      <c r="AL19" s="242"/>
      <c r="AM19" s="244"/>
      <c r="AN19" s="246"/>
      <c r="AO19" s="244"/>
      <c r="AP19" s="244"/>
      <c r="AQ19" s="244"/>
      <c r="AR19" s="240"/>
      <c r="AS19" s="22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91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4"/>
      <c r="AK20" s="4"/>
      <c r="AL20" s="98"/>
      <c r="AM20" s="74"/>
      <c r="AN20" s="74"/>
      <c r="AO20" s="74"/>
      <c r="AP20" s="74"/>
      <c r="AQ20" s="74"/>
      <c r="AR20" s="4"/>
      <c r="AS20" s="104"/>
    </row>
    <row r="21" spans="1:91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4"/>
      <c r="AK21" s="4"/>
      <c r="AL21" s="98"/>
      <c r="AM21" s="74"/>
      <c r="AN21" s="74"/>
      <c r="AO21" s="74"/>
      <c r="AP21" s="74"/>
      <c r="AQ21" s="74"/>
      <c r="AR21" s="4"/>
      <c r="AS21" s="104"/>
    </row>
    <row r="22" spans="1:91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4"/>
      <c r="AK22" s="4"/>
      <c r="AL22" s="98"/>
      <c r="AM22" s="76"/>
      <c r="AN22" s="76"/>
      <c r="AO22" s="76"/>
      <c r="AP22" s="76"/>
      <c r="AQ22" s="76"/>
      <c r="AR22" s="4"/>
      <c r="AS22" s="104"/>
    </row>
    <row r="23" spans="1:91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4"/>
      <c r="AK23" s="4"/>
      <c r="AL23" s="98"/>
      <c r="AM23" s="76"/>
      <c r="AN23" s="76"/>
      <c r="AO23" s="76"/>
      <c r="AP23" s="76"/>
      <c r="AQ23" s="76"/>
      <c r="AR23" s="4"/>
      <c r="AS23" s="4"/>
    </row>
    <row r="24" spans="1:91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4"/>
      <c r="AK24" s="4"/>
      <c r="AL24" s="98"/>
      <c r="AM24" s="76"/>
      <c r="AN24" s="76"/>
      <c r="AO24" s="76"/>
      <c r="AP24" s="76"/>
      <c r="AQ24" s="76"/>
      <c r="AR24" s="4"/>
      <c r="AS24" s="4"/>
    </row>
    <row r="25" spans="1:91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4"/>
      <c r="AK25" s="4"/>
      <c r="AL25" s="98"/>
      <c r="AM25" s="76"/>
      <c r="AN25" s="76"/>
      <c r="AO25" s="76"/>
      <c r="AP25" s="76"/>
      <c r="AQ25" s="76"/>
      <c r="AR25" s="4"/>
      <c r="AS25" s="4"/>
    </row>
    <row r="26" spans="1:91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77"/>
      <c r="AL26" s="99"/>
      <c r="AM26" s="10"/>
      <c r="AN26" s="10"/>
      <c r="AO26" s="10"/>
      <c r="AP26" s="10"/>
      <c r="AQ26" s="10"/>
      <c r="AR26" s="14"/>
      <c r="AS26" s="4"/>
    </row>
    <row r="27" spans="1:91" s="73" customFormat="1" ht="12.75">
      <c r="A27" s="2"/>
      <c r="B27" s="2" t="s">
        <v>0</v>
      </c>
      <c r="C27" s="2"/>
      <c r="D27" s="220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2"/>
      <c r="AK27" s="2"/>
      <c r="AL27" s="100"/>
      <c r="AM27" s="2"/>
      <c r="AN27" s="2"/>
      <c r="AO27" s="2"/>
      <c r="AP27" s="2"/>
      <c r="AQ27" s="2"/>
      <c r="AR27" s="2"/>
      <c r="AS27" s="4"/>
    </row>
    <row r="28" spans="1:91" s="73" customFormat="1" ht="12.75">
      <c r="A28" s="2"/>
      <c r="B28" s="2"/>
      <c r="C28" s="2" t="s">
        <v>46</v>
      </c>
      <c r="D28" s="220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2"/>
      <c r="AK28" s="2"/>
      <c r="AL28" s="100"/>
      <c r="AM28" s="2"/>
      <c r="AN28" s="2"/>
      <c r="AO28" s="2"/>
      <c r="AP28" s="2"/>
      <c r="AQ28" s="2"/>
      <c r="AR28" s="2"/>
      <c r="AS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220" customFormat="1" ht="15" customHeight="1">
      <c r="A31" s="2"/>
      <c r="B31" s="2"/>
      <c r="C31" s="2" t="s">
        <v>49</v>
      </c>
      <c r="E31" s="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4"/>
      <c r="AI31" s="124"/>
      <c r="AJ31" s="2"/>
      <c r="AK31" s="2"/>
      <c r="AL31" s="100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20" customFormat="1" ht="15" customHeight="1">
      <c r="A32" s="2"/>
      <c r="B32" s="2"/>
      <c r="C32" s="2" t="s">
        <v>50</v>
      </c>
      <c r="E32" s="2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4"/>
      <c r="AI32" s="124"/>
      <c r="AJ32" s="2"/>
      <c r="AK32" s="2"/>
      <c r="AL32" s="100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20" customFormat="1" ht="15" customHeight="1">
      <c r="A33" s="2"/>
      <c r="B33" s="2"/>
      <c r="C33" s="2" t="s">
        <v>51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2"/>
      <c r="AK33" s="2"/>
      <c r="AL33" s="100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20" customFormat="1" ht="15" customHeight="1">
      <c r="A34" s="2"/>
      <c r="B34" s="2"/>
      <c r="C34" s="2" t="s">
        <v>52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2"/>
      <c r="AK34" s="2"/>
      <c r="AL34" s="100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20" customFormat="1" ht="15" customHeight="1">
      <c r="A35" s="2"/>
      <c r="B35" s="2"/>
      <c r="C35" s="2" t="s">
        <v>53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2"/>
      <c r="AK35" s="2"/>
      <c r="AL35" s="100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20" customFormat="1" ht="15" customHeight="1">
      <c r="A36" s="2"/>
      <c r="B36" s="2"/>
      <c r="C36" s="2" t="s">
        <v>54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2"/>
      <c r="AK36" s="2"/>
      <c r="AL36" s="100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C14:E19 A14:A19" name="Range1_6_2"/>
    <protectedRange password="CC78" sqref="B14:B19" name="Range1_4_2"/>
  </protectedRanges>
  <mergeCells count="79"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AS5:AS6"/>
    <mergeCell ref="A9:A10"/>
    <mergeCell ref="B9:B10"/>
    <mergeCell ref="C9:C10"/>
    <mergeCell ref="D9:D10"/>
    <mergeCell ref="AJ9:AJ10"/>
    <mergeCell ref="AK9:AK10"/>
    <mergeCell ref="AR9:AR10"/>
    <mergeCell ref="A11:A12"/>
    <mergeCell ref="B11:B12"/>
    <mergeCell ref="C11:C12"/>
    <mergeCell ref="D11:D12"/>
    <mergeCell ref="AJ11:AJ12"/>
    <mergeCell ref="AK11:AK12"/>
    <mergeCell ref="AL11:AL12"/>
    <mergeCell ref="AM11:AM12"/>
    <mergeCell ref="AN11:AN12"/>
    <mergeCell ref="AL9:AL10"/>
    <mergeCell ref="AM9:AM10"/>
    <mergeCell ref="AN9:AN10"/>
    <mergeCell ref="AO9:AO10"/>
    <mergeCell ref="AP9:AP10"/>
    <mergeCell ref="AQ9:AQ10"/>
    <mergeCell ref="AO11:AO12"/>
    <mergeCell ref="AP11:AP12"/>
    <mergeCell ref="AQ11:AQ12"/>
    <mergeCell ref="AR11:AR12"/>
    <mergeCell ref="A14:A15"/>
    <mergeCell ref="B14:B15"/>
    <mergeCell ref="C14:C15"/>
    <mergeCell ref="D14:D15"/>
    <mergeCell ref="AJ14:AJ15"/>
    <mergeCell ref="AK14:AK15"/>
    <mergeCell ref="A18:A19"/>
    <mergeCell ref="B18:B19"/>
    <mergeCell ref="C18:C19"/>
    <mergeCell ref="D18:D19"/>
    <mergeCell ref="AJ18:AJ19"/>
    <mergeCell ref="AK18:AK19"/>
    <mergeCell ref="AR14:AR15"/>
    <mergeCell ref="A16:A17"/>
    <mergeCell ref="B16:B17"/>
    <mergeCell ref="C16:C17"/>
    <mergeCell ref="D16:D17"/>
    <mergeCell ref="AJ16:AJ17"/>
    <mergeCell ref="AK16:AK17"/>
    <mergeCell ref="AL16:AL17"/>
    <mergeCell ref="AM16:AM17"/>
    <mergeCell ref="AN16:AN17"/>
    <mergeCell ref="AL14:AL15"/>
    <mergeCell ref="AM14:AM15"/>
    <mergeCell ref="AN14:AN15"/>
    <mergeCell ref="AO14:AO15"/>
    <mergeCell ref="AP14:AP15"/>
    <mergeCell ref="AQ14:AQ15"/>
    <mergeCell ref="AR18:AR19"/>
    <mergeCell ref="AL18:AL19"/>
    <mergeCell ref="AM18:AM19"/>
    <mergeCell ref="AN18:AN19"/>
    <mergeCell ref="AO18:AO19"/>
    <mergeCell ref="AP18:AP19"/>
    <mergeCell ref="AQ18:AQ19"/>
    <mergeCell ref="AO16:AO17"/>
    <mergeCell ref="AP16:AP17"/>
    <mergeCell ref="AQ16:AQ17"/>
    <mergeCell ref="AR16:AR17"/>
  </mergeCells>
  <conditionalFormatting sqref="F5:AI6 F9:AI10 G11:AI12">
    <cfRule type="expression" dxfId="129" priority="11" stopIfTrue="1">
      <formula>IF(WEEKDAY(F$5)=1,TRUE,FALSE)</formula>
    </cfRule>
  </conditionalFormatting>
  <conditionalFormatting sqref="F11:F12">
    <cfRule type="expression" dxfId="128" priority="8" stopIfTrue="1">
      <formula>IF(WEEKDAY(F$5)=1,TRUE,FALSE)</formula>
    </cfRule>
  </conditionalFormatting>
  <conditionalFormatting sqref="F11:F12">
    <cfRule type="expression" dxfId="127" priority="7" stopIfTrue="1">
      <formula>IF(WEEKDAY(F$5)=1,TRUE,FALSE)</formula>
    </cfRule>
  </conditionalFormatting>
  <conditionalFormatting sqref="F14:F19">
    <cfRule type="expression" dxfId="126" priority="3" stopIfTrue="1">
      <formula>IF(WEEKDAY(F$5)=1,TRUE,FALSE)</formula>
    </cfRule>
  </conditionalFormatting>
  <conditionalFormatting sqref="F14:F19">
    <cfRule type="expression" dxfId="125" priority="2" stopIfTrue="1">
      <formula>IF(WEEKDAY(F$5)=1,TRUE,FALSE)</formula>
    </cfRule>
  </conditionalFormatting>
  <conditionalFormatting sqref="G14:AI19">
    <cfRule type="expression" dxfId="124" priority="1" stopIfTrue="1">
      <formula>IF(WEEKDAY(G$5)=1,TRUE,FALSE)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5" activePane="bottomRight" state="frozen"/>
      <selection activeCell="X10" sqref="X10"/>
      <selection pane="topRight" activeCell="X10" sqref="X10"/>
      <selection pane="bottomLeft" activeCell="X10" sqref="X10"/>
      <selection pane="bottomRight" activeCell="A18" sqref="A18:XFD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4"/>
      <c r="C1" s="224"/>
      <c r="D1" s="277" t="str">
        <f>"BẢNG THANH TOÁN LƯƠNG THÁNG"&amp;" "&amp;TEXT($E$4,"mm")&amp;" / "&amp;TEXT($E$4,"yyyy")</f>
        <v>BẢNG THANH TOÁN LƯƠNG THÁNG 04 / 2012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9" t="s">
        <v>185</v>
      </c>
      <c r="S1" s="280"/>
      <c r="T1" s="28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4"/>
      <c r="C2" s="224"/>
      <c r="D2" s="224"/>
      <c r="E2" s="81"/>
      <c r="F2" s="224"/>
      <c r="G2" s="224"/>
      <c r="H2" s="224"/>
      <c r="I2" s="224"/>
      <c r="J2" s="82"/>
      <c r="K2" s="224"/>
      <c r="L2" s="224"/>
      <c r="M2" s="224"/>
      <c r="N2" s="224"/>
      <c r="O2" s="224"/>
      <c r="P2" s="224"/>
      <c r="Q2" s="224"/>
      <c r="R2" s="224"/>
      <c r="S2" s="224"/>
      <c r="T2" s="59"/>
      <c r="U2" s="80">
        <f>MAX(F10:F19)</f>
        <v>24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4"/>
      <c r="C3" s="224"/>
      <c r="D3" s="224"/>
      <c r="E3" s="81"/>
      <c r="F3" s="224"/>
      <c r="G3" s="224"/>
      <c r="H3" s="224"/>
      <c r="I3" s="224"/>
      <c r="J3" s="82"/>
      <c r="K3" s="224"/>
      <c r="L3" s="224"/>
      <c r="M3" s="224"/>
      <c r="N3" s="224"/>
      <c r="O3" s="224"/>
      <c r="P3" s="224"/>
      <c r="Q3" s="224"/>
      <c r="R3" s="224"/>
      <c r="S3" s="224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-4'!$E$4</f>
        <v>41000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2" t="s">
        <v>19</v>
      </c>
      <c r="B5" s="282" t="s">
        <v>20</v>
      </c>
      <c r="C5" s="232" t="s">
        <v>1</v>
      </c>
      <c r="D5" s="232" t="s">
        <v>2</v>
      </c>
      <c r="E5" s="227" t="s">
        <v>56</v>
      </c>
      <c r="F5" s="270" t="s">
        <v>26</v>
      </c>
      <c r="G5" s="272"/>
      <c r="H5" s="272"/>
      <c r="I5" s="272"/>
      <c r="J5" s="272"/>
      <c r="K5" s="271"/>
      <c r="L5" s="267" t="s">
        <v>57</v>
      </c>
      <c r="M5" s="267" t="s">
        <v>5</v>
      </c>
      <c r="N5" s="232" t="s">
        <v>6</v>
      </c>
      <c r="O5" s="232"/>
      <c r="P5" s="232"/>
      <c r="Q5" s="267" t="s">
        <v>7</v>
      </c>
      <c r="R5" s="267" t="s">
        <v>8</v>
      </c>
      <c r="S5" s="267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3"/>
      <c r="B6" s="283"/>
      <c r="C6" s="232"/>
      <c r="D6" s="232"/>
      <c r="E6" s="227"/>
      <c r="F6" s="270" t="s">
        <v>59</v>
      </c>
      <c r="G6" s="271"/>
      <c r="H6" s="270" t="s">
        <v>158</v>
      </c>
      <c r="I6" s="272"/>
      <c r="J6" s="273" t="s">
        <v>27</v>
      </c>
      <c r="K6" s="267" t="s">
        <v>4</v>
      </c>
      <c r="L6" s="268"/>
      <c r="M6" s="268"/>
      <c r="N6" s="275" t="s">
        <v>12</v>
      </c>
      <c r="O6" s="267" t="s">
        <v>13</v>
      </c>
      <c r="P6" s="267" t="s">
        <v>34</v>
      </c>
      <c r="Q6" s="268"/>
      <c r="R6" s="268"/>
      <c r="S6" s="268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3"/>
      <c r="B7" s="283"/>
      <c r="C7" s="267"/>
      <c r="D7" s="267"/>
      <c r="E7" s="227"/>
      <c r="F7" s="223" t="s">
        <v>40</v>
      </c>
      <c r="G7" s="221" t="s">
        <v>18</v>
      </c>
      <c r="H7" s="223" t="s">
        <v>40</v>
      </c>
      <c r="I7" s="128" t="s">
        <v>18</v>
      </c>
      <c r="J7" s="274"/>
      <c r="K7" s="268"/>
      <c r="L7" s="284"/>
      <c r="M7" s="284"/>
      <c r="N7" s="276"/>
      <c r="O7" s="268"/>
      <c r="P7" s="268"/>
      <c r="Q7" s="268"/>
      <c r="R7" s="268"/>
      <c r="S7" s="268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186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2500000</v>
      </c>
      <c r="F10" s="92">
        <f>VLOOKUP(B10,'CC -4'!$B$8:$AR$19,35,0)</f>
        <v>24</v>
      </c>
      <c r="G10" s="145">
        <f t="shared" ref="G10" si="3">ROUND(E10/$U$2*F10,0)</f>
        <v>2500000</v>
      </c>
      <c r="H10" s="92">
        <f>(VLOOKUP(B10,'CC -4'!$B$8:$AR$19,36,0)+VLOOKUP(B10,'CC -4'!$B$8:$AR$19,37,0))</f>
        <v>0</v>
      </c>
      <c r="I10" s="145">
        <f t="shared" ref="I10" si="4">ROUND(E10/$U$2*H10,0)</f>
        <v>0</v>
      </c>
      <c r="J10" s="93">
        <f t="shared" ref="J10:K11" si="5">F10+H10</f>
        <v>24</v>
      </c>
      <c r="K10" s="39">
        <f>G10+I10</f>
        <v>2500000</v>
      </c>
      <c r="L10" s="90">
        <f t="shared" ref="L10:L11" si="6">+F10*15000</f>
        <v>360000</v>
      </c>
      <c r="M10" s="40">
        <f t="shared" ref="M10:M11" si="7">K10+L10</f>
        <v>2860000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2860000</v>
      </c>
      <c r="R10" s="39">
        <f>VLOOKUP(B10,DS,23,0)</f>
        <v>0</v>
      </c>
      <c r="S10" s="45">
        <f t="shared" ref="S10:S11" si="9">Q10-R10</f>
        <v>2860000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183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2200000</v>
      </c>
      <c r="F11" s="92">
        <f>VLOOKUP(B11,'CC -4'!$B$8:$AR$19,35,0)</f>
        <v>24</v>
      </c>
      <c r="G11" s="145">
        <f t="shared" ref="G11" si="10">ROUND(E11/$U$2*F11,0)</f>
        <v>2200000</v>
      </c>
      <c r="H11" s="92">
        <f>(VLOOKUP(B11,'CC -4'!$B$8:$AR$19,36,0)+VLOOKUP(B11,'CC -4'!$B$8:$AR$19,37,0))</f>
        <v>0</v>
      </c>
      <c r="I11" s="145">
        <f t="shared" ref="I11" si="11">ROUND(E11/$U$2*H11,0)</f>
        <v>0</v>
      </c>
      <c r="J11" s="93">
        <f t="shared" si="5"/>
        <v>24</v>
      </c>
      <c r="K11" s="39">
        <f t="shared" si="5"/>
        <v>2200000</v>
      </c>
      <c r="L11" s="90">
        <f t="shared" si="6"/>
        <v>360000</v>
      </c>
      <c r="M11" s="40">
        <f t="shared" si="7"/>
        <v>2560000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2560000</v>
      </c>
      <c r="R11" s="39">
        <f>VLOOKUP(B11,DS,23,0)</f>
        <v>0</v>
      </c>
      <c r="S11" s="45">
        <f t="shared" si="9"/>
        <v>2560000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9" t="s">
        <v>25</v>
      </c>
      <c r="B13" s="269"/>
      <c r="C13" s="269"/>
      <c r="D13" s="269"/>
      <c r="E13" s="140">
        <f>SUM(E9:E11)</f>
        <v>4700000</v>
      </c>
      <c r="F13" s="140"/>
      <c r="G13" s="140">
        <f>SUM(G9:G11)</f>
        <v>4700000</v>
      </c>
      <c r="H13" s="140"/>
      <c r="I13" s="140">
        <f>SUM(I9:I11)</f>
        <v>0</v>
      </c>
      <c r="J13" s="140"/>
      <c r="K13" s="140">
        <f>SUM(K9:K11)</f>
        <v>4700000</v>
      </c>
      <c r="L13" s="140">
        <f>SUM(L9:L11)</f>
        <v>720000</v>
      </c>
      <c r="M13" s="140">
        <f>SUM(M9:M11)</f>
        <v>5420000</v>
      </c>
      <c r="N13" s="140">
        <f>SUM(N9:N11)</f>
        <v>0</v>
      </c>
      <c r="O13" s="140">
        <f>SUM(O9:O11)</f>
        <v>0</v>
      </c>
      <c r="P13" s="140">
        <f>SUM(P9:P11)</f>
        <v>0</v>
      </c>
      <c r="Q13" s="140">
        <f>SUM(Q9:Q11)</f>
        <v>5420000</v>
      </c>
      <c r="R13" s="140">
        <f>SUM(R9:R11)</f>
        <v>0</v>
      </c>
      <c r="S13" s="140">
        <f>SUM(S9:S11)</f>
        <v>5420000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2">VLOOKUP(B15,DS,2,0)</f>
        <v>Nguyễn Trường Giang</v>
      </c>
      <c r="D15" s="116" t="str">
        <f t="shared" ref="D15" si="13">VLOOKUP(B15,DS,3,0)</f>
        <v>Thợ in</v>
      </c>
      <c r="E15" s="90">
        <f t="shared" ref="E15" si="14">VLOOKUP(B15,DS,4,0)</f>
        <v>2000000</v>
      </c>
      <c r="F15" s="92">
        <f>VLOOKUP(B15,'CC -4'!$B$8:$AR$19,35,0)</f>
        <v>24</v>
      </c>
      <c r="G15" s="145">
        <f t="shared" ref="G15" si="15">ROUND(E15/$U$2*F15,0)</f>
        <v>2000000</v>
      </c>
      <c r="H15" s="92">
        <f>(VLOOKUP(B15,'CC -4'!$B$8:$AR$19,36,0)+VLOOKUP(B15,'CC -4'!$B$8:$AR$19,37,0))</f>
        <v>0</v>
      </c>
      <c r="I15" s="145">
        <f t="shared" ref="I15" si="16">ROUND(E15/$U$2*H15,0)</f>
        <v>0</v>
      </c>
      <c r="J15" s="146">
        <f t="shared" ref="J15:K15" si="17">F15+H15</f>
        <v>24</v>
      </c>
      <c r="K15" s="39">
        <f t="shared" si="17"/>
        <v>2000000</v>
      </c>
      <c r="L15" s="90">
        <f t="shared" ref="L15" si="18">+F15*15000</f>
        <v>360000</v>
      </c>
      <c r="M15" s="40">
        <f t="shared" ref="M15" si="19">K15+L15</f>
        <v>2360000</v>
      </c>
      <c r="N15" s="40">
        <f>IF(VLOOKUP(B15,DS,9,0)="x",'L - 4'!E15*$N$4,0)</f>
        <v>0</v>
      </c>
      <c r="O15" s="40">
        <f t="shared" ref="O15" si="20">IF(VLOOKUP(B15,DS,9,0)="x",E15*0.015,0)</f>
        <v>0</v>
      </c>
      <c r="P15" s="40">
        <f t="shared" ref="P15" si="21">IF(VLOOKUP(B15,DS,9,0)="x",E15*0.01,0)</f>
        <v>0</v>
      </c>
      <c r="Q15" s="39">
        <f>M15-SUM(N15:P15)</f>
        <v>2360000</v>
      </c>
      <c r="R15" s="39">
        <f t="shared" ref="R15" si="22">VLOOKUP(B15,DS,23,0)</f>
        <v>0</v>
      </c>
      <c r="S15" s="45">
        <f>Q15-R15</f>
        <v>2360000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3">VLOOKUP(B16,DS,2,0)</f>
        <v>Đoàn Hồng Phong</v>
      </c>
      <c r="D16" s="116" t="str">
        <f t="shared" ref="D16:D17" si="24">VLOOKUP(B16,DS,3,0)</f>
        <v>Thợ đóng - xả</v>
      </c>
      <c r="E16" s="90">
        <f t="shared" ref="E16:E17" si="25">VLOOKUP(B16,DS,4,0)</f>
        <v>2000000</v>
      </c>
      <c r="F16" s="92">
        <f>VLOOKUP(B16,'CC -4'!$B$8:$AR$19,35,0)</f>
        <v>24</v>
      </c>
      <c r="G16" s="145">
        <f t="shared" ref="G16:G17" si="26">ROUND(E16/$U$2*F16,0)</f>
        <v>2000000</v>
      </c>
      <c r="H16" s="92">
        <f>(VLOOKUP(B16,'CC -4'!$B$8:$AR$19,36,0)+VLOOKUP(B16,'CC -4'!$B$8:$AR$19,37,0))</f>
        <v>0</v>
      </c>
      <c r="I16" s="145">
        <f t="shared" ref="I16:I17" si="27">ROUND(E16/$U$2*H16,0)</f>
        <v>0</v>
      </c>
      <c r="J16" s="146">
        <f t="shared" ref="J16:J17" si="28">F16+H16</f>
        <v>24</v>
      </c>
      <c r="K16" s="39">
        <f t="shared" ref="K16:K17" si="29">G16+I16</f>
        <v>2000000</v>
      </c>
      <c r="L16" s="90">
        <f t="shared" ref="L16:L17" si="30">+F16*15000</f>
        <v>360000</v>
      </c>
      <c r="M16" s="40">
        <f t="shared" ref="M16:M17" si="31">K16+L16</f>
        <v>2360000</v>
      </c>
      <c r="N16" s="40">
        <f>IF(VLOOKUP(B16,DS,9,0)="x",'L - 4'!E16*$N$4,0)</f>
        <v>0</v>
      </c>
      <c r="O16" s="40">
        <f t="shared" ref="O16:O17" si="32">IF(VLOOKUP(B16,DS,9,0)="x",E16*0.015,0)</f>
        <v>0</v>
      </c>
      <c r="P16" s="40">
        <f t="shared" ref="P16:P17" si="33">IF(VLOOKUP(B16,DS,9,0)="x",E16*0.01,0)</f>
        <v>0</v>
      </c>
      <c r="Q16" s="39">
        <f t="shared" ref="Q16:Q17" si="34">M16-SUM(N16:P16)</f>
        <v>2360000</v>
      </c>
      <c r="R16" s="39">
        <f t="shared" ref="R16:R17" si="35">VLOOKUP(B16,DS,23,0)</f>
        <v>0</v>
      </c>
      <c r="S16" s="45">
        <f t="shared" ref="S16:S17" si="36">Q16-R16</f>
        <v>2360000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3"/>
        <v>Trần Hữu Tình</v>
      </c>
      <c r="D17" s="116" t="str">
        <f t="shared" si="24"/>
        <v>Công nhân</v>
      </c>
      <c r="E17" s="90">
        <f t="shared" si="25"/>
        <v>1800000</v>
      </c>
      <c r="F17" s="92">
        <f>VLOOKUP(B17,'CC -4'!$B$8:$AR$19,35,0)</f>
        <v>24</v>
      </c>
      <c r="G17" s="145">
        <f t="shared" si="26"/>
        <v>1800000</v>
      </c>
      <c r="H17" s="92">
        <f>(VLOOKUP(B17,'CC -4'!$B$8:$AR$19,36,0)+VLOOKUP(B17,'CC -4'!$B$8:$AR$19,37,0))</f>
        <v>0</v>
      </c>
      <c r="I17" s="145">
        <f t="shared" si="27"/>
        <v>0</v>
      </c>
      <c r="J17" s="146">
        <f t="shared" si="28"/>
        <v>24</v>
      </c>
      <c r="K17" s="39">
        <f t="shared" si="29"/>
        <v>1800000</v>
      </c>
      <c r="L17" s="90">
        <f t="shared" si="30"/>
        <v>360000</v>
      </c>
      <c r="M17" s="40">
        <f t="shared" si="31"/>
        <v>2160000</v>
      </c>
      <c r="N17" s="40">
        <f>IF(VLOOKUP(B17,DS,9,0)="x",'L - 4'!E17*$N$4,0)</f>
        <v>0</v>
      </c>
      <c r="O17" s="40">
        <f t="shared" si="32"/>
        <v>0</v>
      </c>
      <c r="P17" s="40">
        <f t="shared" si="33"/>
        <v>0</v>
      </c>
      <c r="Q17" s="39">
        <f t="shared" si="34"/>
        <v>2160000</v>
      </c>
      <c r="R17" s="39">
        <f t="shared" si="35"/>
        <v>0</v>
      </c>
      <c r="S17" s="45">
        <f t="shared" si="36"/>
        <v>2160000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9" t="s">
        <v>25</v>
      </c>
      <c r="B19" s="269"/>
      <c r="C19" s="269"/>
      <c r="D19" s="269"/>
      <c r="E19" s="140">
        <f>SUM(E14:E18)</f>
        <v>5800000</v>
      </c>
      <c r="F19" s="140"/>
      <c r="G19" s="140">
        <f>SUM(G14:G18)</f>
        <v>5800000</v>
      </c>
      <c r="H19" s="140"/>
      <c r="I19" s="140">
        <f>SUM(I14:I18)</f>
        <v>0</v>
      </c>
      <c r="J19" s="140"/>
      <c r="K19" s="140">
        <f>SUM(K14:K18)</f>
        <v>5800000</v>
      </c>
      <c r="L19" s="140">
        <f>SUM(L14:L18)</f>
        <v>1080000</v>
      </c>
      <c r="M19" s="140">
        <f>SUM(M14:M18)</f>
        <v>6880000</v>
      </c>
      <c r="N19" s="140">
        <f>SUM(N14:N18)</f>
        <v>0</v>
      </c>
      <c r="O19" s="140">
        <f>SUM(O14:O18)</f>
        <v>0</v>
      </c>
      <c r="P19" s="140">
        <f>SUM(P14:P18)</f>
        <v>0</v>
      </c>
      <c r="Q19" s="140">
        <f>SUM(Q14:Q18)</f>
        <v>6880000</v>
      </c>
      <c r="R19" s="140">
        <f>SUM(R14:R18)</f>
        <v>0</v>
      </c>
      <c r="S19" s="140">
        <f>SUM(S14:S18)</f>
        <v>6880000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04   năm 2012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3:D13"/>
    <mergeCell ref="A19:D19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6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E20" sqref="A20:XFD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185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41030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57" t="s">
        <v>29</v>
      </c>
      <c r="E5" s="263" t="s">
        <v>30</v>
      </c>
      <c r="F5" s="118">
        <f>+E4</f>
        <v>41030</v>
      </c>
      <c r="G5" s="118">
        <f t="shared" ref="G5:AJ5" si="0">F5+1</f>
        <v>41031</v>
      </c>
      <c r="H5" s="118">
        <f t="shared" si="0"/>
        <v>41032</v>
      </c>
      <c r="I5" s="118">
        <f t="shared" si="0"/>
        <v>41033</v>
      </c>
      <c r="J5" s="118">
        <f t="shared" si="0"/>
        <v>41034</v>
      </c>
      <c r="K5" s="118">
        <f t="shared" si="0"/>
        <v>41035</v>
      </c>
      <c r="L5" s="118">
        <f t="shared" si="0"/>
        <v>41036</v>
      </c>
      <c r="M5" s="118">
        <f t="shared" si="0"/>
        <v>41037</v>
      </c>
      <c r="N5" s="118">
        <f t="shared" si="0"/>
        <v>41038</v>
      </c>
      <c r="O5" s="118">
        <f t="shared" si="0"/>
        <v>41039</v>
      </c>
      <c r="P5" s="118">
        <f t="shared" si="0"/>
        <v>41040</v>
      </c>
      <c r="Q5" s="118">
        <f t="shared" si="0"/>
        <v>41041</v>
      </c>
      <c r="R5" s="118">
        <f t="shared" si="0"/>
        <v>41042</v>
      </c>
      <c r="S5" s="118">
        <f t="shared" si="0"/>
        <v>41043</v>
      </c>
      <c r="T5" s="118">
        <f t="shared" si="0"/>
        <v>41044</v>
      </c>
      <c r="U5" s="118">
        <f t="shared" si="0"/>
        <v>41045</v>
      </c>
      <c r="V5" s="118">
        <f t="shared" si="0"/>
        <v>41046</v>
      </c>
      <c r="W5" s="118">
        <f t="shared" si="0"/>
        <v>41047</v>
      </c>
      <c r="X5" s="118">
        <f t="shared" si="0"/>
        <v>41048</v>
      </c>
      <c r="Y5" s="118">
        <f t="shared" si="0"/>
        <v>41049</v>
      </c>
      <c r="Z5" s="118">
        <f t="shared" si="0"/>
        <v>41050</v>
      </c>
      <c r="AA5" s="118">
        <f t="shared" si="0"/>
        <v>41051</v>
      </c>
      <c r="AB5" s="118">
        <f t="shared" si="0"/>
        <v>41052</v>
      </c>
      <c r="AC5" s="118">
        <f t="shared" si="0"/>
        <v>41053</v>
      </c>
      <c r="AD5" s="118">
        <f t="shared" si="0"/>
        <v>41054</v>
      </c>
      <c r="AE5" s="118">
        <f t="shared" si="0"/>
        <v>41055</v>
      </c>
      <c r="AF5" s="118">
        <f t="shared" si="0"/>
        <v>41056</v>
      </c>
      <c r="AG5" s="118">
        <f t="shared" si="0"/>
        <v>41057</v>
      </c>
      <c r="AH5" s="118">
        <f>AG5+1</f>
        <v>41058</v>
      </c>
      <c r="AI5" s="118">
        <f t="shared" si="0"/>
        <v>41059</v>
      </c>
      <c r="AJ5" s="118">
        <f t="shared" si="0"/>
        <v>41060</v>
      </c>
      <c r="AK5" s="264" t="s">
        <v>15</v>
      </c>
      <c r="AL5" s="265"/>
      <c r="AM5" s="266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7" t="s">
        <v>0</v>
      </c>
      <c r="AT5" s="25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8"/>
      <c r="B6" s="258"/>
      <c r="C6" s="258"/>
      <c r="D6" s="258"/>
      <c r="E6" s="258"/>
      <c r="F6" s="174" t="str">
        <f>CHOOSE(WEEKDAY(F5),"C.Nhật","T.Hai","T.Ba","T.Tư","T.Năm","T.Sáu","T.Bảy")</f>
        <v>T.Ba</v>
      </c>
      <c r="G6" s="174" t="str">
        <f t="shared" ref="G6:AJ6" si="1">CHOOSE(WEEKDAY(G5),"C.Nhật","T.Hai","T.Ba","T.Tư","T.Năm","T.Sáu","T.Bảy")</f>
        <v>T.Tư</v>
      </c>
      <c r="H6" s="174" t="str">
        <f t="shared" si="1"/>
        <v>T.Năm</v>
      </c>
      <c r="I6" s="174" t="str">
        <f t="shared" si="1"/>
        <v>T.Sáu</v>
      </c>
      <c r="J6" s="174" t="str">
        <f t="shared" si="1"/>
        <v>T.Bảy</v>
      </c>
      <c r="K6" s="174" t="str">
        <f t="shared" si="1"/>
        <v>C.Nhật</v>
      </c>
      <c r="L6" s="174" t="str">
        <f t="shared" si="1"/>
        <v>T.Hai</v>
      </c>
      <c r="M6" s="174" t="str">
        <f t="shared" si="1"/>
        <v>T.Ba</v>
      </c>
      <c r="N6" s="174" t="str">
        <f t="shared" si="1"/>
        <v>T.Tư</v>
      </c>
      <c r="O6" s="174" t="str">
        <f t="shared" si="1"/>
        <v>T.Năm</v>
      </c>
      <c r="P6" s="174" t="str">
        <f t="shared" si="1"/>
        <v>T.Sáu</v>
      </c>
      <c r="Q6" s="174" t="str">
        <f t="shared" si="1"/>
        <v>T.Bảy</v>
      </c>
      <c r="R6" s="174" t="str">
        <f t="shared" si="1"/>
        <v>C.Nhật</v>
      </c>
      <c r="S6" s="174" t="str">
        <f t="shared" si="1"/>
        <v>T.Hai</v>
      </c>
      <c r="T6" s="174" t="str">
        <f t="shared" si="1"/>
        <v>T.Ba</v>
      </c>
      <c r="U6" s="174" t="str">
        <f t="shared" si="1"/>
        <v>T.Tư</v>
      </c>
      <c r="V6" s="174" t="str">
        <f t="shared" si="1"/>
        <v>T.Năm</v>
      </c>
      <c r="W6" s="174" t="str">
        <f t="shared" si="1"/>
        <v>T.Sáu</v>
      </c>
      <c r="X6" s="174" t="str">
        <f t="shared" si="1"/>
        <v>T.Bảy</v>
      </c>
      <c r="Y6" s="174" t="str">
        <f t="shared" si="1"/>
        <v>C.Nhật</v>
      </c>
      <c r="Z6" s="174" t="str">
        <f t="shared" si="1"/>
        <v>T.Hai</v>
      </c>
      <c r="AA6" s="174" t="str">
        <f t="shared" si="1"/>
        <v>T.Ba</v>
      </c>
      <c r="AB6" s="174" t="str">
        <f t="shared" si="1"/>
        <v>T.Tư</v>
      </c>
      <c r="AC6" s="174" t="str">
        <f t="shared" si="1"/>
        <v>T.Năm</v>
      </c>
      <c r="AD6" s="174" t="str">
        <f t="shared" si="1"/>
        <v>T.Sáu</v>
      </c>
      <c r="AE6" s="174" t="str">
        <f t="shared" si="1"/>
        <v>T.Bảy</v>
      </c>
      <c r="AF6" s="174" t="str">
        <f t="shared" si="1"/>
        <v>C.Nhật</v>
      </c>
      <c r="AG6" s="174" t="str">
        <f t="shared" si="1"/>
        <v>T.Hai</v>
      </c>
      <c r="AH6" s="174" t="str">
        <f t="shared" si="1"/>
        <v>T.Ba</v>
      </c>
      <c r="AI6" s="174" t="str">
        <f t="shared" si="1"/>
        <v>T.Tư</v>
      </c>
      <c r="AJ6" s="174" t="str">
        <f t="shared" si="1"/>
        <v>T.Năm</v>
      </c>
      <c r="AK6" s="175" t="s">
        <v>16</v>
      </c>
      <c r="AL6" s="175" t="s">
        <v>31</v>
      </c>
      <c r="AM6" s="176" t="s">
        <v>17</v>
      </c>
      <c r="AN6" s="256"/>
      <c r="AO6" s="256"/>
      <c r="AP6" s="256"/>
      <c r="AQ6" s="256"/>
      <c r="AR6" s="256"/>
      <c r="AS6" s="258"/>
      <c r="AT6" s="25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184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7">
        <v>1</v>
      </c>
      <c r="B9" s="247" t="s">
        <v>162</v>
      </c>
      <c r="C9" s="249" t="str">
        <f>VLOOKUP(B9,DS,2,0)</f>
        <v>Phan Văn Hiền</v>
      </c>
      <c r="D9" s="251" t="str">
        <f>VLOOKUP(B9,DS,3,0)</f>
        <v>Quản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>
        <v>8</v>
      </c>
      <c r="AK9" s="253">
        <f>((SUM(F9:AJ9))/8)-(SUMIF($F$6:$AJ$6,"C.Nhật",F9:AJ9)/8)</f>
        <v>26</v>
      </c>
      <c r="AL9" s="253">
        <f>SUM(F10:AJ10)/8*1.5</f>
        <v>0</v>
      </c>
      <c r="AM9" s="241">
        <f>SUMIF($F$6:$AJ$6,"C.Nhật",$F9:$AJ10)/8*2</f>
        <v>0</v>
      </c>
      <c r="AN9" s="243">
        <f>SUM(AK9:AM10)</f>
        <v>26</v>
      </c>
      <c r="AO9" s="245">
        <v>0</v>
      </c>
      <c r="AP9" s="243"/>
      <c r="AQ9" s="243"/>
      <c r="AR9" s="243"/>
      <c r="AS9" s="239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4"/>
      <c r="AL10" s="254"/>
      <c r="AM10" s="242"/>
      <c r="AN10" s="244"/>
      <c r="AO10" s="246"/>
      <c r="AP10" s="244"/>
      <c r="AQ10" s="244"/>
      <c r="AR10" s="244"/>
      <c r="AS10" s="240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v>2</v>
      </c>
      <c r="B11" s="247" t="s">
        <v>183</v>
      </c>
      <c r="C11" s="249" t="str">
        <f>VLOOKUP(B11,DS,2,0)</f>
        <v>Nguyễn Thị Thu Sương</v>
      </c>
      <c r="D11" s="251" t="str">
        <f>VLOOKUP(B11,DS,3,0)</f>
        <v>Kinh Doanh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>
        <v>8</v>
      </c>
      <c r="AK11" s="253">
        <f t="shared" ref="AK11" si="2">((SUM(F11:AJ11))/8)-(SUMIF($F$6:$AJ$6,"C.Nhật",F11:AJ11)/8)</f>
        <v>26</v>
      </c>
      <c r="AL11" s="253">
        <f t="shared" ref="AL11" si="3">SUM(F12:AJ12)/8*1.5</f>
        <v>0</v>
      </c>
      <c r="AM11" s="241">
        <f t="shared" ref="AM11" si="4">SUMIF($F$6:$AJ$6,"C.Nhật",$F11:$AJ12)/8*2</f>
        <v>0</v>
      </c>
      <c r="AN11" s="243">
        <f t="shared" ref="AN11" si="5">SUM(AK11:AM12)</f>
        <v>26</v>
      </c>
      <c r="AO11" s="245">
        <v>0</v>
      </c>
      <c r="AP11" s="243"/>
      <c r="AQ11" s="243"/>
      <c r="AR11" s="243"/>
      <c r="AS11" s="239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4"/>
      <c r="AL12" s="254"/>
      <c r="AM12" s="242"/>
      <c r="AN12" s="244"/>
      <c r="AO12" s="246"/>
      <c r="AP12" s="244"/>
      <c r="AQ12" s="244"/>
      <c r="AR12" s="244"/>
      <c r="AS12" s="240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7">
        <v>1</v>
      </c>
      <c r="B14" s="247" t="s">
        <v>163</v>
      </c>
      <c r="C14" s="249" t="str">
        <f>VLOOKUP(B14,DS,2,0)</f>
        <v>Nguyễn Trường Giang</v>
      </c>
      <c r="D14" s="251" t="str">
        <f>VLOOKUP(B14,DS,3,0)</f>
        <v>Thợ in</v>
      </c>
      <c r="E14" s="68" t="s">
        <v>32</v>
      </c>
      <c r="F14" s="143"/>
      <c r="G14" s="143">
        <v>8</v>
      </c>
      <c r="H14" s="143">
        <v>8</v>
      </c>
      <c r="I14" s="143">
        <v>8</v>
      </c>
      <c r="J14" s="143">
        <v>8</v>
      </c>
      <c r="K14" s="143"/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/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/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/>
      <c r="AG14" s="143">
        <v>8</v>
      </c>
      <c r="AH14" s="143">
        <v>8</v>
      </c>
      <c r="AI14" s="143">
        <v>8</v>
      </c>
      <c r="AJ14" s="143">
        <v>8</v>
      </c>
      <c r="AK14" s="253">
        <f t="shared" ref="AK14" si="6">((SUM(F14:AJ14))/8)-(SUMIF($F$6:$AJ$6,"C.Nhật",F14:AJ14)/8)</f>
        <v>26</v>
      </c>
      <c r="AL14" s="253">
        <f t="shared" ref="AL14" si="7">SUM(F15:AJ15)/8*1.5</f>
        <v>0</v>
      </c>
      <c r="AM14" s="241">
        <f>SUMIF($F$6:$AJ$6,"C.Nhật",$F14:$AJ15)/8*2</f>
        <v>0</v>
      </c>
      <c r="AN14" s="243">
        <f>SUM(AK14:AM15)</f>
        <v>26</v>
      </c>
      <c r="AO14" s="245">
        <v>0</v>
      </c>
      <c r="AP14" s="243"/>
      <c r="AQ14" s="243"/>
      <c r="AR14" s="243"/>
      <c r="AS14" s="239"/>
      <c r="AT14" s="22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8"/>
      <c r="B15" s="248"/>
      <c r="C15" s="250"/>
      <c r="D15" s="252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54"/>
      <c r="AL15" s="254"/>
      <c r="AM15" s="242"/>
      <c r="AN15" s="244"/>
      <c r="AO15" s="246"/>
      <c r="AP15" s="244"/>
      <c r="AQ15" s="244"/>
      <c r="AR15" s="244"/>
      <c r="AS15" s="240"/>
      <c r="AT15" s="22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7">
        <v>2</v>
      </c>
      <c r="B16" s="247" t="s">
        <v>164</v>
      </c>
      <c r="C16" s="249" t="str">
        <f>VLOOKUP(B16,DS,2,0)</f>
        <v>Đoàn Hồng Phong</v>
      </c>
      <c r="D16" s="251" t="str">
        <f>VLOOKUP(B16,DS,3,0)</f>
        <v>Thợ đóng - xả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>
        <v>8</v>
      </c>
      <c r="AK16" s="253">
        <f t="shared" ref="AK16" si="8">((SUM(F16:AJ16))/8)-(SUMIF($F$6:$AJ$6,"C.Nhật",F16:AJ16)/8)</f>
        <v>26</v>
      </c>
      <c r="AL16" s="253">
        <f t="shared" ref="AL16" si="9">SUM(F17:AJ17)/8*1.5</f>
        <v>0</v>
      </c>
      <c r="AM16" s="241">
        <f>SUMIF($F$6:$AJ$6,"C.Nhật",$F16:$AJ17)/8*2</f>
        <v>0</v>
      </c>
      <c r="AN16" s="243">
        <f t="shared" ref="AN16" si="10">SUM(AK16:AM17)</f>
        <v>26</v>
      </c>
      <c r="AO16" s="245">
        <v>0</v>
      </c>
      <c r="AP16" s="243"/>
      <c r="AQ16" s="243"/>
      <c r="AR16" s="243"/>
      <c r="AS16" s="239"/>
      <c r="AT16" s="22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4"/>
      <c r="AL17" s="254"/>
      <c r="AM17" s="242"/>
      <c r="AN17" s="244"/>
      <c r="AO17" s="246"/>
      <c r="AP17" s="244"/>
      <c r="AQ17" s="244"/>
      <c r="AR17" s="244"/>
      <c r="AS17" s="240"/>
      <c r="AT17" s="22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7">
        <v>3</v>
      </c>
      <c r="B18" s="247" t="s">
        <v>165</v>
      </c>
      <c r="C18" s="249" t="str">
        <f>VLOOKUP(B18,DS,2,0)</f>
        <v>Trần Hữu Tình</v>
      </c>
      <c r="D18" s="251" t="str">
        <f>VLOOKUP(B18,DS,3,0)</f>
        <v>Công nhân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>
        <v>8</v>
      </c>
      <c r="AK18" s="253">
        <f t="shared" ref="AK18" si="11">((SUM(F18:AJ18))/8)-(SUMIF($F$6:$AJ$6,"C.Nhật",F18:AJ18)/8)</f>
        <v>26</v>
      </c>
      <c r="AL18" s="253">
        <f t="shared" ref="AL18" si="12">SUM(F19:AJ19)/8*1.5</f>
        <v>0</v>
      </c>
      <c r="AM18" s="241">
        <f>SUMIF($F$6:$AJ$6,"C.Nhật",$F18:$AJ19)/8*2</f>
        <v>0</v>
      </c>
      <c r="AN18" s="243">
        <f t="shared" ref="AN18" si="13">SUM(AK18:AM19)</f>
        <v>26</v>
      </c>
      <c r="AO18" s="245">
        <v>0</v>
      </c>
      <c r="AP18" s="243"/>
      <c r="AQ18" s="243"/>
      <c r="AR18" s="243"/>
      <c r="AS18" s="239"/>
      <c r="AT18" s="22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4"/>
      <c r="AL19" s="254"/>
      <c r="AM19" s="242"/>
      <c r="AN19" s="244"/>
      <c r="AO19" s="246"/>
      <c r="AP19" s="244"/>
      <c r="AQ19" s="244"/>
      <c r="AR19" s="244"/>
      <c r="AS19" s="240"/>
      <c r="AT19" s="22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15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15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T5:AT6"/>
    <mergeCell ref="AO9:AO10"/>
    <mergeCell ref="AP9:AP10"/>
    <mergeCell ref="AQ9:AQ10"/>
    <mergeCell ref="AR9:AR10"/>
    <mergeCell ref="AS9:AS10"/>
    <mergeCell ref="AS5:AS6"/>
    <mergeCell ref="AR5:AR6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E5:E6"/>
    <mergeCell ref="AN5:AN6"/>
    <mergeCell ref="A11:A12"/>
    <mergeCell ref="B11:B12"/>
    <mergeCell ref="C11:C12"/>
    <mergeCell ref="D11:D12"/>
    <mergeCell ref="AK11:AK12"/>
    <mergeCell ref="AM1:AS1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K5:AM5"/>
    <mergeCell ref="AK9:AK10"/>
    <mergeCell ref="AN9:AN10"/>
    <mergeCell ref="D14:D15"/>
    <mergeCell ref="AK14:AK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L14:AL15"/>
    <mergeCell ref="AM14:AM15"/>
    <mergeCell ref="AN14:AN15"/>
    <mergeCell ref="AO14:AO15"/>
    <mergeCell ref="AP14:AP15"/>
    <mergeCell ref="A14:A15"/>
    <mergeCell ref="B14:B15"/>
    <mergeCell ref="C14:C15"/>
    <mergeCell ref="AQ18:AQ19"/>
    <mergeCell ref="AR18:AR19"/>
    <mergeCell ref="AS18:AS19"/>
    <mergeCell ref="AL18:AL19"/>
    <mergeCell ref="AM18:AM19"/>
    <mergeCell ref="AN18:AN19"/>
    <mergeCell ref="AO18:AO19"/>
    <mergeCell ref="AP18:AP19"/>
    <mergeCell ref="A18:A19"/>
    <mergeCell ref="B18:B19"/>
    <mergeCell ref="C18:C19"/>
    <mergeCell ref="D18:D19"/>
    <mergeCell ref="AK18:AK19"/>
  </mergeCells>
  <phoneticPr fontId="47" type="noConversion"/>
  <conditionalFormatting sqref="F5:AJ6 F9:AJ12">
    <cfRule type="expression" dxfId="123" priority="33" stopIfTrue="1">
      <formula>IF(WEEKDAY(F$5)=1,TRUE,FALSE)</formula>
    </cfRule>
  </conditionalFormatting>
  <conditionalFormatting sqref="F9:AJ12">
    <cfRule type="expression" dxfId="122" priority="30" stopIfTrue="1">
      <formula>IF(WEEKDAY(F$5)=1,TRUE,FALSE)</formula>
    </cfRule>
  </conditionalFormatting>
  <conditionalFormatting sqref="F14:AJ19">
    <cfRule type="expression" dxfId="121" priority="4" stopIfTrue="1">
      <formula>IF(WEEKDAY(F$5)=1,TRUE,FALSE)</formula>
    </cfRule>
  </conditionalFormatting>
  <conditionalFormatting sqref="F14:AJ19">
    <cfRule type="expression" dxfId="120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0"/>
  <sheetViews>
    <sheetView zoomScaleNormal="70" workbookViewId="0">
      <pane xSplit="3" ySplit="8" topLeftCell="D15" activePane="bottomRight" state="frozen"/>
      <selection activeCell="A2" sqref="A2:A3"/>
      <selection pane="topRight" activeCell="A2" sqref="A2:A3"/>
      <selection pane="bottomLeft" activeCell="A2" sqref="A2:A3"/>
      <selection pane="bottomRight" activeCell="A18" sqref="A18:XFD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77" t="str">
        <f>"BẢNG THANH TOÁN LƯƠNG THÁNG"&amp;" "&amp;TEXT($E$4,"mm")&amp;" / "&amp;TEXT($E$4,"yyyy")</f>
        <v>BẢNG THANH TOÁN LƯƠNG THÁNG 05 / 2012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9" t="s">
        <v>185</v>
      </c>
      <c r="S1" s="280"/>
      <c r="T1" s="28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3"/>
      <c r="N2" s="47"/>
      <c r="O2" s="47"/>
      <c r="P2" s="47"/>
      <c r="Q2" s="47"/>
      <c r="R2" s="47"/>
      <c r="S2" s="47"/>
      <c r="T2" s="59"/>
      <c r="U2" s="80">
        <f>MAX(F10:F19)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3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-5'!$E$4</f>
        <v>41030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2" t="s">
        <v>19</v>
      </c>
      <c r="B5" s="282" t="s">
        <v>20</v>
      </c>
      <c r="C5" s="232" t="s">
        <v>1</v>
      </c>
      <c r="D5" s="232" t="s">
        <v>2</v>
      </c>
      <c r="E5" s="227" t="s">
        <v>56</v>
      </c>
      <c r="F5" s="270" t="s">
        <v>26</v>
      </c>
      <c r="G5" s="272"/>
      <c r="H5" s="272"/>
      <c r="I5" s="272"/>
      <c r="J5" s="272"/>
      <c r="K5" s="271"/>
      <c r="L5" s="267" t="s">
        <v>57</v>
      </c>
      <c r="M5" s="267" t="s">
        <v>5</v>
      </c>
      <c r="N5" s="232" t="s">
        <v>6</v>
      </c>
      <c r="O5" s="232"/>
      <c r="P5" s="232"/>
      <c r="Q5" s="267" t="s">
        <v>7</v>
      </c>
      <c r="R5" s="267" t="s">
        <v>8</v>
      </c>
      <c r="S5" s="267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3"/>
      <c r="B6" s="283"/>
      <c r="C6" s="232"/>
      <c r="D6" s="232"/>
      <c r="E6" s="227"/>
      <c r="F6" s="270" t="s">
        <v>59</v>
      </c>
      <c r="G6" s="271"/>
      <c r="H6" s="270" t="s">
        <v>158</v>
      </c>
      <c r="I6" s="272"/>
      <c r="J6" s="273" t="s">
        <v>27</v>
      </c>
      <c r="K6" s="267" t="s">
        <v>4</v>
      </c>
      <c r="L6" s="268"/>
      <c r="M6" s="268"/>
      <c r="N6" s="275" t="s">
        <v>12</v>
      </c>
      <c r="O6" s="267" t="s">
        <v>13</v>
      </c>
      <c r="P6" s="267" t="s">
        <v>34</v>
      </c>
      <c r="Q6" s="268"/>
      <c r="R6" s="268"/>
      <c r="S6" s="268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3"/>
      <c r="B7" s="283"/>
      <c r="C7" s="267"/>
      <c r="D7" s="267"/>
      <c r="E7" s="227"/>
      <c r="F7" s="34" t="s">
        <v>40</v>
      </c>
      <c r="G7" s="35" t="s">
        <v>18</v>
      </c>
      <c r="H7" s="170" t="s">
        <v>40</v>
      </c>
      <c r="I7" s="128" t="s">
        <v>18</v>
      </c>
      <c r="J7" s="274"/>
      <c r="K7" s="268"/>
      <c r="L7" s="284"/>
      <c r="M7" s="284"/>
      <c r="N7" s="276"/>
      <c r="O7" s="268"/>
      <c r="P7" s="268"/>
      <c r="Q7" s="268"/>
      <c r="R7" s="268"/>
      <c r="S7" s="268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186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" si="0">VLOOKUP(B10,DS,2,0)</f>
        <v>Phan Văn Hiền</v>
      </c>
      <c r="D10" s="116" t="str">
        <f t="shared" ref="D10" si="1">VLOOKUP(B10,DS,3,0)</f>
        <v>Quản Đốc</v>
      </c>
      <c r="E10" s="90">
        <f t="shared" ref="E10" si="2">VLOOKUP(B10,DS,4,0)</f>
        <v>2500000</v>
      </c>
      <c r="F10" s="92">
        <f>VLOOKUP(B10,'CC -5'!$B$8:$AS$19,36,0)</f>
        <v>26</v>
      </c>
      <c r="G10" s="145">
        <f t="shared" ref="G10" si="3">ROUND(E10/$U$2*F10,0)</f>
        <v>2500000</v>
      </c>
      <c r="H10" s="92">
        <f>(VLOOKUP(B10,'CC -5'!$B$8:$AS$19,37,0)+VLOOKUP(B10,'CC -5'!$B$8:$AS$19,38,0))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2500000</v>
      </c>
      <c r="L10" s="90">
        <f t="shared" ref="L10" si="6">+F10*15000</f>
        <v>390000</v>
      </c>
      <c r="M10" s="40">
        <f t="shared" ref="M10" si="7">K10+L10</f>
        <v>2890000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2890000</v>
      </c>
      <c r="R10" s="39">
        <f>VLOOKUP(B10,DS,23,0)</f>
        <v>0</v>
      </c>
      <c r="S10" s="45">
        <f t="shared" ref="S10" si="9">Q10-R10</f>
        <v>2890000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183</v>
      </c>
      <c r="C11" s="89" t="str">
        <f t="shared" ref="C11" si="10">VLOOKUP(B11,DS,2,0)</f>
        <v>Nguyễn Thị Thu Sương</v>
      </c>
      <c r="D11" s="116" t="str">
        <f t="shared" ref="D11" si="11">VLOOKUP(B11,DS,3,0)</f>
        <v>Kinh Doanh</v>
      </c>
      <c r="E11" s="90">
        <f t="shared" ref="E11" si="12">VLOOKUP(B11,DS,4,0)</f>
        <v>2200000</v>
      </c>
      <c r="F11" s="92">
        <f>VLOOKUP(B11,'CC -5'!$B$8:$AS$19,36,0)</f>
        <v>26</v>
      </c>
      <c r="G11" s="145">
        <f t="shared" ref="G11" si="13">ROUND(E11/$U$2*F11,0)</f>
        <v>2200000</v>
      </c>
      <c r="H11" s="92">
        <f>(VLOOKUP(B11,'CC -5'!$B$8:$AS$19,37,0)+VLOOKUP(B11,'CC -5'!$B$8:$AS$19,38,0))</f>
        <v>0</v>
      </c>
      <c r="I11" s="145">
        <f t="shared" ref="I11" si="14">ROUND(E11/$U$2*H11,0)</f>
        <v>0</v>
      </c>
      <c r="J11" s="93">
        <f t="shared" ref="J11" si="15">F11+H11</f>
        <v>26</v>
      </c>
      <c r="K11" s="39">
        <f t="shared" ref="K11" si="16">G11+I11</f>
        <v>2200000</v>
      </c>
      <c r="L11" s="90">
        <f t="shared" ref="L11" si="17">+F11*15000</f>
        <v>390000</v>
      </c>
      <c r="M11" s="40">
        <f t="shared" ref="M11" si="18">K11+L11</f>
        <v>2590000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2590000</v>
      </c>
      <c r="R11" s="39">
        <f>VLOOKUP(B11,DS,23,0)</f>
        <v>0</v>
      </c>
      <c r="S11" s="45">
        <f t="shared" ref="S11" si="20">Q11-R11</f>
        <v>2590000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9" t="s">
        <v>25</v>
      </c>
      <c r="B13" s="269"/>
      <c r="C13" s="269"/>
      <c r="D13" s="269"/>
      <c r="E13" s="140">
        <f>SUM(E9:E11)</f>
        <v>4700000</v>
      </c>
      <c r="F13" s="140"/>
      <c r="G13" s="140">
        <f>SUM(G9:G11)</f>
        <v>4700000</v>
      </c>
      <c r="H13" s="140"/>
      <c r="I13" s="140">
        <f>SUM(I9:I11)</f>
        <v>0</v>
      </c>
      <c r="J13" s="140"/>
      <c r="K13" s="140">
        <f>SUM(K9:K11)</f>
        <v>4700000</v>
      </c>
      <c r="L13" s="140">
        <f>SUM(L9:L11)</f>
        <v>780000</v>
      </c>
      <c r="M13" s="140">
        <f>SUM(M9:M11)</f>
        <v>5480000</v>
      </c>
      <c r="N13" s="140">
        <f>SUM(N9:N11)</f>
        <v>0</v>
      </c>
      <c r="O13" s="140">
        <f>SUM(O9:O11)</f>
        <v>0</v>
      </c>
      <c r="P13" s="140">
        <f>SUM(P9:P11)</f>
        <v>0</v>
      </c>
      <c r="Q13" s="140">
        <f>SUM(Q9:Q11)</f>
        <v>5480000</v>
      </c>
      <c r="R13" s="140">
        <f>SUM(R9:R11)</f>
        <v>0</v>
      </c>
      <c r="S13" s="140">
        <f>SUM(S9:S11)</f>
        <v>5480000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21">VLOOKUP(B15,DS,2,0)</f>
        <v>Nguyễn Trường Giang</v>
      </c>
      <c r="D15" s="116" t="str">
        <f t="shared" ref="D15" si="22">VLOOKUP(B15,DS,3,0)</f>
        <v>Thợ in</v>
      </c>
      <c r="E15" s="90">
        <f t="shared" ref="E15" si="23">VLOOKUP(B15,DS,4,0)</f>
        <v>2000000</v>
      </c>
      <c r="F15" s="92">
        <f>VLOOKUP(B15,'CC -5'!$B$8:$AS$19,36,0)</f>
        <v>26</v>
      </c>
      <c r="G15" s="145">
        <f t="shared" ref="G15" si="24">ROUND(E15/$U$2*F15,0)</f>
        <v>2000000</v>
      </c>
      <c r="H15" s="92">
        <f>(VLOOKUP(B15,'CC -5'!$B$8:$AS$19,37,0)+VLOOKUP(B15,'CC -5'!$B$8:$AS$19,38,0))</f>
        <v>0</v>
      </c>
      <c r="I15" s="145">
        <f t="shared" ref="I15" si="25">ROUND(E15/$U$2*H15,0)</f>
        <v>0</v>
      </c>
      <c r="J15" s="146">
        <f t="shared" ref="J15" si="26">F15+H15</f>
        <v>26</v>
      </c>
      <c r="K15" s="39">
        <f t="shared" ref="K15" si="27">G15+I15</f>
        <v>2000000</v>
      </c>
      <c r="L15" s="90">
        <f t="shared" ref="L15" si="28">+F15*15000</f>
        <v>390000</v>
      </c>
      <c r="M15" s="40">
        <f t="shared" ref="M15" si="29">K15+L15</f>
        <v>2390000</v>
      </c>
      <c r="N15" s="40">
        <f>IF(VLOOKUP(B15,DS,9,0)="x",'L - 5'!E15*$N$4,0)</f>
        <v>0</v>
      </c>
      <c r="O15" s="40">
        <f t="shared" ref="O15" si="30">IF(VLOOKUP(B15,DS,9,0)="x",E15*0.015,0)</f>
        <v>0</v>
      </c>
      <c r="P15" s="40">
        <f t="shared" ref="P15" si="31">IF(VLOOKUP(B15,DS,9,0)="x",E15*0.01,0)</f>
        <v>0</v>
      </c>
      <c r="Q15" s="39">
        <f>M15-SUM(N15:P15)</f>
        <v>2390000</v>
      </c>
      <c r="R15" s="39">
        <f t="shared" ref="R15" si="32">VLOOKUP(B15,DS,23,0)</f>
        <v>0</v>
      </c>
      <c r="S15" s="45">
        <f>Q15-R15</f>
        <v>2390000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33">VLOOKUP(B16,DS,2,0)</f>
        <v>Đoàn Hồng Phong</v>
      </c>
      <c r="D16" s="116" t="str">
        <f t="shared" ref="D16:D17" si="34">VLOOKUP(B16,DS,3,0)</f>
        <v>Thợ đóng - xả</v>
      </c>
      <c r="E16" s="90">
        <f t="shared" ref="E16:E17" si="35">VLOOKUP(B16,DS,4,0)</f>
        <v>2000000</v>
      </c>
      <c r="F16" s="92">
        <f>VLOOKUP(B16,'CC -5'!$B$8:$AS$19,36,0)</f>
        <v>26</v>
      </c>
      <c r="G16" s="145">
        <f t="shared" ref="G16:G17" si="36">ROUND(E16/$U$2*F16,0)</f>
        <v>2000000</v>
      </c>
      <c r="H16" s="92">
        <f>(VLOOKUP(B16,'CC -5'!$B$8:$AS$19,37,0)+VLOOKUP(B16,'CC -5'!$B$8:$AS$19,38,0))</f>
        <v>0</v>
      </c>
      <c r="I16" s="145">
        <f t="shared" ref="I16:I17" si="37">ROUND(E16/$U$2*H16,0)</f>
        <v>0</v>
      </c>
      <c r="J16" s="146">
        <f t="shared" ref="J16:J17" si="38">F16+H16</f>
        <v>26</v>
      </c>
      <c r="K16" s="39">
        <f t="shared" ref="K16:K17" si="39">G16+I16</f>
        <v>2000000</v>
      </c>
      <c r="L16" s="90">
        <f t="shared" ref="L16:L17" si="40">+F16*15000</f>
        <v>390000</v>
      </c>
      <c r="M16" s="40">
        <f t="shared" ref="M16:M17" si="41">K16+L16</f>
        <v>2390000</v>
      </c>
      <c r="N16" s="40">
        <f>IF(VLOOKUP(B16,DS,9,0)="x",'L - 5'!E16*$N$4,0)</f>
        <v>0</v>
      </c>
      <c r="O16" s="40">
        <f t="shared" ref="O16:O17" si="42">IF(VLOOKUP(B16,DS,9,0)="x",E16*0.015,0)</f>
        <v>0</v>
      </c>
      <c r="P16" s="40">
        <f t="shared" ref="P16:P17" si="43">IF(VLOOKUP(B16,DS,9,0)="x",E16*0.01,0)</f>
        <v>0</v>
      </c>
      <c r="Q16" s="39">
        <f t="shared" ref="Q16:Q17" si="44">M16-SUM(N16:P16)</f>
        <v>2390000</v>
      </c>
      <c r="R16" s="39">
        <f t="shared" ref="R16:R17" si="45">VLOOKUP(B16,DS,23,0)</f>
        <v>0</v>
      </c>
      <c r="S16" s="45">
        <f t="shared" ref="S16:S17" si="46">Q16-R16</f>
        <v>2390000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33"/>
        <v>Trần Hữu Tình</v>
      </c>
      <c r="D17" s="116" t="str">
        <f t="shared" si="34"/>
        <v>Công nhân</v>
      </c>
      <c r="E17" s="90">
        <f t="shared" si="35"/>
        <v>1800000</v>
      </c>
      <c r="F17" s="92">
        <f>VLOOKUP(B17,'CC -5'!$B$8:$AS$19,36,0)</f>
        <v>26</v>
      </c>
      <c r="G17" s="145">
        <f t="shared" si="36"/>
        <v>1800000</v>
      </c>
      <c r="H17" s="92">
        <f>(VLOOKUP(B17,'CC -5'!$B$8:$AS$19,37,0)+VLOOKUP(B17,'CC -5'!$B$8:$AS$19,38,0))</f>
        <v>0</v>
      </c>
      <c r="I17" s="145">
        <f t="shared" si="37"/>
        <v>0</v>
      </c>
      <c r="J17" s="146">
        <f t="shared" si="38"/>
        <v>26</v>
      </c>
      <c r="K17" s="39">
        <f t="shared" si="39"/>
        <v>1800000</v>
      </c>
      <c r="L17" s="90">
        <f t="shared" si="40"/>
        <v>390000</v>
      </c>
      <c r="M17" s="40">
        <f t="shared" si="41"/>
        <v>2190000</v>
      </c>
      <c r="N17" s="40">
        <f>IF(VLOOKUP(B17,DS,9,0)="x",'L - 5'!E17*$N$4,0)</f>
        <v>0</v>
      </c>
      <c r="O17" s="40">
        <f t="shared" si="42"/>
        <v>0</v>
      </c>
      <c r="P17" s="40">
        <f t="shared" si="43"/>
        <v>0</v>
      </c>
      <c r="Q17" s="39">
        <f t="shared" si="44"/>
        <v>2190000</v>
      </c>
      <c r="R17" s="39">
        <f t="shared" si="45"/>
        <v>0</v>
      </c>
      <c r="S17" s="45">
        <f t="shared" si="46"/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9" t="s">
        <v>25</v>
      </c>
      <c r="B19" s="269"/>
      <c r="C19" s="269"/>
      <c r="D19" s="269"/>
      <c r="E19" s="140">
        <f>SUM(E14:E18)</f>
        <v>5800000</v>
      </c>
      <c r="F19" s="140"/>
      <c r="G19" s="140">
        <f>SUM(G14:G18)</f>
        <v>5800000</v>
      </c>
      <c r="H19" s="140"/>
      <c r="I19" s="140">
        <f>SUM(I14:I18)</f>
        <v>0</v>
      </c>
      <c r="J19" s="140"/>
      <c r="K19" s="140">
        <f>SUM(K14:K18)</f>
        <v>5800000</v>
      </c>
      <c r="L19" s="140">
        <f>SUM(L14:L18)</f>
        <v>1170000</v>
      </c>
      <c r="M19" s="140">
        <f>SUM(M14:M18)</f>
        <v>6970000</v>
      </c>
      <c r="N19" s="140">
        <f>SUM(N14:N18)</f>
        <v>0</v>
      </c>
      <c r="O19" s="140">
        <f>SUM(O14:O18)</f>
        <v>0</v>
      </c>
      <c r="P19" s="140">
        <f>SUM(P14:P18)</f>
        <v>0</v>
      </c>
      <c r="Q19" s="140">
        <f>SUM(Q14:Q18)</f>
        <v>6970000</v>
      </c>
      <c r="R19" s="140">
        <f>SUM(R14:R18)</f>
        <v>0</v>
      </c>
      <c r="S19" s="140">
        <f>SUM(S14:S18)</f>
        <v>6970000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05   năm 2012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N5:P6 L5 L22 J6:K7 L7 A25:T58 U31:U58 N18:S18 V25:IK58 W12 J18:L18 A59:IK65326 Q12:S12 AF14:IK14 V13:IK13 D13:T13 D19:T19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19:D19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13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20" sqref="A20:XFD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1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185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41061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57" t="s">
        <v>29</v>
      </c>
      <c r="E5" s="263" t="s">
        <v>30</v>
      </c>
      <c r="F5" s="118">
        <f>+E4</f>
        <v>41061</v>
      </c>
      <c r="G5" s="118">
        <f t="shared" ref="G5:AJ5" si="0">F5+1</f>
        <v>41062</v>
      </c>
      <c r="H5" s="118">
        <f t="shared" si="0"/>
        <v>41063</v>
      </c>
      <c r="I5" s="118">
        <f t="shared" si="0"/>
        <v>41064</v>
      </c>
      <c r="J5" s="118">
        <f t="shared" si="0"/>
        <v>41065</v>
      </c>
      <c r="K5" s="118">
        <f t="shared" si="0"/>
        <v>41066</v>
      </c>
      <c r="L5" s="118">
        <f t="shared" si="0"/>
        <v>41067</v>
      </c>
      <c r="M5" s="118">
        <f t="shared" si="0"/>
        <v>41068</v>
      </c>
      <c r="N5" s="118">
        <f t="shared" si="0"/>
        <v>41069</v>
      </c>
      <c r="O5" s="118">
        <f t="shared" si="0"/>
        <v>41070</v>
      </c>
      <c r="P5" s="118">
        <f t="shared" si="0"/>
        <v>41071</v>
      </c>
      <c r="Q5" s="118">
        <f t="shared" si="0"/>
        <v>41072</v>
      </c>
      <c r="R5" s="118">
        <f t="shared" si="0"/>
        <v>41073</v>
      </c>
      <c r="S5" s="118">
        <f t="shared" si="0"/>
        <v>41074</v>
      </c>
      <c r="T5" s="118">
        <f t="shared" si="0"/>
        <v>41075</v>
      </c>
      <c r="U5" s="118">
        <f t="shared" si="0"/>
        <v>41076</v>
      </c>
      <c r="V5" s="118">
        <f t="shared" si="0"/>
        <v>41077</v>
      </c>
      <c r="W5" s="118">
        <f t="shared" si="0"/>
        <v>41078</v>
      </c>
      <c r="X5" s="118">
        <f t="shared" si="0"/>
        <v>41079</v>
      </c>
      <c r="Y5" s="118">
        <f t="shared" si="0"/>
        <v>41080</v>
      </c>
      <c r="Z5" s="118">
        <f t="shared" si="0"/>
        <v>41081</v>
      </c>
      <c r="AA5" s="118">
        <f t="shared" si="0"/>
        <v>41082</v>
      </c>
      <c r="AB5" s="118">
        <f t="shared" si="0"/>
        <v>41083</v>
      </c>
      <c r="AC5" s="118">
        <f t="shared" si="0"/>
        <v>41084</v>
      </c>
      <c r="AD5" s="118">
        <f t="shared" si="0"/>
        <v>41085</v>
      </c>
      <c r="AE5" s="118">
        <f t="shared" si="0"/>
        <v>41086</v>
      </c>
      <c r="AF5" s="118">
        <f t="shared" si="0"/>
        <v>41087</v>
      </c>
      <c r="AG5" s="118">
        <f t="shared" si="0"/>
        <v>41088</v>
      </c>
      <c r="AH5" s="118">
        <f>AG5+1</f>
        <v>41089</v>
      </c>
      <c r="AI5" s="118">
        <f t="shared" si="0"/>
        <v>41090</v>
      </c>
      <c r="AJ5" s="118">
        <f t="shared" si="0"/>
        <v>41091</v>
      </c>
      <c r="AK5" s="264" t="s">
        <v>15</v>
      </c>
      <c r="AL5" s="265"/>
      <c r="AM5" s="266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7" t="s">
        <v>0</v>
      </c>
      <c r="AT5" s="25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8"/>
      <c r="B6" s="258"/>
      <c r="C6" s="258"/>
      <c r="D6" s="258"/>
      <c r="E6" s="258"/>
      <c r="F6" s="174" t="str">
        <f>CHOOSE(WEEKDAY(F5),"C.Nhật","T.Hai","T.Ba","T.Tư","T.Năm","T.Sáu","T.Bảy")</f>
        <v>T.Sáu</v>
      </c>
      <c r="G6" s="174" t="str">
        <f t="shared" ref="G6:AJ6" si="1">CHOOSE(WEEKDAY(G5),"C.Nhật","T.Hai","T.Ba","T.Tư","T.Năm","T.Sáu","T.Bảy")</f>
        <v>T.Bảy</v>
      </c>
      <c r="H6" s="174" t="str">
        <f t="shared" si="1"/>
        <v>C.Nhật</v>
      </c>
      <c r="I6" s="174" t="str">
        <f t="shared" si="1"/>
        <v>T.Hai</v>
      </c>
      <c r="J6" s="174" t="str">
        <f t="shared" si="1"/>
        <v>T.Ba</v>
      </c>
      <c r="K6" s="174" t="str">
        <f t="shared" si="1"/>
        <v>T.Tư</v>
      </c>
      <c r="L6" s="174" t="str">
        <f t="shared" si="1"/>
        <v>T.Năm</v>
      </c>
      <c r="M6" s="174" t="str">
        <f t="shared" si="1"/>
        <v>T.Sáu</v>
      </c>
      <c r="N6" s="174" t="str">
        <f t="shared" si="1"/>
        <v>T.Bảy</v>
      </c>
      <c r="O6" s="174" t="str">
        <f t="shared" si="1"/>
        <v>C.Nhật</v>
      </c>
      <c r="P6" s="174" t="str">
        <f t="shared" si="1"/>
        <v>T.Hai</v>
      </c>
      <c r="Q6" s="174" t="str">
        <f t="shared" si="1"/>
        <v>T.Ba</v>
      </c>
      <c r="R6" s="174" t="str">
        <f t="shared" si="1"/>
        <v>T.Tư</v>
      </c>
      <c r="S6" s="174" t="str">
        <f t="shared" si="1"/>
        <v>T.Năm</v>
      </c>
      <c r="T6" s="174" t="str">
        <f t="shared" si="1"/>
        <v>T.Sáu</v>
      </c>
      <c r="U6" s="174" t="str">
        <f t="shared" si="1"/>
        <v>T.Bảy</v>
      </c>
      <c r="V6" s="174" t="str">
        <f t="shared" si="1"/>
        <v>C.Nhật</v>
      </c>
      <c r="W6" s="174" t="str">
        <f t="shared" si="1"/>
        <v>T.Hai</v>
      </c>
      <c r="X6" s="174" t="str">
        <f t="shared" si="1"/>
        <v>T.Ba</v>
      </c>
      <c r="Y6" s="174" t="str">
        <f t="shared" si="1"/>
        <v>T.Tư</v>
      </c>
      <c r="Z6" s="174" t="str">
        <f t="shared" si="1"/>
        <v>T.Năm</v>
      </c>
      <c r="AA6" s="174" t="str">
        <f t="shared" si="1"/>
        <v>T.Sáu</v>
      </c>
      <c r="AB6" s="174" t="str">
        <f t="shared" si="1"/>
        <v>T.Bảy</v>
      </c>
      <c r="AC6" s="174" t="str">
        <f t="shared" si="1"/>
        <v>C.Nhật</v>
      </c>
      <c r="AD6" s="174" t="str">
        <f t="shared" si="1"/>
        <v>T.Hai</v>
      </c>
      <c r="AE6" s="174" t="str">
        <f t="shared" si="1"/>
        <v>T.Ba</v>
      </c>
      <c r="AF6" s="174" t="str">
        <f t="shared" si="1"/>
        <v>T.Tư</v>
      </c>
      <c r="AG6" s="174" t="str">
        <f t="shared" si="1"/>
        <v>T.Năm</v>
      </c>
      <c r="AH6" s="174" t="str">
        <f t="shared" si="1"/>
        <v>T.Sáu</v>
      </c>
      <c r="AI6" s="174" t="str">
        <f t="shared" si="1"/>
        <v>T.Bảy</v>
      </c>
      <c r="AJ6" s="174" t="str">
        <f t="shared" si="1"/>
        <v>C.Nhật</v>
      </c>
      <c r="AK6" s="175" t="s">
        <v>16</v>
      </c>
      <c r="AL6" s="175" t="s">
        <v>31</v>
      </c>
      <c r="AM6" s="176" t="s">
        <v>17</v>
      </c>
      <c r="AN6" s="256"/>
      <c r="AO6" s="256"/>
      <c r="AP6" s="256"/>
      <c r="AQ6" s="256"/>
      <c r="AR6" s="256"/>
      <c r="AS6" s="258"/>
      <c r="AT6" s="25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19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186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7">
        <v>1</v>
      </c>
      <c r="B9" s="247" t="s">
        <v>162</v>
      </c>
      <c r="C9" s="249" t="str">
        <f>VLOOKUP(B9,DS,2,0)</f>
        <v>Phan Văn Hiền</v>
      </c>
      <c r="D9" s="251" t="str">
        <f>VLOOKUP(B9,DS,3,0)</f>
        <v>Quản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53">
        <f>((SUM(F9:AJ9))/8)-(SUMIF($F$6:$AJ$6,"C.Nhật",F9:AJ9)/8)</f>
        <v>26</v>
      </c>
      <c r="AL9" s="253">
        <f>SUM(F10:AJ10)/8*1.5</f>
        <v>0</v>
      </c>
      <c r="AM9" s="241">
        <f>SUMIF($F$6:$AJ$6,"C.Nhật",$F9:$AJ10)/8*2</f>
        <v>0</v>
      </c>
      <c r="AN9" s="243">
        <f>SUM(AK9:AM10)</f>
        <v>26</v>
      </c>
      <c r="AO9" s="245">
        <v>0</v>
      </c>
      <c r="AP9" s="243"/>
      <c r="AQ9" s="243"/>
      <c r="AR9" s="243"/>
      <c r="AS9" s="239"/>
      <c r="AT9" s="19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4"/>
      <c r="AL10" s="254"/>
      <c r="AM10" s="242"/>
      <c r="AN10" s="244"/>
      <c r="AO10" s="246"/>
      <c r="AP10" s="244"/>
      <c r="AQ10" s="244"/>
      <c r="AR10" s="244"/>
      <c r="AS10" s="240"/>
      <c r="AT10" s="19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f>A7+1</f>
        <v>2</v>
      </c>
      <c r="B11" s="247" t="s">
        <v>183</v>
      </c>
      <c r="C11" s="249" t="str">
        <f>VLOOKUP(B11,DS,2,0)</f>
        <v>Nguyễn Thị Thu Sương</v>
      </c>
      <c r="D11" s="251" t="str">
        <f>VLOOKUP(B11,DS,3,0)</f>
        <v>Kinh Doanh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53">
        <f t="shared" ref="AK11" si="2">((SUM(F11:AJ11))/8)-(SUMIF($F$6:$AJ$6,"C.Nhật",F11:AJ11)/8)</f>
        <v>26</v>
      </c>
      <c r="AL11" s="253">
        <f t="shared" ref="AL11" si="3">SUM(F12:AJ12)/8*1.5</f>
        <v>0</v>
      </c>
      <c r="AM11" s="241">
        <f t="shared" ref="AM11" si="4">SUMIF($F$6:$AJ$6,"C.Nhật",$F11:$AJ12)/8*2</f>
        <v>0</v>
      </c>
      <c r="AN11" s="243">
        <f t="shared" ref="AN11" si="5">SUM(AK11:AM12)</f>
        <v>26</v>
      </c>
      <c r="AO11" s="245">
        <v>0</v>
      </c>
      <c r="AP11" s="243"/>
      <c r="AQ11" s="243"/>
      <c r="AR11" s="243"/>
      <c r="AS11" s="239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4"/>
      <c r="AL12" s="254"/>
      <c r="AM12" s="242"/>
      <c r="AN12" s="244"/>
      <c r="AO12" s="246"/>
      <c r="AP12" s="244"/>
      <c r="AQ12" s="244"/>
      <c r="AR12" s="244"/>
      <c r="AS12" s="240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7">
        <v>1</v>
      </c>
      <c r="B14" s="247" t="s">
        <v>163</v>
      </c>
      <c r="C14" s="249" t="str">
        <f>VLOOKUP(B14,DS,2,0)</f>
        <v>Nguyễn Trường Giang</v>
      </c>
      <c r="D14" s="251" t="str">
        <f>VLOOKUP(B14,DS,3,0)</f>
        <v>Thợ in</v>
      </c>
      <c r="E14" s="68" t="s">
        <v>32</v>
      </c>
      <c r="F14" s="143">
        <v>8</v>
      </c>
      <c r="G14" s="143">
        <v>8</v>
      </c>
      <c r="H14" s="143"/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/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/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/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/>
      <c r="AK14" s="253">
        <f t="shared" ref="AK14" si="6">((SUM(F14:AJ14))/8)-(SUMIF($F$6:$AJ$6,"C.Nhật",F14:AJ14)/8)</f>
        <v>26</v>
      </c>
      <c r="AL14" s="253">
        <f t="shared" ref="AL14" si="7">SUM(F15:AJ15)/8*1.5</f>
        <v>0</v>
      </c>
      <c r="AM14" s="241">
        <f>SUMIF($F$6:$AJ$6,"C.Nhật",$F14:$AJ15)/8*2</f>
        <v>0</v>
      </c>
      <c r="AN14" s="243">
        <f>SUM(AK14:AM15)</f>
        <v>26</v>
      </c>
      <c r="AO14" s="245">
        <v>0</v>
      </c>
      <c r="AP14" s="243"/>
      <c r="AQ14" s="243"/>
      <c r="AR14" s="243"/>
      <c r="AS14" s="239"/>
      <c r="AT14" s="22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8"/>
      <c r="B15" s="248"/>
      <c r="C15" s="250"/>
      <c r="D15" s="252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54"/>
      <c r="AL15" s="254"/>
      <c r="AM15" s="242"/>
      <c r="AN15" s="244"/>
      <c r="AO15" s="246"/>
      <c r="AP15" s="244"/>
      <c r="AQ15" s="244"/>
      <c r="AR15" s="244"/>
      <c r="AS15" s="240"/>
      <c r="AT15" s="22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7">
        <v>2</v>
      </c>
      <c r="B16" s="247" t="s">
        <v>164</v>
      </c>
      <c r="C16" s="249" t="str">
        <f>VLOOKUP(B16,DS,2,0)</f>
        <v>Đoàn Hồng Phong</v>
      </c>
      <c r="D16" s="251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53">
        <f t="shared" ref="AK16" si="8">((SUM(F16:AJ16))/8)-(SUMIF($F$6:$AJ$6,"C.Nhật",F16:AJ16)/8)</f>
        <v>26</v>
      </c>
      <c r="AL16" s="253">
        <f t="shared" ref="AL16" si="9">SUM(F17:AJ17)/8*1.5</f>
        <v>0</v>
      </c>
      <c r="AM16" s="241">
        <f>SUMIF($F$6:$AJ$6,"C.Nhật",$F16:$AJ17)/8*2</f>
        <v>0</v>
      </c>
      <c r="AN16" s="243">
        <f t="shared" ref="AN16" si="10">SUM(AK16:AM17)</f>
        <v>26</v>
      </c>
      <c r="AO16" s="245">
        <v>0</v>
      </c>
      <c r="AP16" s="243"/>
      <c r="AQ16" s="243"/>
      <c r="AR16" s="243"/>
      <c r="AS16" s="239"/>
      <c r="AT16" s="22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4"/>
      <c r="AL17" s="254"/>
      <c r="AM17" s="242"/>
      <c r="AN17" s="244"/>
      <c r="AO17" s="246"/>
      <c r="AP17" s="244"/>
      <c r="AQ17" s="244"/>
      <c r="AR17" s="244"/>
      <c r="AS17" s="240"/>
      <c r="AT17" s="22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7">
        <v>3</v>
      </c>
      <c r="B18" s="247" t="s">
        <v>165</v>
      </c>
      <c r="C18" s="249" t="str">
        <f>VLOOKUP(B18,DS,2,0)</f>
        <v>Trần Hữu Tình</v>
      </c>
      <c r="D18" s="251" t="str">
        <f>VLOOKUP(B18,DS,3,0)</f>
        <v>Công nhân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53">
        <f t="shared" ref="AK18" si="11">((SUM(F18:AJ18))/8)-(SUMIF($F$6:$AJ$6,"C.Nhật",F18:AJ18)/8)</f>
        <v>26</v>
      </c>
      <c r="AL18" s="253">
        <f t="shared" ref="AL18" si="12">SUM(F19:AJ19)/8*1.5</f>
        <v>0</v>
      </c>
      <c r="AM18" s="241">
        <f>SUMIF($F$6:$AJ$6,"C.Nhật",$F18:$AJ19)/8*2</f>
        <v>0</v>
      </c>
      <c r="AN18" s="243">
        <f t="shared" ref="AN18" si="13">SUM(AK18:AM19)</f>
        <v>26</v>
      </c>
      <c r="AO18" s="245">
        <v>0</v>
      </c>
      <c r="AP18" s="243"/>
      <c r="AQ18" s="243"/>
      <c r="AR18" s="243"/>
      <c r="AS18" s="239"/>
      <c r="AT18" s="22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4"/>
      <c r="AL19" s="254"/>
      <c r="AM19" s="242"/>
      <c r="AN19" s="244"/>
      <c r="AO19" s="246"/>
      <c r="AP19" s="244"/>
      <c r="AQ19" s="244"/>
      <c r="AR19" s="244"/>
      <c r="AS19" s="240"/>
      <c r="AT19" s="22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91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91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C11:C12"/>
    <mergeCell ref="D11:D12"/>
    <mergeCell ref="AK11:AK12"/>
    <mergeCell ref="AL11:AL12"/>
    <mergeCell ref="AM11:AM12"/>
    <mergeCell ref="AN11:AN12"/>
    <mergeCell ref="AO11:AO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P11:AP12"/>
    <mergeCell ref="AQ11:AQ12"/>
    <mergeCell ref="AR11:AR12"/>
    <mergeCell ref="AS11:AS12"/>
    <mergeCell ref="A11:A12"/>
    <mergeCell ref="B11:B12"/>
    <mergeCell ref="D14:D15"/>
    <mergeCell ref="AK14:AK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L14:AL15"/>
    <mergeCell ref="AM14:AM15"/>
    <mergeCell ref="AN14:AN15"/>
    <mergeCell ref="AO14:AO15"/>
    <mergeCell ref="AP14:AP15"/>
    <mergeCell ref="A14:A15"/>
    <mergeCell ref="B14:B15"/>
    <mergeCell ref="C14:C15"/>
    <mergeCell ref="AQ18:AQ19"/>
    <mergeCell ref="AR18:AR19"/>
    <mergeCell ref="AS18:AS19"/>
    <mergeCell ref="AL18:AL19"/>
    <mergeCell ref="AM18:AM19"/>
    <mergeCell ref="AN18:AN19"/>
    <mergeCell ref="AO18:AO19"/>
    <mergeCell ref="AP18:AP19"/>
    <mergeCell ref="A18:A19"/>
    <mergeCell ref="B18:B19"/>
    <mergeCell ref="C18:C19"/>
    <mergeCell ref="D18:D19"/>
    <mergeCell ref="AK18:AK19"/>
  </mergeCells>
  <conditionalFormatting sqref="F5:AJ6 F9:AJ10 F11:AI12">
    <cfRule type="expression" dxfId="119" priority="25" stopIfTrue="1">
      <formula>IF(WEEKDAY(F$5)=1,TRUE,FALSE)</formula>
    </cfRule>
  </conditionalFormatting>
  <conditionalFormatting sqref="F9:AJ10 F11:AI12">
    <cfRule type="expression" dxfId="118" priority="24" stopIfTrue="1">
      <formula>IF(WEEKDAY(F$5)=1,TRUE,FALSE)</formula>
    </cfRule>
  </conditionalFormatting>
  <conditionalFormatting sqref="AJ11:AJ12">
    <cfRule type="expression" dxfId="111" priority="15" stopIfTrue="1">
      <formula>IF(WEEKDAY(AJ$5)=1,TRUE,FALSE)</formula>
    </cfRule>
  </conditionalFormatting>
  <conditionalFormatting sqref="AJ11:AJ12">
    <cfRule type="expression" dxfId="110" priority="14" stopIfTrue="1">
      <formula>IF(WEEKDAY(AJ$5)=1,TRUE,FALSE)</formula>
    </cfRule>
  </conditionalFormatting>
  <conditionalFormatting sqref="AJ14:AJ19">
    <cfRule type="expression" dxfId="109" priority="13" stopIfTrue="1">
      <formula>IF(WEEKDAY(AJ$5)=1,TRUE,FALSE)</formula>
    </cfRule>
  </conditionalFormatting>
  <conditionalFormatting sqref="AJ14:AJ19">
    <cfRule type="expression" dxfId="108" priority="12" stopIfTrue="1">
      <formula>IF(WEEKDAY(AJ$5)=1,TRUE,FALSE)</formula>
    </cfRule>
  </conditionalFormatting>
  <conditionalFormatting sqref="AJ14:AJ19">
    <cfRule type="expression" dxfId="107" priority="11" stopIfTrue="1">
      <formula>IF(WEEKDAY(AJ$5)=1,TRUE,FALSE)</formula>
    </cfRule>
  </conditionalFormatting>
  <conditionalFormatting sqref="AJ14:AJ19">
    <cfRule type="expression" dxfId="106" priority="9" stopIfTrue="1">
      <formula>IF(WEEKDAY(AJ$5)=1,TRUE,FALSE)</formula>
    </cfRule>
  </conditionalFormatting>
  <conditionalFormatting sqref="AJ14:AJ19">
    <cfRule type="expression" dxfId="105" priority="7" stopIfTrue="1">
      <formula>IF(WEEKDAY(AJ$5)=1,TRUE,FALSE)</formula>
    </cfRule>
  </conditionalFormatting>
  <conditionalFormatting sqref="AJ14:AJ19">
    <cfRule type="expression" dxfId="104" priority="6" stopIfTrue="1">
      <formula>IF(WEEKDAY(AJ$5)=1,TRUE,FALSE)</formula>
    </cfRule>
  </conditionalFormatting>
  <conditionalFormatting sqref="AJ14:AJ19">
    <cfRule type="expression" dxfId="103" priority="5" stopIfTrue="1">
      <formula>IF(WEEKDAY(AJ$5)=1,TRUE,FALSE)</formula>
    </cfRule>
  </conditionalFormatting>
  <conditionalFormatting sqref="F14:AI19">
    <cfRule type="expression" dxfId="102" priority="4" stopIfTrue="1">
      <formula>IF(WEEKDAY(F$5)=1,TRUE,FALSE)</formula>
    </cfRule>
  </conditionalFormatting>
  <conditionalFormatting sqref="F14:AI19">
    <cfRule type="expression" dxfId="101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5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8" sqref="A18:XFD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4"/>
      <c r="C1" s="194"/>
      <c r="D1" s="277" t="str">
        <f>"BẢNG THANH TOÁN LƯƠNG THÁNG"&amp;" "&amp;TEXT($E$4,"mm")&amp;" / "&amp;TEXT($E$4,"yyyy")</f>
        <v>BẢNG THANH TOÁN LƯƠNG THÁNG 06 / 2012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9" t="s">
        <v>185</v>
      </c>
      <c r="S1" s="280"/>
      <c r="T1" s="28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194"/>
      <c r="C2" s="194"/>
      <c r="D2" s="194"/>
      <c r="E2" s="81"/>
      <c r="F2" s="194"/>
      <c r="G2" s="194"/>
      <c r="H2" s="194"/>
      <c r="I2" s="194"/>
      <c r="J2" s="82"/>
      <c r="K2" s="194"/>
      <c r="L2" s="194"/>
      <c r="M2" s="194"/>
      <c r="N2" s="194"/>
      <c r="O2" s="194"/>
      <c r="P2" s="194"/>
      <c r="Q2" s="194"/>
      <c r="R2" s="194"/>
      <c r="S2" s="194"/>
      <c r="T2" s="59"/>
      <c r="U2" s="80">
        <f>MAX(F10:F19)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194"/>
      <c r="C3" s="194"/>
      <c r="D3" s="194"/>
      <c r="E3" s="81"/>
      <c r="F3" s="194"/>
      <c r="G3" s="194"/>
      <c r="H3" s="194"/>
      <c r="I3" s="194"/>
      <c r="J3" s="82"/>
      <c r="K3" s="194"/>
      <c r="L3" s="194"/>
      <c r="M3" s="194"/>
      <c r="N3" s="194"/>
      <c r="O3" s="194"/>
      <c r="P3" s="194"/>
      <c r="Q3" s="194"/>
      <c r="R3" s="194"/>
      <c r="S3" s="194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-6'!$E$4</f>
        <v>41061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2" t="s">
        <v>19</v>
      </c>
      <c r="B5" s="282" t="s">
        <v>20</v>
      </c>
      <c r="C5" s="232" t="s">
        <v>1</v>
      </c>
      <c r="D5" s="232" t="s">
        <v>2</v>
      </c>
      <c r="E5" s="227" t="s">
        <v>56</v>
      </c>
      <c r="F5" s="270" t="s">
        <v>26</v>
      </c>
      <c r="G5" s="272"/>
      <c r="H5" s="272"/>
      <c r="I5" s="272"/>
      <c r="J5" s="272"/>
      <c r="K5" s="271"/>
      <c r="L5" s="267" t="s">
        <v>57</v>
      </c>
      <c r="M5" s="267" t="s">
        <v>5</v>
      </c>
      <c r="N5" s="232" t="s">
        <v>6</v>
      </c>
      <c r="O5" s="232"/>
      <c r="P5" s="232"/>
      <c r="Q5" s="267" t="s">
        <v>7</v>
      </c>
      <c r="R5" s="267" t="s">
        <v>8</v>
      </c>
      <c r="S5" s="267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3"/>
      <c r="B6" s="283"/>
      <c r="C6" s="232"/>
      <c r="D6" s="232"/>
      <c r="E6" s="227"/>
      <c r="F6" s="270" t="s">
        <v>59</v>
      </c>
      <c r="G6" s="271"/>
      <c r="H6" s="270" t="s">
        <v>158</v>
      </c>
      <c r="I6" s="272"/>
      <c r="J6" s="273" t="s">
        <v>27</v>
      </c>
      <c r="K6" s="267" t="s">
        <v>4</v>
      </c>
      <c r="L6" s="268"/>
      <c r="M6" s="268"/>
      <c r="N6" s="275" t="s">
        <v>12</v>
      </c>
      <c r="O6" s="267" t="s">
        <v>13</v>
      </c>
      <c r="P6" s="267" t="s">
        <v>34</v>
      </c>
      <c r="Q6" s="268"/>
      <c r="R6" s="268"/>
      <c r="S6" s="268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3"/>
      <c r="B7" s="283"/>
      <c r="C7" s="267"/>
      <c r="D7" s="267"/>
      <c r="E7" s="227"/>
      <c r="F7" s="195" t="s">
        <v>40</v>
      </c>
      <c r="G7" s="192" t="s">
        <v>18</v>
      </c>
      <c r="H7" s="195" t="s">
        <v>40</v>
      </c>
      <c r="I7" s="128" t="s">
        <v>18</v>
      </c>
      <c r="J7" s="274"/>
      <c r="K7" s="268"/>
      <c r="L7" s="284"/>
      <c r="M7" s="284"/>
      <c r="N7" s="276"/>
      <c r="O7" s="268"/>
      <c r="P7" s="268"/>
      <c r="Q7" s="268"/>
      <c r="R7" s="268"/>
      <c r="S7" s="268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186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" si="0">VLOOKUP(B10,DS,2,0)</f>
        <v>Phan Văn Hiền</v>
      </c>
      <c r="D10" s="116" t="str">
        <f t="shared" ref="D10" si="1">VLOOKUP(B10,DS,3,0)</f>
        <v>Quản Đốc</v>
      </c>
      <c r="E10" s="90">
        <f t="shared" ref="E10" si="2">VLOOKUP(B10,DS,4,0)</f>
        <v>2500000</v>
      </c>
      <c r="F10" s="92">
        <f>VLOOKUP(B10,'CC -6'!$B$8:$AS$19,36,0)</f>
        <v>26</v>
      </c>
      <c r="G10" s="145">
        <f t="shared" ref="G10" si="3">ROUND(E10/$U$2*F10,0)</f>
        <v>2500000</v>
      </c>
      <c r="H10" s="92">
        <f>(VLOOKUP(B10,'CC -6'!$B$8:$AS$19,37,0)+VLOOKUP(B10,'CC -6'!$B$8:$AS$19,38,0))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2500000</v>
      </c>
      <c r="L10" s="90">
        <f t="shared" ref="L10" si="6">+F10*15000</f>
        <v>390000</v>
      </c>
      <c r="M10" s="40">
        <f t="shared" ref="M10" si="7">K10+L10</f>
        <v>2890000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2890000</v>
      </c>
      <c r="R10" s="39">
        <f>VLOOKUP(B10,DS,23,0)</f>
        <v>0</v>
      </c>
      <c r="S10" s="45">
        <f t="shared" ref="S10" si="9">Q10-R10</f>
        <v>2890000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183</v>
      </c>
      <c r="C11" s="89" t="str">
        <f t="shared" ref="C11" si="10">VLOOKUP(B11,DS,2,0)</f>
        <v>Nguyễn Thị Thu Sương</v>
      </c>
      <c r="D11" s="116" t="str">
        <f t="shared" ref="D11" si="11">VLOOKUP(B11,DS,3,0)</f>
        <v>Kinh Doanh</v>
      </c>
      <c r="E11" s="90">
        <f t="shared" ref="E11" si="12">VLOOKUP(B11,DS,4,0)</f>
        <v>2200000</v>
      </c>
      <c r="F11" s="92">
        <f>VLOOKUP(B11,'CC -6'!$B$8:$AS$19,36,0)</f>
        <v>26</v>
      </c>
      <c r="G11" s="145">
        <f t="shared" ref="G11" si="13">ROUND(E11/$U$2*F11,0)</f>
        <v>2200000</v>
      </c>
      <c r="H11" s="92">
        <f>(VLOOKUP(B11,'CC -6'!$B$8:$AS$19,37,0)+VLOOKUP(B11,'CC -6'!$B$8:$AS$19,38,0))</f>
        <v>0</v>
      </c>
      <c r="I11" s="145">
        <f t="shared" ref="I11" si="14">ROUND(E11/$U$2*H11,0)</f>
        <v>0</v>
      </c>
      <c r="J11" s="93">
        <f t="shared" ref="J11" si="15">F11+H11</f>
        <v>26</v>
      </c>
      <c r="K11" s="39">
        <f t="shared" ref="K11" si="16">G11+I11</f>
        <v>2200000</v>
      </c>
      <c r="L11" s="90">
        <f t="shared" ref="L11" si="17">+F11*15000</f>
        <v>390000</v>
      </c>
      <c r="M11" s="40">
        <f t="shared" ref="M11" si="18">K11+L11</f>
        <v>2590000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" si="19">M11-SUM(N11:P11)</f>
        <v>2590000</v>
      </c>
      <c r="R11" s="39">
        <f>VLOOKUP(B11,DS,23,0)</f>
        <v>0</v>
      </c>
      <c r="S11" s="45">
        <f t="shared" ref="S11" si="20">Q11-R11</f>
        <v>2590000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9" t="s">
        <v>25</v>
      </c>
      <c r="B13" s="269"/>
      <c r="C13" s="269"/>
      <c r="D13" s="269"/>
      <c r="E13" s="140">
        <f>SUM(E9:E11)</f>
        <v>4700000</v>
      </c>
      <c r="F13" s="140"/>
      <c r="G13" s="140">
        <f>SUM(G9:G11)</f>
        <v>4700000</v>
      </c>
      <c r="H13" s="140"/>
      <c r="I13" s="140">
        <f>SUM(I9:I11)</f>
        <v>0</v>
      </c>
      <c r="J13" s="140"/>
      <c r="K13" s="140">
        <f>SUM(K9:K11)</f>
        <v>4700000</v>
      </c>
      <c r="L13" s="140">
        <f>SUM(L9:L11)</f>
        <v>780000</v>
      </c>
      <c r="M13" s="140">
        <f>SUM(M9:M11)</f>
        <v>5480000</v>
      </c>
      <c r="N13" s="140">
        <f>SUM(N9:N11)</f>
        <v>0</v>
      </c>
      <c r="O13" s="140">
        <f>SUM(O9:O11)</f>
        <v>0</v>
      </c>
      <c r="P13" s="140">
        <f>SUM(P9:P11)</f>
        <v>0</v>
      </c>
      <c r="Q13" s="140">
        <f>SUM(Q9:Q11)</f>
        <v>5480000</v>
      </c>
      <c r="R13" s="140">
        <f>SUM(R9:R11)</f>
        <v>0</v>
      </c>
      <c r="S13" s="140">
        <f>SUM(S9:S11)</f>
        <v>5480000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21">VLOOKUP(B15,DS,2,0)</f>
        <v>Nguyễn Trường Giang</v>
      </c>
      <c r="D15" s="116" t="str">
        <f t="shared" ref="D15" si="22">VLOOKUP(B15,DS,3,0)</f>
        <v>Thợ in</v>
      </c>
      <c r="E15" s="90">
        <f t="shared" ref="E15" si="23">VLOOKUP(B15,DS,4,0)</f>
        <v>2000000</v>
      </c>
      <c r="F15" s="92">
        <f>VLOOKUP(B15,'CC -6'!$B$8:$AS$19,36,0)</f>
        <v>26</v>
      </c>
      <c r="G15" s="145">
        <f t="shared" ref="G15" si="24">ROUND(E15/$U$2*F15,0)</f>
        <v>2000000</v>
      </c>
      <c r="H15" s="92">
        <f>(VLOOKUP(B15,'CC -6'!$B$8:$AS$19,37,0)+VLOOKUP(B15,'CC -6'!$B$8:$AS$19,38,0))</f>
        <v>0</v>
      </c>
      <c r="I15" s="145">
        <f t="shared" ref="I15" si="25">ROUND(E15/$U$2*H15,0)</f>
        <v>0</v>
      </c>
      <c r="J15" s="146">
        <f t="shared" ref="J15:K15" si="26">F15+H15</f>
        <v>26</v>
      </c>
      <c r="K15" s="39">
        <f t="shared" si="26"/>
        <v>2000000</v>
      </c>
      <c r="L15" s="90">
        <f t="shared" ref="L15" si="27">+F15*15000</f>
        <v>390000</v>
      </c>
      <c r="M15" s="40">
        <f t="shared" ref="M15" si="28">K15+L15</f>
        <v>2390000</v>
      </c>
      <c r="N15" s="40">
        <f>IF(VLOOKUP(B15,DS,9,0)="x",'L - 6'!E15*$N$4,0)</f>
        <v>0</v>
      </c>
      <c r="O15" s="40">
        <f t="shared" ref="O15" si="29">IF(VLOOKUP(B15,DS,9,0)="x",E15*0.015,0)</f>
        <v>0</v>
      </c>
      <c r="P15" s="40">
        <f t="shared" ref="P15" si="30">IF(VLOOKUP(B15,DS,9,0)="x",E15*0.01,0)</f>
        <v>0</v>
      </c>
      <c r="Q15" s="39">
        <f>M15-SUM(N15:P15)</f>
        <v>2390000</v>
      </c>
      <c r="R15" s="39">
        <f t="shared" ref="R15" si="31">VLOOKUP(B15,DS,23,0)</f>
        <v>0</v>
      </c>
      <c r="S15" s="45">
        <f>Q15-R15</f>
        <v>2390000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32">VLOOKUP(B16,DS,2,0)</f>
        <v>Đoàn Hồng Phong</v>
      </c>
      <c r="D16" s="116" t="str">
        <f t="shared" ref="D16:D17" si="33">VLOOKUP(B16,DS,3,0)</f>
        <v>Thợ đóng - xả</v>
      </c>
      <c r="E16" s="90">
        <f t="shared" ref="E16:E17" si="34">VLOOKUP(B16,DS,4,0)</f>
        <v>2000000</v>
      </c>
      <c r="F16" s="92">
        <f>VLOOKUP(B16,'CC -6'!$B$8:$AS$19,36,0)</f>
        <v>26</v>
      </c>
      <c r="G16" s="145">
        <f t="shared" ref="G16:G17" si="35">ROUND(E16/$U$2*F16,0)</f>
        <v>2000000</v>
      </c>
      <c r="H16" s="92">
        <f>(VLOOKUP(B16,'CC -6'!$B$8:$AS$19,37,0)+VLOOKUP(B16,'CC -6'!$B$8:$AS$19,38,0))</f>
        <v>0</v>
      </c>
      <c r="I16" s="145">
        <f t="shared" ref="I16:I17" si="36">ROUND(E16/$U$2*H16,0)</f>
        <v>0</v>
      </c>
      <c r="J16" s="146">
        <f t="shared" ref="J16:J17" si="37">F16+H16</f>
        <v>26</v>
      </c>
      <c r="K16" s="39">
        <f t="shared" ref="K16:K17" si="38">G16+I16</f>
        <v>2000000</v>
      </c>
      <c r="L16" s="90">
        <f t="shared" ref="L16:L17" si="39">+F16*15000</f>
        <v>390000</v>
      </c>
      <c r="M16" s="40">
        <f t="shared" ref="M16:M17" si="40">K16+L16</f>
        <v>2390000</v>
      </c>
      <c r="N16" s="40">
        <f>IF(VLOOKUP(B16,DS,9,0)="x",'L - 6'!E16*$N$4,0)</f>
        <v>0</v>
      </c>
      <c r="O16" s="40">
        <f t="shared" ref="O16:O17" si="41">IF(VLOOKUP(B16,DS,9,0)="x",E16*0.015,0)</f>
        <v>0</v>
      </c>
      <c r="P16" s="40">
        <f t="shared" ref="P16:P17" si="42">IF(VLOOKUP(B16,DS,9,0)="x",E16*0.01,0)</f>
        <v>0</v>
      </c>
      <c r="Q16" s="39">
        <f t="shared" ref="Q16:Q17" si="43">M16-SUM(N16:P16)</f>
        <v>2390000</v>
      </c>
      <c r="R16" s="39">
        <f t="shared" ref="R16:R17" si="44">VLOOKUP(B16,DS,23,0)</f>
        <v>0</v>
      </c>
      <c r="S16" s="45">
        <f t="shared" ref="S16:S17" si="45">Q16-R16</f>
        <v>2390000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32"/>
        <v>Trần Hữu Tình</v>
      </c>
      <c r="D17" s="116" t="str">
        <f t="shared" si="33"/>
        <v>Công nhân</v>
      </c>
      <c r="E17" s="90">
        <f t="shared" si="34"/>
        <v>1800000</v>
      </c>
      <c r="F17" s="92">
        <f>VLOOKUP(B17,'CC -6'!$B$8:$AS$19,36,0)</f>
        <v>26</v>
      </c>
      <c r="G17" s="145">
        <f t="shared" si="35"/>
        <v>1800000</v>
      </c>
      <c r="H17" s="92">
        <f>(VLOOKUP(B17,'CC -6'!$B$8:$AS$19,37,0)+VLOOKUP(B17,'CC -6'!$B$8:$AS$19,38,0))</f>
        <v>0</v>
      </c>
      <c r="I17" s="145">
        <f t="shared" si="36"/>
        <v>0</v>
      </c>
      <c r="J17" s="146">
        <f t="shared" si="37"/>
        <v>26</v>
      </c>
      <c r="K17" s="39">
        <f t="shared" si="38"/>
        <v>1800000</v>
      </c>
      <c r="L17" s="90">
        <f t="shared" si="39"/>
        <v>390000</v>
      </c>
      <c r="M17" s="40">
        <f t="shared" si="40"/>
        <v>2190000</v>
      </c>
      <c r="N17" s="40">
        <f>IF(VLOOKUP(B17,DS,9,0)="x",'L - 6'!E17*$N$4,0)</f>
        <v>0</v>
      </c>
      <c r="O17" s="40">
        <f t="shared" si="41"/>
        <v>0</v>
      </c>
      <c r="P17" s="40">
        <f t="shared" si="42"/>
        <v>0</v>
      </c>
      <c r="Q17" s="39">
        <f t="shared" si="43"/>
        <v>2190000</v>
      </c>
      <c r="R17" s="39">
        <f t="shared" si="44"/>
        <v>0</v>
      </c>
      <c r="S17" s="45">
        <f t="shared" si="45"/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9" t="s">
        <v>25</v>
      </c>
      <c r="B19" s="269"/>
      <c r="C19" s="269"/>
      <c r="D19" s="269"/>
      <c r="E19" s="140">
        <f>SUM(E14:E18)</f>
        <v>5800000</v>
      </c>
      <c r="F19" s="140"/>
      <c r="G19" s="140">
        <f>SUM(G14:G18)</f>
        <v>5800000</v>
      </c>
      <c r="H19" s="140"/>
      <c r="I19" s="140">
        <f>SUM(I14:I18)</f>
        <v>0</v>
      </c>
      <c r="J19" s="140"/>
      <c r="K19" s="140">
        <f>SUM(K14:K18)</f>
        <v>5800000</v>
      </c>
      <c r="L19" s="140">
        <f>SUM(L14:L18)</f>
        <v>1170000</v>
      </c>
      <c r="M19" s="140">
        <f>SUM(M14:M18)</f>
        <v>6970000</v>
      </c>
      <c r="N19" s="140">
        <f>SUM(N14:N18)</f>
        <v>0</v>
      </c>
      <c r="O19" s="140">
        <f>SUM(O14:O18)</f>
        <v>0</v>
      </c>
      <c r="P19" s="140">
        <f>SUM(P14:P18)</f>
        <v>0</v>
      </c>
      <c r="Q19" s="140">
        <f>SUM(Q14:Q18)</f>
        <v>6970000</v>
      </c>
      <c r="R19" s="140">
        <f>SUM(R14:R18)</f>
        <v>0</v>
      </c>
      <c r="S19" s="140">
        <f>SUM(S14:S18)</f>
        <v>6970000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06   năm 2012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N5:P5"/>
    <mergeCell ref="Q5:Q7"/>
    <mergeCell ref="A13:D13"/>
    <mergeCell ref="K6:K7"/>
    <mergeCell ref="N6:N7"/>
    <mergeCell ref="O6:O7"/>
    <mergeCell ref="P6:P7"/>
    <mergeCell ref="J6:J7"/>
    <mergeCell ref="A19:D19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E20" sqref="A20:XFD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185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41091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57" t="s">
        <v>29</v>
      </c>
      <c r="E5" s="263" t="s">
        <v>30</v>
      </c>
      <c r="F5" s="118">
        <f>+E4</f>
        <v>41091</v>
      </c>
      <c r="G5" s="118">
        <f t="shared" ref="G5:AJ5" si="0">F5+1</f>
        <v>41092</v>
      </c>
      <c r="H5" s="118">
        <f t="shared" si="0"/>
        <v>41093</v>
      </c>
      <c r="I5" s="118">
        <f t="shared" si="0"/>
        <v>41094</v>
      </c>
      <c r="J5" s="118">
        <f t="shared" si="0"/>
        <v>41095</v>
      </c>
      <c r="K5" s="118">
        <f t="shared" si="0"/>
        <v>41096</v>
      </c>
      <c r="L5" s="118">
        <f t="shared" si="0"/>
        <v>41097</v>
      </c>
      <c r="M5" s="118">
        <f t="shared" si="0"/>
        <v>41098</v>
      </c>
      <c r="N5" s="118">
        <f t="shared" si="0"/>
        <v>41099</v>
      </c>
      <c r="O5" s="118">
        <f t="shared" si="0"/>
        <v>41100</v>
      </c>
      <c r="P5" s="118">
        <f t="shared" si="0"/>
        <v>41101</v>
      </c>
      <c r="Q5" s="118">
        <f t="shared" si="0"/>
        <v>41102</v>
      </c>
      <c r="R5" s="118">
        <f t="shared" si="0"/>
        <v>41103</v>
      </c>
      <c r="S5" s="118">
        <f t="shared" si="0"/>
        <v>41104</v>
      </c>
      <c r="T5" s="118">
        <f t="shared" si="0"/>
        <v>41105</v>
      </c>
      <c r="U5" s="118">
        <f t="shared" si="0"/>
        <v>41106</v>
      </c>
      <c r="V5" s="118">
        <f t="shared" si="0"/>
        <v>41107</v>
      </c>
      <c r="W5" s="118">
        <f t="shared" si="0"/>
        <v>41108</v>
      </c>
      <c r="X5" s="118">
        <f t="shared" si="0"/>
        <v>41109</v>
      </c>
      <c r="Y5" s="118">
        <f t="shared" si="0"/>
        <v>41110</v>
      </c>
      <c r="Z5" s="118">
        <f t="shared" si="0"/>
        <v>41111</v>
      </c>
      <c r="AA5" s="118">
        <f t="shared" si="0"/>
        <v>41112</v>
      </c>
      <c r="AB5" s="118">
        <f t="shared" si="0"/>
        <v>41113</v>
      </c>
      <c r="AC5" s="118">
        <f t="shared" si="0"/>
        <v>41114</v>
      </c>
      <c r="AD5" s="118">
        <f t="shared" si="0"/>
        <v>41115</v>
      </c>
      <c r="AE5" s="118">
        <f t="shared" si="0"/>
        <v>41116</v>
      </c>
      <c r="AF5" s="118">
        <f t="shared" si="0"/>
        <v>41117</v>
      </c>
      <c r="AG5" s="118">
        <f t="shared" si="0"/>
        <v>41118</v>
      </c>
      <c r="AH5" s="118">
        <f>AG5+1</f>
        <v>41119</v>
      </c>
      <c r="AI5" s="118">
        <f t="shared" si="0"/>
        <v>41120</v>
      </c>
      <c r="AJ5" s="118">
        <f t="shared" si="0"/>
        <v>41121</v>
      </c>
      <c r="AK5" s="264" t="s">
        <v>15</v>
      </c>
      <c r="AL5" s="265"/>
      <c r="AM5" s="266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7" t="s">
        <v>0</v>
      </c>
      <c r="AT5" s="25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8"/>
      <c r="B6" s="258"/>
      <c r="C6" s="258"/>
      <c r="D6" s="258"/>
      <c r="E6" s="258"/>
      <c r="F6" s="174" t="str">
        <f>CHOOSE(WEEKDAY(F5),"C.Nhật","T.Hai","T.Ba","T.Tư","T.Năm","T.Sáu","T.Bảy")</f>
        <v>C.Nhật</v>
      </c>
      <c r="G6" s="174" t="str">
        <f t="shared" ref="G6:AJ6" si="1">CHOOSE(WEEKDAY(G5),"C.Nhật","T.Hai","T.Ba","T.Tư","T.Năm","T.Sáu","T.Bảy")</f>
        <v>T.Hai</v>
      </c>
      <c r="H6" s="174" t="str">
        <f t="shared" si="1"/>
        <v>T.Ba</v>
      </c>
      <c r="I6" s="174" t="str">
        <f t="shared" si="1"/>
        <v>T.Tư</v>
      </c>
      <c r="J6" s="174" t="str">
        <f t="shared" si="1"/>
        <v>T.Năm</v>
      </c>
      <c r="K6" s="174" t="str">
        <f t="shared" si="1"/>
        <v>T.Sáu</v>
      </c>
      <c r="L6" s="174" t="str">
        <f t="shared" si="1"/>
        <v>T.Bảy</v>
      </c>
      <c r="M6" s="174" t="str">
        <f t="shared" si="1"/>
        <v>C.Nhật</v>
      </c>
      <c r="N6" s="174" t="str">
        <f t="shared" si="1"/>
        <v>T.Hai</v>
      </c>
      <c r="O6" s="174" t="str">
        <f t="shared" si="1"/>
        <v>T.Ba</v>
      </c>
      <c r="P6" s="174" t="str">
        <f t="shared" si="1"/>
        <v>T.Tư</v>
      </c>
      <c r="Q6" s="174" t="str">
        <f t="shared" si="1"/>
        <v>T.Năm</v>
      </c>
      <c r="R6" s="174" t="str">
        <f t="shared" si="1"/>
        <v>T.Sáu</v>
      </c>
      <c r="S6" s="174" t="str">
        <f t="shared" si="1"/>
        <v>T.Bảy</v>
      </c>
      <c r="T6" s="174" t="str">
        <f t="shared" si="1"/>
        <v>C.Nhật</v>
      </c>
      <c r="U6" s="174" t="str">
        <f t="shared" si="1"/>
        <v>T.Hai</v>
      </c>
      <c r="V6" s="174" t="str">
        <f t="shared" si="1"/>
        <v>T.Ba</v>
      </c>
      <c r="W6" s="174" t="str">
        <f t="shared" si="1"/>
        <v>T.Tư</v>
      </c>
      <c r="X6" s="174" t="str">
        <f t="shared" si="1"/>
        <v>T.Năm</v>
      </c>
      <c r="Y6" s="174" t="str">
        <f t="shared" si="1"/>
        <v>T.Sáu</v>
      </c>
      <c r="Z6" s="174" t="str">
        <f t="shared" si="1"/>
        <v>T.Bảy</v>
      </c>
      <c r="AA6" s="174" t="str">
        <f t="shared" si="1"/>
        <v>C.Nhật</v>
      </c>
      <c r="AB6" s="174" t="str">
        <f t="shared" si="1"/>
        <v>T.Hai</v>
      </c>
      <c r="AC6" s="174" t="str">
        <f t="shared" si="1"/>
        <v>T.Ba</v>
      </c>
      <c r="AD6" s="174" t="str">
        <f t="shared" si="1"/>
        <v>T.Tư</v>
      </c>
      <c r="AE6" s="174" t="str">
        <f t="shared" si="1"/>
        <v>T.Năm</v>
      </c>
      <c r="AF6" s="174" t="str">
        <f t="shared" si="1"/>
        <v>T.Sáu</v>
      </c>
      <c r="AG6" s="174" t="str">
        <f t="shared" si="1"/>
        <v>T.Bảy</v>
      </c>
      <c r="AH6" s="174" t="str">
        <f t="shared" si="1"/>
        <v>C.Nhật</v>
      </c>
      <c r="AI6" s="174" t="str">
        <f t="shared" si="1"/>
        <v>T.Hai</v>
      </c>
      <c r="AJ6" s="174" t="str">
        <f t="shared" si="1"/>
        <v>T.Ba</v>
      </c>
      <c r="AK6" s="175" t="s">
        <v>16</v>
      </c>
      <c r="AL6" s="175" t="s">
        <v>31</v>
      </c>
      <c r="AM6" s="176" t="s">
        <v>17</v>
      </c>
      <c r="AN6" s="256"/>
      <c r="AO6" s="256"/>
      <c r="AP6" s="256"/>
      <c r="AQ6" s="256"/>
      <c r="AR6" s="256"/>
      <c r="AS6" s="258"/>
      <c r="AT6" s="25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186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7">
        <v>1</v>
      </c>
      <c r="B9" s="247" t="s">
        <v>162</v>
      </c>
      <c r="C9" s="249" t="str">
        <f>VLOOKUP(B9,DS,2,0)</f>
        <v>Phan Văn Hiền</v>
      </c>
      <c r="D9" s="251" t="str">
        <f>VLOOKUP(B9,DS,3,0)</f>
        <v>Quản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53">
        <f>((SUM(F9:AJ9))/8)-(SUMIF($F$6:$AJ$6,"C.Nhật",F9:AJ9)/8)</f>
        <v>26</v>
      </c>
      <c r="AL9" s="253">
        <f>SUM(F10:AJ10)/8*1.5</f>
        <v>0</v>
      </c>
      <c r="AM9" s="241">
        <f>SUMIF($F$6:$AJ$6,"C.Nhật",$F9:$AJ10)/8*2</f>
        <v>0</v>
      </c>
      <c r="AN9" s="243">
        <f>SUM(AK9:AM10)</f>
        <v>26</v>
      </c>
      <c r="AO9" s="245">
        <v>0</v>
      </c>
      <c r="AP9" s="243"/>
      <c r="AQ9" s="243"/>
      <c r="AR9" s="243"/>
      <c r="AS9" s="239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4"/>
      <c r="AL10" s="254"/>
      <c r="AM10" s="242"/>
      <c r="AN10" s="244"/>
      <c r="AO10" s="246"/>
      <c r="AP10" s="244"/>
      <c r="AQ10" s="244"/>
      <c r="AR10" s="244"/>
      <c r="AS10" s="240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f>A7+1</f>
        <v>2</v>
      </c>
      <c r="B11" s="247" t="s">
        <v>183</v>
      </c>
      <c r="C11" s="249" t="str">
        <f>VLOOKUP(B11,DS,2,0)</f>
        <v>Nguyễn Thị Thu Sương</v>
      </c>
      <c r="D11" s="251" t="str">
        <f>VLOOKUP(B11,DS,3,0)</f>
        <v>Kinh Doanh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53">
        <f t="shared" ref="AK11" si="2">((SUM(F11:AJ11))/8)-(SUMIF($F$6:$AJ$6,"C.Nhật",F11:AJ11)/8)</f>
        <v>26</v>
      </c>
      <c r="AL11" s="253">
        <f t="shared" ref="AL11" si="3">SUM(F12:AJ12)/8*1.5</f>
        <v>0</v>
      </c>
      <c r="AM11" s="241">
        <f t="shared" ref="AM11" si="4">SUMIF($F$6:$AJ$6,"C.Nhật",$F11:$AJ12)/8*2</f>
        <v>0</v>
      </c>
      <c r="AN11" s="243">
        <f t="shared" ref="AN11" si="5">SUM(AK11:AM12)</f>
        <v>26</v>
      </c>
      <c r="AO11" s="245">
        <v>0</v>
      </c>
      <c r="AP11" s="243"/>
      <c r="AQ11" s="243"/>
      <c r="AR11" s="243"/>
      <c r="AS11" s="239"/>
      <c r="AT11" s="20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4"/>
      <c r="AL12" s="254"/>
      <c r="AM12" s="242"/>
      <c r="AN12" s="244"/>
      <c r="AO12" s="246"/>
      <c r="AP12" s="244"/>
      <c r="AQ12" s="244"/>
      <c r="AR12" s="244"/>
      <c r="AS12" s="240"/>
      <c r="AT12" s="20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0" customFormat="1" ht="21" customHeight="1">
      <c r="A13" s="178" t="s">
        <v>156</v>
      </c>
      <c r="B13" s="181" t="s">
        <v>160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179"/>
    </row>
    <row r="14" spans="1:91" s="67" customFormat="1" ht="18" customHeight="1">
      <c r="A14" s="247">
        <v>1</v>
      </c>
      <c r="B14" s="247" t="s">
        <v>163</v>
      </c>
      <c r="C14" s="249" t="str">
        <f>VLOOKUP(B14,DS,2,0)</f>
        <v>Nguyễn Trường Giang</v>
      </c>
      <c r="D14" s="251" t="str">
        <f>VLOOKUP(B14,DS,3,0)</f>
        <v>Thợ in</v>
      </c>
      <c r="E14" s="68" t="s">
        <v>32</v>
      </c>
      <c r="F14" s="143"/>
      <c r="G14" s="143">
        <v>8</v>
      </c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/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/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/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/>
      <c r="AI14" s="143">
        <v>8</v>
      </c>
      <c r="AJ14" s="143">
        <v>8</v>
      </c>
      <c r="AK14" s="253">
        <f t="shared" ref="AK14" si="6">((SUM(F14:AJ14))/8)-(SUMIF($F$6:$AJ$6,"C.Nhật",F14:AJ14)/8)</f>
        <v>26</v>
      </c>
      <c r="AL14" s="253">
        <f t="shared" ref="AL14" si="7">SUM(F15:AJ15)/8*1.5</f>
        <v>0</v>
      </c>
      <c r="AM14" s="241">
        <f>SUMIF($F$6:$AJ$6,"C.Nhật",$F14:$AJ15)/8*2</f>
        <v>0</v>
      </c>
      <c r="AN14" s="243">
        <f>SUM(AK14:AM15)</f>
        <v>26</v>
      </c>
      <c r="AO14" s="245">
        <v>0</v>
      </c>
      <c r="AP14" s="243"/>
      <c r="AQ14" s="243"/>
      <c r="AR14" s="243"/>
      <c r="AS14" s="239"/>
      <c r="AT14" s="22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48"/>
      <c r="B15" s="248"/>
      <c r="C15" s="250"/>
      <c r="D15" s="252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54"/>
      <c r="AL15" s="254"/>
      <c r="AM15" s="242"/>
      <c r="AN15" s="244"/>
      <c r="AO15" s="246"/>
      <c r="AP15" s="244"/>
      <c r="AQ15" s="244"/>
      <c r="AR15" s="244"/>
      <c r="AS15" s="240"/>
      <c r="AT15" s="22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47">
        <v>2</v>
      </c>
      <c r="B16" s="247" t="s">
        <v>164</v>
      </c>
      <c r="C16" s="249" t="str">
        <f>VLOOKUP(B16,DS,2,0)</f>
        <v>Đoàn Hồng Phong</v>
      </c>
      <c r="D16" s="251" t="str">
        <f>VLOOKUP(B16,DS,3,0)</f>
        <v>Thợ đóng - xả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53">
        <f t="shared" ref="AK16" si="8">((SUM(F16:AJ16))/8)-(SUMIF($F$6:$AJ$6,"C.Nhật",F16:AJ16)/8)</f>
        <v>26</v>
      </c>
      <c r="AL16" s="253">
        <f t="shared" ref="AL16" si="9">SUM(F17:AJ17)/8*1.5</f>
        <v>0</v>
      </c>
      <c r="AM16" s="241">
        <f>SUMIF($F$6:$AJ$6,"C.Nhật",$F16:$AJ17)/8*2</f>
        <v>0</v>
      </c>
      <c r="AN16" s="243">
        <f t="shared" ref="AN16" si="10">SUM(AK16:AM17)</f>
        <v>26</v>
      </c>
      <c r="AO16" s="245">
        <v>0</v>
      </c>
      <c r="AP16" s="243"/>
      <c r="AQ16" s="243"/>
      <c r="AR16" s="243"/>
      <c r="AS16" s="239"/>
      <c r="AT16" s="22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4"/>
      <c r="AL17" s="254"/>
      <c r="AM17" s="242"/>
      <c r="AN17" s="244"/>
      <c r="AO17" s="246"/>
      <c r="AP17" s="244"/>
      <c r="AQ17" s="244"/>
      <c r="AR17" s="244"/>
      <c r="AS17" s="240"/>
      <c r="AT17" s="22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7">
        <v>3</v>
      </c>
      <c r="B18" s="247" t="s">
        <v>165</v>
      </c>
      <c r="C18" s="249" t="str">
        <f>VLOOKUP(B18,DS,2,0)</f>
        <v>Trần Hữu Tình</v>
      </c>
      <c r="D18" s="251" t="str">
        <f>VLOOKUP(B18,DS,3,0)</f>
        <v>Công nhân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53">
        <f t="shared" ref="AK18" si="11">((SUM(F18:AJ18))/8)-(SUMIF($F$6:$AJ$6,"C.Nhật",F18:AJ18)/8)</f>
        <v>26</v>
      </c>
      <c r="AL18" s="253">
        <f t="shared" ref="AL18" si="12">SUM(F19:AJ19)/8*1.5</f>
        <v>0</v>
      </c>
      <c r="AM18" s="241">
        <f>SUMIF($F$6:$AJ$6,"C.Nhật",$F18:$AJ19)/8*2</f>
        <v>0</v>
      </c>
      <c r="AN18" s="243">
        <f t="shared" ref="AN18" si="13">SUM(AK18:AM19)</f>
        <v>26</v>
      </c>
      <c r="AO18" s="245">
        <v>0</v>
      </c>
      <c r="AP18" s="243"/>
      <c r="AQ18" s="243"/>
      <c r="AR18" s="243"/>
      <c r="AS18" s="239"/>
      <c r="AT18" s="22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4"/>
      <c r="AL19" s="254"/>
      <c r="AM19" s="242"/>
      <c r="AN19" s="244"/>
      <c r="AO19" s="246"/>
      <c r="AP19" s="244"/>
      <c r="AQ19" s="244"/>
      <c r="AR19" s="244"/>
      <c r="AS19" s="240"/>
      <c r="AT19" s="22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0" customFormat="1" ht="12.75">
      <c r="A20" s="14"/>
      <c r="B20" s="71"/>
      <c r="C20" s="4"/>
      <c r="D20" s="113"/>
      <c r="E20" s="4"/>
      <c r="F20" s="75"/>
      <c r="G20" s="75"/>
      <c r="H20" s="72"/>
      <c r="I20" s="72"/>
      <c r="J20" s="120"/>
      <c r="K20" s="75"/>
      <c r="L20" s="72"/>
      <c r="M20" s="75"/>
      <c r="N20" s="75"/>
      <c r="O20" s="75"/>
      <c r="P20" s="75"/>
      <c r="Q20" s="72"/>
      <c r="R20" s="75"/>
      <c r="S20" s="75"/>
      <c r="T20" s="120"/>
      <c r="U20" s="75"/>
      <c r="V20" s="75"/>
      <c r="W20" s="75"/>
      <c r="X20" s="71"/>
      <c r="Y20" s="75"/>
      <c r="Z20" s="75"/>
      <c r="AA20" s="75"/>
      <c r="AB20" s="75"/>
      <c r="AC20" s="75"/>
      <c r="AD20" s="72"/>
      <c r="AE20" s="75"/>
      <c r="AF20" s="75"/>
      <c r="AG20" s="75"/>
      <c r="AH20" s="75"/>
      <c r="AI20" s="75"/>
      <c r="AJ20" s="75"/>
      <c r="AK20" s="4"/>
      <c r="AL20" s="4"/>
      <c r="AM20" s="98"/>
      <c r="AN20" s="74"/>
      <c r="AO20" s="74"/>
      <c r="AP20" s="74"/>
      <c r="AQ20" s="74"/>
      <c r="AR20" s="74"/>
      <c r="AS20" s="4"/>
      <c r="AT20" s="104"/>
    </row>
    <row r="21" spans="1:90" s="70" customFormat="1" ht="12.75">
      <c r="A21" s="14"/>
      <c r="B21" s="71"/>
      <c r="C21" s="14" t="s">
        <v>14</v>
      </c>
      <c r="D21" s="113"/>
      <c r="E21" s="4"/>
      <c r="F21" s="75"/>
      <c r="G21" s="75"/>
      <c r="H21" s="72"/>
      <c r="I21" s="72"/>
      <c r="J21" s="120"/>
      <c r="K21" s="75"/>
      <c r="L21" s="72"/>
      <c r="M21" s="75"/>
      <c r="N21" s="75"/>
      <c r="O21" s="75"/>
      <c r="P21" s="75"/>
      <c r="Q21" s="72"/>
      <c r="R21" s="75"/>
      <c r="S21" s="75"/>
      <c r="T21" s="120"/>
      <c r="U21" s="75"/>
      <c r="V21" s="75"/>
      <c r="W21" s="75"/>
      <c r="X21" s="71"/>
      <c r="Y21" s="75"/>
      <c r="Z21" s="75"/>
      <c r="AA21" s="75"/>
      <c r="AB21" s="75"/>
      <c r="AC21" s="75"/>
      <c r="AD21" s="72"/>
      <c r="AE21" s="75"/>
      <c r="AF21" s="75"/>
      <c r="AG21" s="75"/>
      <c r="AH21" s="75"/>
      <c r="AI21" s="75"/>
      <c r="AJ21" s="75"/>
      <c r="AK21" s="4"/>
      <c r="AL21" s="4"/>
      <c r="AM21" s="98"/>
      <c r="AN21" s="74"/>
      <c r="AO21" s="74"/>
      <c r="AP21" s="74"/>
      <c r="AQ21" s="74"/>
      <c r="AR21" s="74"/>
      <c r="AS21" s="4"/>
      <c r="AT21" s="104"/>
    </row>
    <row r="22" spans="1:90" s="70" customFormat="1" ht="12.75">
      <c r="A22" s="12"/>
      <c r="B22" s="12"/>
      <c r="C22" s="4"/>
      <c r="D22" s="113"/>
      <c r="E22" s="4"/>
      <c r="F22" s="75"/>
      <c r="G22" s="75"/>
      <c r="H22" s="121"/>
      <c r="I22" s="121"/>
      <c r="J22" s="121"/>
      <c r="K22" s="75"/>
      <c r="L22" s="12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121"/>
      <c r="AE22" s="75"/>
      <c r="AF22" s="75"/>
      <c r="AG22" s="75"/>
      <c r="AH22" s="75"/>
      <c r="AI22" s="75"/>
      <c r="AJ22" s="75"/>
      <c r="AK22" s="4"/>
      <c r="AL22" s="4"/>
      <c r="AM22" s="98"/>
      <c r="AN22" s="76"/>
      <c r="AO22" s="76"/>
      <c r="AP22" s="76"/>
      <c r="AQ22" s="76"/>
      <c r="AR22" s="76"/>
      <c r="AS22" s="4"/>
      <c r="AT22" s="104"/>
    </row>
    <row r="23" spans="1:90" s="73" customFormat="1" ht="15" customHeight="1">
      <c r="A23" s="12"/>
      <c r="B23" s="12"/>
      <c r="C23" s="4"/>
      <c r="D23" s="113"/>
      <c r="E23" s="4"/>
      <c r="F23" s="75"/>
      <c r="G23" s="75"/>
      <c r="H23" s="121"/>
      <c r="I23" s="121"/>
      <c r="J23" s="121"/>
      <c r="K23" s="75"/>
      <c r="L23" s="12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121"/>
      <c r="AE23" s="75"/>
      <c r="AF23" s="75"/>
      <c r="AG23" s="75"/>
      <c r="AH23" s="75"/>
      <c r="AI23" s="75"/>
      <c r="AJ23" s="75"/>
      <c r="AK23" s="4"/>
      <c r="AL23" s="4"/>
      <c r="AM23" s="98"/>
      <c r="AN23" s="76"/>
      <c r="AO23" s="76"/>
      <c r="AP23" s="76"/>
      <c r="AQ23" s="76"/>
      <c r="AR23" s="76"/>
      <c r="AS23" s="4"/>
      <c r="AT23" s="4"/>
    </row>
    <row r="24" spans="1:90" s="73" customFormat="1" ht="11.2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4"/>
    </row>
    <row r="25" spans="1:90" s="73" customFormat="1" ht="11.25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0"/>
      <c r="B26" s="10"/>
      <c r="C26" s="14"/>
      <c r="D26" s="114"/>
      <c r="E26" s="77"/>
      <c r="F26" s="120"/>
      <c r="G26" s="122"/>
      <c r="H26" s="72"/>
      <c r="I26" s="72"/>
      <c r="J26" s="72"/>
      <c r="K26" s="122"/>
      <c r="L26" s="72"/>
      <c r="M26" s="122"/>
      <c r="N26" s="122"/>
      <c r="O26" s="122"/>
      <c r="P26" s="122"/>
      <c r="Q26" s="72"/>
      <c r="R26" s="120"/>
      <c r="S26" s="122"/>
      <c r="T26" s="122"/>
      <c r="U26" s="72"/>
      <c r="V26" s="122"/>
      <c r="W26" s="122"/>
      <c r="X26" s="72"/>
      <c r="Y26" s="122"/>
      <c r="Z26" s="122"/>
      <c r="AA26" s="122"/>
      <c r="AB26" s="122"/>
      <c r="AC26" s="122"/>
      <c r="AD26" s="72"/>
      <c r="AE26" s="122"/>
      <c r="AF26" s="122"/>
      <c r="AG26" s="122"/>
      <c r="AH26" s="122"/>
      <c r="AI26" s="122"/>
      <c r="AJ26" s="122"/>
      <c r="AK26" s="77"/>
      <c r="AM26" s="99"/>
      <c r="AN26" s="10"/>
      <c r="AO26" s="10"/>
      <c r="AP26" s="10"/>
      <c r="AQ26" s="10"/>
      <c r="AR26" s="10"/>
      <c r="AS26" s="14"/>
      <c r="AT26" s="4"/>
    </row>
    <row r="27" spans="1:90" s="73" customFormat="1" ht="12.75">
      <c r="A27" s="2"/>
      <c r="B27" s="2" t="s">
        <v>0</v>
      </c>
      <c r="C27" s="2"/>
      <c r="D27" s="198"/>
      <c r="E27" s="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4"/>
      <c r="AI27" s="124"/>
      <c r="AJ27" s="124"/>
      <c r="AK27" s="2"/>
      <c r="AL27" s="2"/>
      <c r="AM27" s="100"/>
      <c r="AN27" s="2"/>
      <c r="AO27" s="2"/>
      <c r="AP27" s="2"/>
      <c r="AQ27" s="2"/>
      <c r="AR27" s="2"/>
      <c r="AS27" s="2"/>
      <c r="AT27" s="4"/>
    </row>
    <row r="28" spans="1:90" s="73" customFormat="1" ht="12.75">
      <c r="A28" s="2"/>
      <c r="B28" s="2"/>
      <c r="C28" s="2" t="s">
        <v>46</v>
      </c>
      <c r="D28" s="198"/>
      <c r="E28" s="2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4"/>
      <c r="AI28" s="124"/>
      <c r="AJ28" s="124"/>
      <c r="AK28" s="2"/>
      <c r="AL28" s="2"/>
      <c r="AM28" s="100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2:J25 Q20:Q21" name="Range1_1_1_1"/>
    <protectedRange password="CC78" sqref="J26" name="Range1_3_1_1"/>
    <protectedRange password="CC78" sqref="A14:A19" name="Range1_1_2"/>
    <protectedRange password="CC78" sqref="A14:A19 C14:E19" name="Range1_6_2"/>
    <protectedRange password="CC78" sqref="B14:B19" name="Range1_4_2"/>
  </protectedRanges>
  <mergeCells count="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D16:D17"/>
    <mergeCell ref="AK16:AK17"/>
    <mergeCell ref="AO14:AO15"/>
    <mergeCell ref="AP14:AP15"/>
    <mergeCell ref="AQ14:AQ15"/>
    <mergeCell ref="AR14:AR15"/>
    <mergeCell ref="AS14:AS15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16:AL17"/>
    <mergeCell ref="AM16:AM17"/>
    <mergeCell ref="AN16:AN17"/>
    <mergeCell ref="AO16:AO17"/>
    <mergeCell ref="AP16:AP17"/>
    <mergeCell ref="A16:A17"/>
    <mergeCell ref="B16:B17"/>
    <mergeCell ref="C16:C17"/>
  </mergeCells>
  <conditionalFormatting sqref="F5:AJ6 F9:AJ12">
    <cfRule type="expression" dxfId="98" priority="26" stopIfTrue="1">
      <formula>IF(WEEKDAY(F$5)=1,TRUE,FALSE)</formula>
    </cfRule>
  </conditionalFormatting>
  <conditionalFormatting sqref="F9:AJ12">
    <cfRule type="expression" dxfId="97" priority="25" stopIfTrue="1">
      <formula>IF(WEEKDAY(F$5)=1,TRUE,FALSE)</formula>
    </cfRule>
  </conditionalFormatting>
  <conditionalFormatting sqref="F14:AJ19">
    <cfRule type="expression" dxfId="87" priority="3" stopIfTrue="1">
      <formula>IF(WEEKDAY(F$5)=1,TRUE,FALSE)</formula>
    </cfRule>
  </conditionalFormatting>
  <conditionalFormatting sqref="F14:AJ19">
    <cfRule type="expression" dxfId="86" priority="2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tabSelected="1" zoomScaleNormal="70" workbookViewId="0">
      <pane xSplit="3" ySplit="8" topLeftCell="D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E16" sqref="E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2"/>
      <c r="C1" s="202"/>
      <c r="D1" s="277" t="str">
        <f>"BẢNG THANH TOÁN LƯƠNG THÁNG"&amp;" "&amp;TEXT($E$4,"mm")&amp;" / "&amp;TEXT($E$4,"yyyy")</f>
        <v>BẢNG THANH TOÁN LƯƠNG THÁNG 07 / 2012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9" t="s">
        <v>185</v>
      </c>
      <c r="S1" s="280"/>
      <c r="T1" s="28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2"/>
      <c r="C2" s="202"/>
      <c r="D2" s="202"/>
      <c r="E2" s="81"/>
      <c r="F2" s="202"/>
      <c r="G2" s="202"/>
      <c r="H2" s="202"/>
      <c r="I2" s="202"/>
      <c r="J2" s="82"/>
      <c r="K2" s="202"/>
      <c r="L2" s="202"/>
      <c r="M2" s="202"/>
      <c r="N2" s="202"/>
      <c r="O2" s="202"/>
      <c r="P2" s="202"/>
      <c r="Q2" s="202"/>
      <c r="R2" s="202"/>
      <c r="S2" s="202"/>
      <c r="T2" s="59"/>
      <c r="U2" s="80">
        <f>MAX(F10:F19)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2"/>
      <c r="C3" s="202"/>
      <c r="D3" s="202"/>
      <c r="E3" s="81"/>
      <c r="F3" s="202"/>
      <c r="G3" s="202"/>
      <c r="H3" s="202"/>
      <c r="I3" s="202"/>
      <c r="J3" s="82"/>
      <c r="K3" s="202"/>
      <c r="L3" s="202"/>
      <c r="M3" s="202"/>
      <c r="N3" s="202"/>
      <c r="O3" s="202"/>
      <c r="P3" s="202"/>
      <c r="Q3" s="202"/>
      <c r="R3" s="202"/>
      <c r="S3" s="202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-7'!$E$4</f>
        <v>41091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2" t="s">
        <v>19</v>
      </c>
      <c r="B5" s="282" t="s">
        <v>20</v>
      </c>
      <c r="C5" s="232" t="s">
        <v>1</v>
      </c>
      <c r="D5" s="232" t="s">
        <v>2</v>
      </c>
      <c r="E5" s="227" t="s">
        <v>56</v>
      </c>
      <c r="F5" s="270" t="s">
        <v>26</v>
      </c>
      <c r="G5" s="272"/>
      <c r="H5" s="272"/>
      <c r="I5" s="272"/>
      <c r="J5" s="272"/>
      <c r="K5" s="271"/>
      <c r="L5" s="267" t="s">
        <v>57</v>
      </c>
      <c r="M5" s="267" t="s">
        <v>5</v>
      </c>
      <c r="N5" s="232" t="s">
        <v>6</v>
      </c>
      <c r="O5" s="232"/>
      <c r="P5" s="232"/>
      <c r="Q5" s="267" t="s">
        <v>7</v>
      </c>
      <c r="R5" s="267" t="s">
        <v>8</v>
      </c>
      <c r="S5" s="267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3"/>
      <c r="B6" s="283"/>
      <c r="C6" s="232"/>
      <c r="D6" s="232"/>
      <c r="E6" s="227"/>
      <c r="F6" s="270" t="s">
        <v>59</v>
      </c>
      <c r="G6" s="271"/>
      <c r="H6" s="270" t="s">
        <v>158</v>
      </c>
      <c r="I6" s="272"/>
      <c r="J6" s="273" t="s">
        <v>27</v>
      </c>
      <c r="K6" s="267" t="s">
        <v>4</v>
      </c>
      <c r="L6" s="268"/>
      <c r="M6" s="268"/>
      <c r="N6" s="275" t="s">
        <v>12</v>
      </c>
      <c r="O6" s="267" t="s">
        <v>13</v>
      </c>
      <c r="P6" s="267" t="s">
        <v>34</v>
      </c>
      <c r="Q6" s="268"/>
      <c r="R6" s="268"/>
      <c r="S6" s="268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3"/>
      <c r="B7" s="283"/>
      <c r="C7" s="267"/>
      <c r="D7" s="267"/>
      <c r="E7" s="227"/>
      <c r="F7" s="201" t="s">
        <v>40</v>
      </c>
      <c r="G7" s="199" t="s">
        <v>18</v>
      </c>
      <c r="H7" s="201" t="s">
        <v>40</v>
      </c>
      <c r="I7" s="128" t="s">
        <v>18</v>
      </c>
      <c r="J7" s="274"/>
      <c r="K7" s="268"/>
      <c r="L7" s="284"/>
      <c r="M7" s="284"/>
      <c r="N7" s="276"/>
      <c r="O7" s="268"/>
      <c r="P7" s="268"/>
      <c r="Q7" s="268"/>
      <c r="R7" s="268"/>
      <c r="S7" s="268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186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162</v>
      </c>
      <c r="C10" s="89" t="str">
        <f t="shared" ref="C10:C11" si="0">VLOOKUP(B10,DS,2,0)</f>
        <v>Phan Văn Hiền</v>
      </c>
      <c r="D10" s="116" t="str">
        <f t="shared" ref="D10:D11" si="1">VLOOKUP(B10,DS,3,0)</f>
        <v>Quản Đốc</v>
      </c>
      <c r="E10" s="90">
        <f t="shared" ref="E10:E11" si="2">VLOOKUP(B10,DS,4,0)</f>
        <v>2500000</v>
      </c>
      <c r="F10" s="92">
        <f>VLOOKUP(B10,'CC -7'!$B$8:$AS$19,36,0)</f>
        <v>26</v>
      </c>
      <c r="G10" s="145">
        <f t="shared" ref="G10:G11" si="3">ROUND(E10/$U$2*F10,0)</f>
        <v>2500000</v>
      </c>
      <c r="H10" s="92">
        <f>(VLOOKUP(B10,'CC -7'!$B$8:$AS$19,37,0)+VLOOKUP(B10,'CC -7'!$B$8:$AS$19,38,0))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2500000</v>
      </c>
      <c r="L10" s="90">
        <f t="shared" ref="L10:L11" si="6">+F10*15000</f>
        <v>390000</v>
      </c>
      <c r="M10" s="40">
        <f t="shared" ref="M10:M11" si="7">K10+L10</f>
        <v>2890000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2890000</v>
      </c>
      <c r="R10" s="39">
        <f>VLOOKUP(B10,DS,23,0)</f>
        <v>0</v>
      </c>
      <c r="S10" s="45">
        <f t="shared" ref="S10:S11" si="9">Q10-R10</f>
        <v>2890000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183</v>
      </c>
      <c r="C11" s="89" t="str">
        <f t="shared" si="0"/>
        <v>Nguyễn Thị Thu Sương</v>
      </c>
      <c r="D11" s="116" t="str">
        <f t="shared" si="1"/>
        <v>Kinh Doanh</v>
      </c>
      <c r="E11" s="90">
        <f t="shared" si="2"/>
        <v>2200000</v>
      </c>
      <c r="F11" s="92">
        <f>VLOOKUP(B11,'CC -7'!$B$8:$AS$19,36,0)</f>
        <v>26</v>
      </c>
      <c r="G11" s="145">
        <f t="shared" si="3"/>
        <v>2200000</v>
      </c>
      <c r="H11" s="92">
        <f>(VLOOKUP(B11,'CC -7'!$B$8:$AS$19,37,0)+VLOOKUP(B11,'CC -7'!$B$8:$AS$19,38,0))</f>
        <v>0</v>
      </c>
      <c r="I11" s="145">
        <f t="shared" si="4"/>
        <v>0</v>
      </c>
      <c r="J11" s="93">
        <f t="shared" si="5"/>
        <v>26</v>
      </c>
      <c r="K11" s="39">
        <f t="shared" si="5"/>
        <v>2200000</v>
      </c>
      <c r="L11" s="90">
        <f t="shared" si="6"/>
        <v>390000</v>
      </c>
      <c r="M11" s="40">
        <f t="shared" si="7"/>
        <v>2590000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2590000</v>
      </c>
      <c r="R11" s="39">
        <f>VLOOKUP(B11,DS,23,0)</f>
        <v>0</v>
      </c>
      <c r="S11" s="45">
        <f t="shared" si="9"/>
        <v>2590000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3"/>
      <c r="B12" s="204"/>
      <c r="C12" s="205"/>
      <c r="D12" s="206"/>
      <c r="E12" s="207"/>
      <c r="F12" s="208"/>
      <c r="G12" s="209"/>
      <c r="H12" s="208"/>
      <c r="I12" s="209"/>
      <c r="J12" s="210"/>
      <c r="K12" s="211"/>
      <c r="L12" s="207"/>
      <c r="M12" s="212"/>
      <c r="N12" s="212"/>
      <c r="O12" s="212"/>
      <c r="P12" s="212"/>
      <c r="Q12" s="211"/>
      <c r="R12" s="211"/>
      <c r="S12" s="213"/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9" t="s">
        <v>25</v>
      </c>
      <c r="B13" s="269"/>
      <c r="C13" s="269"/>
      <c r="D13" s="269"/>
      <c r="E13" s="140">
        <f>SUM(E9:E11)</f>
        <v>4700000</v>
      </c>
      <c r="F13" s="140"/>
      <c r="G13" s="140">
        <f>SUM(G9:G11)</f>
        <v>4700000</v>
      </c>
      <c r="H13" s="140"/>
      <c r="I13" s="140">
        <f>SUM(I9:I11)</f>
        <v>0</v>
      </c>
      <c r="J13" s="140"/>
      <c r="K13" s="140">
        <f>SUM(K9:K11)</f>
        <v>4700000</v>
      </c>
      <c r="L13" s="140">
        <f>SUM(L9:L11)</f>
        <v>780000</v>
      </c>
      <c r="M13" s="140">
        <f>SUM(M9:M11)</f>
        <v>5480000</v>
      </c>
      <c r="N13" s="140">
        <f>SUM(N9:N11)</f>
        <v>0</v>
      </c>
      <c r="O13" s="140">
        <f>SUM(O9:O11)</f>
        <v>0</v>
      </c>
      <c r="P13" s="140">
        <f>SUM(P9:P11)</f>
        <v>0</v>
      </c>
      <c r="Q13" s="140">
        <f>SUM(Q9:Q11)</f>
        <v>5480000</v>
      </c>
      <c r="R13" s="140">
        <f>SUM(R9:R11)</f>
        <v>0</v>
      </c>
      <c r="S13" s="140">
        <f>SUM(S9:S11)</f>
        <v>5480000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8" t="s">
        <v>156</v>
      </c>
      <c r="B14" s="187" t="s">
        <v>157</v>
      </c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" si="10">VLOOKUP(B15,DS,2,0)</f>
        <v>Nguyễn Trường Giang</v>
      </c>
      <c r="D15" s="116" t="str">
        <f t="shared" ref="D15" si="11">VLOOKUP(B15,DS,3,0)</f>
        <v>Thợ in</v>
      </c>
      <c r="E15" s="90">
        <f t="shared" ref="E15" si="12">VLOOKUP(B15,DS,4,0)</f>
        <v>2000000</v>
      </c>
      <c r="F15" s="92">
        <f>VLOOKUP(B15,'CC -7'!$B$8:$AS$19,36,0)</f>
        <v>26</v>
      </c>
      <c r="G15" s="145">
        <f t="shared" ref="G15" si="13">ROUND(E15/$U$2*F15,0)</f>
        <v>2000000</v>
      </c>
      <c r="H15" s="92">
        <f>(VLOOKUP(B15,'CC -7'!$B$8:$AS$19,37,0)+VLOOKUP(B15,'CC -7'!$B$8:$AS$19,38,0))</f>
        <v>0</v>
      </c>
      <c r="I15" s="145">
        <f t="shared" ref="I15" si="14">ROUND(E15/$U$2*H15,0)</f>
        <v>0</v>
      </c>
      <c r="J15" s="146">
        <f t="shared" ref="J15:K15" si="15">F15+H15</f>
        <v>26</v>
      </c>
      <c r="K15" s="39">
        <f t="shared" si="15"/>
        <v>2000000</v>
      </c>
      <c r="L15" s="90">
        <f t="shared" ref="L15" si="16">+F15*15000</f>
        <v>390000</v>
      </c>
      <c r="M15" s="40">
        <f t="shared" ref="M15" si="17">K15+L15</f>
        <v>2390000</v>
      </c>
      <c r="N15" s="40">
        <f>IF(VLOOKUP(B15,DS,9,0)="x",'L - 7'!E15*$N$4,0)</f>
        <v>0</v>
      </c>
      <c r="O15" s="40">
        <f t="shared" ref="O15" si="18">IF(VLOOKUP(B15,DS,9,0)="x",E15*0.015,0)</f>
        <v>0</v>
      </c>
      <c r="P15" s="40">
        <f t="shared" ref="P15" si="19">IF(VLOOKUP(B15,DS,9,0)="x",E15*0.01,0)</f>
        <v>0</v>
      </c>
      <c r="Q15" s="39">
        <f>M15-SUM(N15:P15)</f>
        <v>2390000</v>
      </c>
      <c r="R15" s="39">
        <f t="shared" ref="R15" si="20">VLOOKUP(B15,DS,23,0)</f>
        <v>0</v>
      </c>
      <c r="S15" s="45">
        <f>Q15-R15</f>
        <v>2390000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ref="C16:C17" si="21">VLOOKUP(B16,DS,2,0)</f>
        <v>Đoàn Hồng Phong</v>
      </c>
      <c r="D16" s="116" t="str">
        <f t="shared" ref="D16:D17" si="22">VLOOKUP(B16,DS,3,0)</f>
        <v>Thợ đóng - xả</v>
      </c>
      <c r="E16" s="90">
        <f t="shared" ref="E16:E17" si="23">VLOOKUP(B16,DS,4,0)</f>
        <v>2000000</v>
      </c>
      <c r="F16" s="92">
        <f>VLOOKUP(B16,'CC -7'!$B$8:$AS$19,36,0)</f>
        <v>26</v>
      </c>
      <c r="G16" s="145">
        <f t="shared" ref="G16:G17" si="24">ROUND(E16/$U$2*F16,0)</f>
        <v>2000000</v>
      </c>
      <c r="H16" s="92">
        <f>(VLOOKUP(B16,'CC -7'!$B$8:$AS$19,37,0)+VLOOKUP(B16,'CC -7'!$B$8:$AS$19,38,0))</f>
        <v>0</v>
      </c>
      <c r="I16" s="145">
        <f t="shared" ref="I16:I17" si="25">ROUND(E16/$U$2*H16,0)</f>
        <v>0</v>
      </c>
      <c r="J16" s="146">
        <f t="shared" ref="J16:J17" si="26">F16+H16</f>
        <v>26</v>
      </c>
      <c r="K16" s="39">
        <f t="shared" ref="K16:K17" si="27">G16+I16</f>
        <v>2000000</v>
      </c>
      <c r="L16" s="90">
        <f t="shared" ref="L16:L17" si="28">+F16*15000</f>
        <v>390000</v>
      </c>
      <c r="M16" s="40">
        <f t="shared" ref="M16:M17" si="29">K16+L16</f>
        <v>2390000</v>
      </c>
      <c r="N16" s="40">
        <f>IF(VLOOKUP(B16,DS,9,0)="x",'L - 7'!E16*$N$4,0)</f>
        <v>0</v>
      </c>
      <c r="O16" s="40">
        <f t="shared" ref="O16:O17" si="30">IF(VLOOKUP(B16,DS,9,0)="x",E16*0.015,0)</f>
        <v>0</v>
      </c>
      <c r="P16" s="40">
        <f t="shared" ref="P16:P17" si="31">IF(VLOOKUP(B16,DS,9,0)="x",E16*0.01,0)</f>
        <v>0</v>
      </c>
      <c r="Q16" s="39">
        <f t="shared" ref="Q16:Q17" si="32">M16-SUM(N16:P16)</f>
        <v>2390000</v>
      </c>
      <c r="R16" s="39">
        <f t="shared" ref="R16:R17" si="33">VLOOKUP(B16,DS,23,0)</f>
        <v>0</v>
      </c>
      <c r="S16" s="45">
        <f t="shared" ref="S16:S17" si="34">Q16-R16</f>
        <v>2390000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21"/>
        <v>Trần Hữu Tình</v>
      </c>
      <c r="D17" s="116" t="str">
        <f t="shared" si="22"/>
        <v>Công nhân</v>
      </c>
      <c r="E17" s="90">
        <f t="shared" si="23"/>
        <v>1800000</v>
      </c>
      <c r="F17" s="92">
        <f>VLOOKUP(B17,'CC -7'!$B$8:$AS$19,36,0)</f>
        <v>26</v>
      </c>
      <c r="G17" s="145">
        <f t="shared" si="24"/>
        <v>1800000</v>
      </c>
      <c r="H17" s="92">
        <f>(VLOOKUP(B17,'CC -7'!$B$8:$AS$19,37,0)+VLOOKUP(B17,'CC -7'!$B$8:$AS$19,38,0))</f>
        <v>0</v>
      </c>
      <c r="I17" s="145">
        <f t="shared" si="25"/>
        <v>0</v>
      </c>
      <c r="J17" s="146">
        <f t="shared" si="26"/>
        <v>26</v>
      </c>
      <c r="K17" s="39">
        <f t="shared" si="27"/>
        <v>1800000</v>
      </c>
      <c r="L17" s="90">
        <f t="shared" si="28"/>
        <v>390000</v>
      </c>
      <c r="M17" s="40">
        <f t="shared" si="29"/>
        <v>2190000</v>
      </c>
      <c r="N17" s="40">
        <f>IF(VLOOKUP(B17,DS,9,0)="x",'L - 7'!E17*$N$4,0)</f>
        <v>0</v>
      </c>
      <c r="O17" s="40">
        <f t="shared" si="30"/>
        <v>0</v>
      </c>
      <c r="P17" s="40">
        <f t="shared" si="31"/>
        <v>0</v>
      </c>
      <c r="Q17" s="39">
        <f t="shared" si="32"/>
        <v>2190000</v>
      </c>
      <c r="R17" s="39">
        <f t="shared" si="33"/>
        <v>0</v>
      </c>
      <c r="S17" s="45">
        <f t="shared" si="34"/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5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4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9" t="s">
        <v>25</v>
      </c>
      <c r="B19" s="269"/>
      <c r="C19" s="269"/>
      <c r="D19" s="269"/>
      <c r="E19" s="140">
        <f>SUM(E14:E18)</f>
        <v>5800000</v>
      </c>
      <c r="F19" s="140"/>
      <c r="G19" s="140">
        <f>SUM(G14:G18)</f>
        <v>5800000</v>
      </c>
      <c r="H19" s="140"/>
      <c r="I19" s="140">
        <f>SUM(I14:I18)</f>
        <v>0</v>
      </c>
      <c r="J19" s="140"/>
      <c r="K19" s="140">
        <f>SUM(K14:K18)</f>
        <v>5800000</v>
      </c>
      <c r="L19" s="140">
        <f>SUM(L14:L18)</f>
        <v>1170000</v>
      </c>
      <c r="M19" s="140">
        <f>SUM(M14:M18)</f>
        <v>6970000</v>
      </c>
      <c r="N19" s="140">
        <f>SUM(N14:N18)</f>
        <v>0</v>
      </c>
      <c r="O19" s="140">
        <f>SUM(O14:O18)</f>
        <v>0</v>
      </c>
      <c r="P19" s="140">
        <f>SUM(P14:P18)</f>
        <v>0</v>
      </c>
      <c r="Q19" s="140">
        <f>SUM(Q14:Q18)</f>
        <v>6970000</v>
      </c>
      <c r="R19" s="140">
        <f>SUM(R14:R18)</f>
        <v>0</v>
      </c>
      <c r="S19" s="140">
        <f>SUM(S14:S18)</f>
        <v>6970000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07   năm 2012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7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0:K12 K15:K17" name="Range1_6"/>
    <protectedRange password="CC78" sqref="A2:A3" name="Range1_2_1_3"/>
    <protectedRange password="CC78" sqref="E13:T13" name="Range1_3"/>
    <protectedRange password="CC78" sqref="E19:T19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3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F22" sqref="F22:AJ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185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41122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57" t="s">
        <v>29</v>
      </c>
      <c r="E5" s="263" t="s">
        <v>30</v>
      </c>
      <c r="F5" s="118">
        <f>+E4</f>
        <v>41122</v>
      </c>
      <c r="G5" s="118">
        <f t="shared" ref="G5:AJ5" si="0">F5+1</f>
        <v>41123</v>
      </c>
      <c r="H5" s="118">
        <f t="shared" si="0"/>
        <v>41124</v>
      </c>
      <c r="I5" s="118">
        <f t="shared" si="0"/>
        <v>41125</v>
      </c>
      <c r="J5" s="118">
        <f t="shared" si="0"/>
        <v>41126</v>
      </c>
      <c r="K5" s="118">
        <f t="shared" si="0"/>
        <v>41127</v>
      </c>
      <c r="L5" s="118">
        <f t="shared" si="0"/>
        <v>41128</v>
      </c>
      <c r="M5" s="118">
        <f t="shared" si="0"/>
        <v>41129</v>
      </c>
      <c r="N5" s="118">
        <f t="shared" si="0"/>
        <v>41130</v>
      </c>
      <c r="O5" s="118">
        <f t="shared" si="0"/>
        <v>41131</v>
      </c>
      <c r="P5" s="118">
        <f t="shared" si="0"/>
        <v>41132</v>
      </c>
      <c r="Q5" s="118">
        <f t="shared" si="0"/>
        <v>41133</v>
      </c>
      <c r="R5" s="118">
        <f t="shared" si="0"/>
        <v>41134</v>
      </c>
      <c r="S5" s="118">
        <f t="shared" si="0"/>
        <v>41135</v>
      </c>
      <c r="T5" s="118">
        <f t="shared" si="0"/>
        <v>41136</v>
      </c>
      <c r="U5" s="118">
        <f t="shared" si="0"/>
        <v>41137</v>
      </c>
      <c r="V5" s="118">
        <f t="shared" si="0"/>
        <v>41138</v>
      </c>
      <c r="W5" s="118">
        <f t="shared" si="0"/>
        <v>41139</v>
      </c>
      <c r="X5" s="118">
        <f t="shared" si="0"/>
        <v>41140</v>
      </c>
      <c r="Y5" s="118">
        <f t="shared" si="0"/>
        <v>41141</v>
      </c>
      <c r="Z5" s="118">
        <f t="shared" si="0"/>
        <v>41142</v>
      </c>
      <c r="AA5" s="118">
        <f t="shared" si="0"/>
        <v>41143</v>
      </c>
      <c r="AB5" s="118">
        <f t="shared" si="0"/>
        <v>41144</v>
      </c>
      <c r="AC5" s="118">
        <f t="shared" si="0"/>
        <v>41145</v>
      </c>
      <c r="AD5" s="118">
        <f t="shared" si="0"/>
        <v>41146</v>
      </c>
      <c r="AE5" s="118">
        <f t="shared" si="0"/>
        <v>41147</v>
      </c>
      <c r="AF5" s="118">
        <f t="shared" si="0"/>
        <v>41148</v>
      </c>
      <c r="AG5" s="118">
        <f t="shared" si="0"/>
        <v>41149</v>
      </c>
      <c r="AH5" s="118">
        <f>AG5+1</f>
        <v>41150</v>
      </c>
      <c r="AI5" s="118">
        <f t="shared" si="0"/>
        <v>41151</v>
      </c>
      <c r="AJ5" s="118">
        <f t="shared" si="0"/>
        <v>41152</v>
      </c>
      <c r="AK5" s="264" t="s">
        <v>15</v>
      </c>
      <c r="AL5" s="265"/>
      <c r="AM5" s="266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7" t="s">
        <v>0</v>
      </c>
      <c r="AT5" s="25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8"/>
      <c r="B6" s="258"/>
      <c r="C6" s="258"/>
      <c r="D6" s="258"/>
      <c r="E6" s="258"/>
      <c r="F6" s="174" t="str">
        <f>CHOOSE(WEEKDAY(F5),"C.Nhật","T.Hai","T.Ba","T.Tư","T.Năm","T.Sáu","T.Bảy")</f>
        <v>T.Tư</v>
      </c>
      <c r="G6" s="174" t="str">
        <f t="shared" ref="G6:AJ6" si="1">CHOOSE(WEEKDAY(G5),"C.Nhật","T.Hai","T.Ba","T.Tư","T.Năm","T.Sáu","T.Bảy")</f>
        <v>T.Năm</v>
      </c>
      <c r="H6" s="174" t="str">
        <f t="shared" si="1"/>
        <v>T.Sáu</v>
      </c>
      <c r="I6" s="174" t="str">
        <f t="shared" si="1"/>
        <v>T.Bảy</v>
      </c>
      <c r="J6" s="174" t="str">
        <f t="shared" si="1"/>
        <v>C.Nhật</v>
      </c>
      <c r="K6" s="174" t="str">
        <f t="shared" si="1"/>
        <v>T.Hai</v>
      </c>
      <c r="L6" s="174" t="str">
        <f t="shared" si="1"/>
        <v>T.Ba</v>
      </c>
      <c r="M6" s="174" t="str">
        <f t="shared" si="1"/>
        <v>T.Tư</v>
      </c>
      <c r="N6" s="174" t="str">
        <f t="shared" si="1"/>
        <v>T.Năm</v>
      </c>
      <c r="O6" s="174" t="str">
        <f t="shared" si="1"/>
        <v>T.Sáu</v>
      </c>
      <c r="P6" s="174" t="str">
        <f t="shared" si="1"/>
        <v>T.Bảy</v>
      </c>
      <c r="Q6" s="174" t="str">
        <f t="shared" si="1"/>
        <v>C.Nhật</v>
      </c>
      <c r="R6" s="174" t="str">
        <f t="shared" si="1"/>
        <v>T.Hai</v>
      </c>
      <c r="S6" s="174" t="str">
        <f t="shared" si="1"/>
        <v>T.Ba</v>
      </c>
      <c r="T6" s="174" t="str">
        <f t="shared" si="1"/>
        <v>T.Tư</v>
      </c>
      <c r="U6" s="174" t="str">
        <f t="shared" si="1"/>
        <v>T.Năm</v>
      </c>
      <c r="V6" s="174" t="str">
        <f t="shared" si="1"/>
        <v>T.Sáu</v>
      </c>
      <c r="W6" s="174" t="str">
        <f t="shared" si="1"/>
        <v>T.Bảy</v>
      </c>
      <c r="X6" s="174" t="str">
        <f t="shared" si="1"/>
        <v>C.Nhật</v>
      </c>
      <c r="Y6" s="174" t="str">
        <f t="shared" si="1"/>
        <v>T.Hai</v>
      </c>
      <c r="Z6" s="174" t="str">
        <f t="shared" si="1"/>
        <v>T.Ba</v>
      </c>
      <c r="AA6" s="174" t="str">
        <f t="shared" si="1"/>
        <v>T.Tư</v>
      </c>
      <c r="AB6" s="174" t="str">
        <f t="shared" si="1"/>
        <v>T.Năm</v>
      </c>
      <c r="AC6" s="174" t="str">
        <f t="shared" si="1"/>
        <v>T.Sáu</v>
      </c>
      <c r="AD6" s="174" t="str">
        <f t="shared" si="1"/>
        <v>T.Bảy</v>
      </c>
      <c r="AE6" s="174" t="str">
        <f t="shared" si="1"/>
        <v>C.Nhật</v>
      </c>
      <c r="AF6" s="174" t="str">
        <f t="shared" si="1"/>
        <v>T.Hai</v>
      </c>
      <c r="AG6" s="174" t="str">
        <f t="shared" si="1"/>
        <v>T.Ba</v>
      </c>
      <c r="AH6" s="174" t="str">
        <f t="shared" si="1"/>
        <v>T.Tư</v>
      </c>
      <c r="AI6" s="174" t="str">
        <f t="shared" si="1"/>
        <v>T.Năm</v>
      </c>
      <c r="AJ6" s="174" t="str">
        <f t="shared" si="1"/>
        <v>T.Sáu</v>
      </c>
      <c r="AK6" s="175" t="s">
        <v>16</v>
      </c>
      <c r="AL6" s="175" t="s">
        <v>31</v>
      </c>
      <c r="AM6" s="176" t="s">
        <v>17</v>
      </c>
      <c r="AN6" s="256"/>
      <c r="AO6" s="256"/>
      <c r="AP6" s="256"/>
      <c r="AQ6" s="256"/>
      <c r="AR6" s="256"/>
      <c r="AS6" s="258"/>
      <c r="AT6" s="25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186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7">
        <v>1</v>
      </c>
      <c r="B9" s="247" t="s">
        <v>161</v>
      </c>
      <c r="C9" s="249" t="str">
        <f>VLOOKUP(B9,DS,2,0)</f>
        <v>Lê Thị Dung</v>
      </c>
      <c r="D9" s="251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53">
        <f>((SUM(F9:AJ9))/8)-(SUMIF($F$6:$AJ$6,"C.Nhật",F9:AJ9)/8)</f>
        <v>27</v>
      </c>
      <c r="AL9" s="253">
        <f>SUM(F10:AJ10)/8*1.5</f>
        <v>0</v>
      </c>
      <c r="AM9" s="241">
        <f>SUMIF($F$6:$AJ$6,"C.Nhật",$F9:$AJ10)/8*2</f>
        <v>0</v>
      </c>
      <c r="AN9" s="243">
        <f>SUM(AK9:AM10)</f>
        <v>27</v>
      </c>
      <c r="AO9" s="245">
        <v>0</v>
      </c>
      <c r="AP9" s="243"/>
      <c r="AQ9" s="243"/>
      <c r="AR9" s="243"/>
      <c r="AS9" s="239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4"/>
      <c r="AL10" s="254"/>
      <c r="AM10" s="242"/>
      <c r="AN10" s="244"/>
      <c r="AO10" s="246"/>
      <c r="AP10" s="244"/>
      <c r="AQ10" s="244"/>
      <c r="AR10" s="244"/>
      <c r="AS10" s="240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f>A7+1</f>
        <v>2</v>
      </c>
      <c r="B11" s="247" t="s">
        <v>162</v>
      </c>
      <c r="C11" s="249" t="str">
        <f>VLOOKUP(B11,DS,2,0)</f>
        <v>Phan Văn Hiền</v>
      </c>
      <c r="D11" s="251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>
        <v>8</v>
      </c>
      <c r="AK11" s="253">
        <f t="shared" ref="AK11" si="2">((SUM(F11:AJ11))/8)-(SUMIF($F$6:$AJ$6,"C.Nhật",F11:AJ11)/8)</f>
        <v>27</v>
      </c>
      <c r="AL11" s="253">
        <f t="shared" ref="AL11" si="3">SUM(F12:AJ12)/8*1.5</f>
        <v>0</v>
      </c>
      <c r="AM11" s="241">
        <f t="shared" ref="AM11:AM13" si="4">SUMIF($F$6:$AJ$6,"C.Nhật",$F11:$AJ12)/8*2</f>
        <v>0</v>
      </c>
      <c r="AN11" s="243">
        <f t="shared" ref="AN11" si="5">SUM(AK11:AM12)</f>
        <v>27</v>
      </c>
      <c r="AO11" s="245">
        <v>0</v>
      </c>
      <c r="AP11" s="243"/>
      <c r="AQ11" s="243"/>
      <c r="AR11" s="243"/>
      <c r="AS11" s="239"/>
      <c r="AT11" s="20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4"/>
      <c r="AL12" s="254"/>
      <c r="AM12" s="242"/>
      <c r="AN12" s="244"/>
      <c r="AO12" s="246"/>
      <c r="AP12" s="244"/>
      <c r="AQ12" s="244"/>
      <c r="AR12" s="244"/>
      <c r="AS12" s="240"/>
      <c r="AT12" s="20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7">
        <f>A9+1</f>
        <v>2</v>
      </c>
      <c r="B13" s="247" t="s">
        <v>183</v>
      </c>
      <c r="C13" s="249" t="str">
        <f>VLOOKUP(B13,DS,2,0)</f>
        <v>Nguyễn Thị Thu Sương</v>
      </c>
      <c r="D13" s="251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/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/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/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/>
      <c r="AF13" s="143">
        <v>8</v>
      </c>
      <c r="AG13" s="143">
        <v>8</v>
      </c>
      <c r="AH13" s="143">
        <v>8</v>
      </c>
      <c r="AI13" s="143">
        <v>8</v>
      </c>
      <c r="AJ13" s="143">
        <v>8</v>
      </c>
      <c r="AK13" s="253">
        <f t="shared" ref="AK13" si="6">((SUM(F13:AJ13))/8)-(SUMIF($F$6:$AJ$6,"C.Nhật",F13:AJ13)/8)</f>
        <v>27</v>
      </c>
      <c r="AL13" s="253">
        <f t="shared" ref="AL13" si="7">SUM(F14:AJ14)/8*1.5</f>
        <v>0</v>
      </c>
      <c r="AM13" s="241">
        <f t="shared" si="4"/>
        <v>0</v>
      </c>
      <c r="AN13" s="243">
        <f t="shared" ref="AN13" si="8">SUM(AK13:AM14)</f>
        <v>27</v>
      </c>
      <c r="AO13" s="245">
        <v>0</v>
      </c>
      <c r="AP13" s="243"/>
      <c r="AQ13" s="243"/>
      <c r="AR13" s="243"/>
      <c r="AS13" s="239"/>
      <c r="AT13" s="20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8"/>
      <c r="B14" s="248"/>
      <c r="C14" s="250"/>
      <c r="D14" s="252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54"/>
      <c r="AL14" s="254"/>
      <c r="AM14" s="242"/>
      <c r="AN14" s="244"/>
      <c r="AO14" s="246"/>
      <c r="AP14" s="244"/>
      <c r="AQ14" s="244"/>
      <c r="AR14" s="244"/>
      <c r="AS14" s="240"/>
      <c r="AT14" s="20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0" customFormat="1" ht="21" customHeight="1">
      <c r="A15" s="178" t="s">
        <v>156</v>
      </c>
      <c r="B15" s="181" t="s">
        <v>160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3"/>
      <c r="AT15" s="179"/>
    </row>
    <row r="16" spans="1:91" s="67" customFormat="1" ht="18" customHeight="1">
      <c r="A16" s="247">
        <v>1</v>
      </c>
      <c r="B16" s="247" t="s">
        <v>163</v>
      </c>
      <c r="C16" s="249" t="str">
        <f>VLOOKUP(B16,DS,2,0)</f>
        <v>Nguyễn Trường Giang</v>
      </c>
      <c r="D16" s="251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53">
        <f t="shared" ref="AK16" si="9">((SUM(F16:AJ16))/8)-(SUMIF($F$6:$AJ$6,"C.Nhật",F16:AJ16)/8)</f>
        <v>27</v>
      </c>
      <c r="AL16" s="253">
        <f t="shared" ref="AL16" si="10">SUM(F17:AJ17)/8*1.5</f>
        <v>0</v>
      </c>
      <c r="AM16" s="241">
        <f>SUMIF($F$6:$AJ$6,"C.Nhật",$F16:$AJ17)/8*2</f>
        <v>0</v>
      </c>
      <c r="AN16" s="243">
        <f>SUM(AK16:AM17)</f>
        <v>27</v>
      </c>
      <c r="AO16" s="245">
        <v>0</v>
      </c>
      <c r="AP16" s="243"/>
      <c r="AQ16" s="243"/>
      <c r="AR16" s="243"/>
      <c r="AS16" s="239"/>
      <c r="AT16" s="22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4"/>
      <c r="AL17" s="254"/>
      <c r="AM17" s="242"/>
      <c r="AN17" s="244"/>
      <c r="AO17" s="246"/>
      <c r="AP17" s="244"/>
      <c r="AQ17" s="244"/>
      <c r="AR17" s="244"/>
      <c r="AS17" s="240"/>
      <c r="AT17" s="22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7">
        <v>2</v>
      </c>
      <c r="B18" s="247" t="s">
        <v>164</v>
      </c>
      <c r="C18" s="249" t="str">
        <f>VLOOKUP(B18,DS,2,0)</f>
        <v>Đoàn Hồng Phong</v>
      </c>
      <c r="D18" s="251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>
        <v>8</v>
      </c>
      <c r="AK18" s="253">
        <f t="shared" ref="AK18" si="11">((SUM(F18:AJ18))/8)-(SUMIF($F$6:$AJ$6,"C.Nhật",F18:AJ18)/8)</f>
        <v>27</v>
      </c>
      <c r="AL18" s="253">
        <f t="shared" ref="AL18" si="12">SUM(F19:AJ19)/8*1.5</f>
        <v>0</v>
      </c>
      <c r="AM18" s="241">
        <f>SUMIF($F$6:$AJ$6,"C.Nhật",$F18:$AJ19)/8*2</f>
        <v>0</v>
      </c>
      <c r="AN18" s="243">
        <f t="shared" ref="AN18" si="13">SUM(AK18:AM19)</f>
        <v>27</v>
      </c>
      <c r="AO18" s="245">
        <v>0</v>
      </c>
      <c r="AP18" s="243"/>
      <c r="AQ18" s="243"/>
      <c r="AR18" s="243"/>
      <c r="AS18" s="239"/>
      <c r="AT18" s="22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4"/>
      <c r="AL19" s="254"/>
      <c r="AM19" s="242"/>
      <c r="AN19" s="244"/>
      <c r="AO19" s="246"/>
      <c r="AP19" s="244"/>
      <c r="AQ19" s="244"/>
      <c r="AR19" s="244"/>
      <c r="AS19" s="240"/>
      <c r="AT19" s="22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7">
        <v>3</v>
      </c>
      <c r="B20" s="247" t="s">
        <v>165</v>
      </c>
      <c r="C20" s="249" t="str">
        <f>VLOOKUP(B20,DS,2,0)</f>
        <v>Trần Hữu Tình</v>
      </c>
      <c r="D20" s="251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143">
        <v>8</v>
      </c>
      <c r="AJ20" s="143">
        <v>8</v>
      </c>
      <c r="AK20" s="253">
        <f t="shared" ref="AK20" si="14">((SUM(F20:AJ20))/8)-(SUMIF($F$6:$AJ$6,"C.Nhật",F20:AJ20)/8)</f>
        <v>27</v>
      </c>
      <c r="AL20" s="253">
        <f t="shared" ref="AL20" si="15">SUM(F21:AJ21)/8*1.5</f>
        <v>0</v>
      </c>
      <c r="AM20" s="241">
        <f>SUMIF($F$6:$AJ$6,"C.Nhật",$F20:$AJ21)/8*2</f>
        <v>0</v>
      </c>
      <c r="AN20" s="243">
        <f t="shared" ref="AN20" si="16">SUM(AK20:AM21)</f>
        <v>27</v>
      </c>
      <c r="AO20" s="245">
        <v>0</v>
      </c>
      <c r="AP20" s="243"/>
      <c r="AQ20" s="243"/>
      <c r="AR20" s="243"/>
      <c r="AS20" s="239"/>
      <c r="AT20" s="22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8"/>
      <c r="B21" s="248"/>
      <c r="C21" s="250"/>
      <c r="D21" s="252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4"/>
      <c r="AL21" s="254"/>
      <c r="AM21" s="242"/>
      <c r="AN21" s="244"/>
      <c r="AO21" s="246"/>
      <c r="AP21" s="244"/>
      <c r="AQ21" s="244"/>
      <c r="AR21" s="244"/>
      <c r="AS21" s="240"/>
      <c r="AT21" s="22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7">
        <v>4</v>
      </c>
      <c r="B22" s="247" t="s">
        <v>166</v>
      </c>
      <c r="C22" s="249" t="str">
        <f>VLOOKUP(B22,DS,2,0)</f>
        <v>Trương Văn Thành</v>
      </c>
      <c r="D22" s="251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/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>
        <v>8</v>
      </c>
      <c r="Q22" s="143"/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>
        <v>8</v>
      </c>
      <c r="X22" s="143"/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>
        <v>8</v>
      </c>
      <c r="AE22" s="143"/>
      <c r="AF22" s="143">
        <v>8</v>
      </c>
      <c r="AG22" s="143">
        <v>8</v>
      </c>
      <c r="AH22" s="143">
        <v>8</v>
      </c>
      <c r="AI22" s="143">
        <v>8</v>
      </c>
      <c r="AJ22" s="143">
        <v>8</v>
      </c>
      <c r="AK22" s="253">
        <f t="shared" ref="AK22" si="17">((SUM(F22:AJ22))/8)-(SUMIF($F$6:$AJ$6,"C.Nhật",F22:AJ22)/8)</f>
        <v>27</v>
      </c>
      <c r="AL22" s="253">
        <f t="shared" ref="AL22" si="18">SUM(F23:AJ23)/8*1.5</f>
        <v>0</v>
      </c>
      <c r="AM22" s="241">
        <f>SUMIF($F$6:$AJ$6,"C.Nhật",$F22:$AJ23)/8*2</f>
        <v>0</v>
      </c>
      <c r="AN22" s="243">
        <f>SUM(AK22:AM23)</f>
        <v>27</v>
      </c>
      <c r="AO22" s="245">
        <v>0</v>
      </c>
      <c r="AP22" s="243"/>
      <c r="AQ22" s="243"/>
      <c r="AR22" s="243"/>
      <c r="AS22" s="239"/>
      <c r="AT22" s="200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8"/>
      <c r="B23" s="248"/>
      <c r="C23" s="250"/>
      <c r="D23" s="252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4"/>
      <c r="AL23" s="254"/>
      <c r="AM23" s="242"/>
      <c r="AN23" s="244"/>
      <c r="AO23" s="246"/>
      <c r="AP23" s="244"/>
      <c r="AQ23" s="244"/>
      <c r="AR23" s="244"/>
      <c r="AS23" s="240"/>
      <c r="AT23" s="200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47">
        <v>5</v>
      </c>
      <c r="B24" s="247" t="s">
        <v>167</v>
      </c>
      <c r="C24" s="249" t="str">
        <f>VLOOKUP(B24,DS,2,0)</f>
        <v>Trần Thị Ngọc Anh</v>
      </c>
      <c r="D24" s="251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/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>
        <v>8</v>
      </c>
      <c r="Q24" s="143"/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>
        <v>8</v>
      </c>
      <c r="X24" s="143"/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>
        <v>8</v>
      </c>
      <c r="AE24" s="143"/>
      <c r="AF24" s="143">
        <v>8</v>
      </c>
      <c r="AG24" s="143">
        <v>8</v>
      </c>
      <c r="AH24" s="143">
        <v>8</v>
      </c>
      <c r="AI24" s="143">
        <v>8</v>
      </c>
      <c r="AJ24" s="143">
        <v>8</v>
      </c>
      <c r="AK24" s="253">
        <f t="shared" ref="AK24" si="19">((SUM(F24:AJ24))/8)-(SUMIF($F$6:$AJ$6,"C.Nhật",F24:AJ24)/8)</f>
        <v>27</v>
      </c>
      <c r="AL24" s="253">
        <f t="shared" ref="AL24" si="20">SUM(F25:AJ25)/8*1.5</f>
        <v>0</v>
      </c>
      <c r="AM24" s="241">
        <f>SUMIF($F$6:$AJ$6,"C.Nhật",$F24:$AJ25)/8*2</f>
        <v>0</v>
      </c>
      <c r="AN24" s="243">
        <f t="shared" ref="AN24" si="21">SUM(AK24:AM25)</f>
        <v>27</v>
      </c>
      <c r="AO24" s="245">
        <v>0</v>
      </c>
      <c r="AP24" s="243"/>
      <c r="AQ24" s="243"/>
      <c r="AR24" s="243"/>
      <c r="AS24" s="239"/>
      <c r="AT24" s="200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48"/>
      <c r="B25" s="248"/>
      <c r="C25" s="250"/>
      <c r="D25" s="252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54"/>
      <c r="AL25" s="254"/>
      <c r="AM25" s="242"/>
      <c r="AN25" s="244"/>
      <c r="AO25" s="246"/>
      <c r="AP25" s="244"/>
      <c r="AQ25" s="244"/>
      <c r="AR25" s="244"/>
      <c r="AS25" s="240"/>
      <c r="AT25" s="200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47">
        <v>6</v>
      </c>
      <c r="B26" s="247" t="s">
        <v>168</v>
      </c>
      <c r="C26" s="249" t="str">
        <f>VLOOKUP(B26,DS,2,0)</f>
        <v>Nguyễn Minh Vương</v>
      </c>
      <c r="D26" s="251" t="str">
        <f>VLOOKUP(B26,DS,3,0)</f>
        <v>Công nhân</v>
      </c>
      <c r="E26" s="68" t="s">
        <v>32</v>
      </c>
      <c r="F26" s="143">
        <v>8</v>
      </c>
      <c r="G26" s="143">
        <v>8</v>
      </c>
      <c r="H26" s="143">
        <v>8</v>
      </c>
      <c r="I26" s="143">
        <v>8</v>
      </c>
      <c r="J26" s="143"/>
      <c r="K26" s="143">
        <v>8</v>
      </c>
      <c r="L26" s="143">
        <v>8</v>
      </c>
      <c r="M26" s="143">
        <v>8</v>
      </c>
      <c r="N26" s="143">
        <v>8</v>
      </c>
      <c r="O26" s="143">
        <v>8</v>
      </c>
      <c r="P26" s="143">
        <v>8</v>
      </c>
      <c r="Q26" s="143"/>
      <c r="R26" s="143">
        <v>8</v>
      </c>
      <c r="S26" s="143">
        <v>8</v>
      </c>
      <c r="T26" s="143">
        <v>8</v>
      </c>
      <c r="U26" s="143">
        <v>8</v>
      </c>
      <c r="V26" s="143">
        <v>8</v>
      </c>
      <c r="W26" s="143">
        <v>8</v>
      </c>
      <c r="X26" s="143"/>
      <c r="Y26" s="143">
        <v>8</v>
      </c>
      <c r="Z26" s="143">
        <v>8</v>
      </c>
      <c r="AA26" s="143">
        <v>8</v>
      </c>
      <c r="AB26" s="143">
        <v>8</v>
      </c>
      <c r="AC26" s="143">
        <v>8</v>
      </c>
      <c r="AD26" s="143">
        <v>8</v>
      </c>
      <c r="AE26" s="143"/>
      <c r="AF26" s="143">
        <v>8</v>
      </c>
      <c r="AG26" s="143">
        <v>8</v>
      </c>
      <c r="AH26" s="143">
        <v>8</v>
      </c>
      <c r="AI26" s="143">
        <v>8</v>
      </c>
      <c r="AJ26" s="143">
        <v>8</v>
      </c>
      <c r="AK26" s="253">
        <f t="shared" ref="AK26" si="22">((SUM(F26:AJ26))/8)-(SUMIF($F$6:$AJ$6,"C.Nhật",F26:AJ26)/8)</f>
        <v>27</v>
      </c>
      <c r="AL26" s="253">
        <f t="shared" ref="AL26" si="23">SUM(F27:AJ27)/8*1.5</f>
        <v>0</v>
      </c>
      <c r="AM26" s="241">
        <f>SUMIF($F$6:$AJ$6,"C.Nhật",$F26:$AJ27)/8*2</f>
        <v>0</v>
      </c>
      <c r="AN26" s="243">
        <f t="shared" ref="AN26" si="24">SUM(AK26:AM27)</f>
        <v>27</v>
      </c>
      <c r="AO26" s="245">
        <v>0</v>
      </c>
      <c r="AP26" s="243"/>
      <c r="AQ26" s="243"/>
      <c r="AR26" s="243"/>
      <c r="AS26" s="239"/>
      <c r="AT26" s="200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48"/>
      <c r="B27" s="248"/>
      <c r="C27" s="250"/>
      <c r="D27" s="252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54"/>
      <c r="AL27" s="254"/>
      <c r="AM27" s="242"/>
      <c r="AN27" s="244"/>
      <c r="AO27" s="246"/>
      <c r="AP27" s="244"/>
      <c r="AQ27" s="244"/>
      <c r="AR27" s="244"/>
      <c r="AS27" s="240"/>
      <c r="AT27" s="200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46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46" s="73" customFormat="1" ht="12.75">
      <c r="A35" s="2"/>
      <c r="B35" s="2" t="s">
        <v>0</v>
      </c>
      <c r="C35" s="2"/>
      <c r="D35" s="198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46" s="73" customFormat="1" ht="12.75">
      <c r="A36" s="2"/>
      <c r="B36" s="2"/>
      <c r="C36" s="2" t="s">
        <v>46</v>
      </c>
      <c r="D36" s="198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46" ht="15" customHeight="1">
      <c r="C37" s="2" t="s">
        <v>47</v>
      </c>
    </row>
    <row r="38" spans="1:46" ht="15" customHeight="1">
      <c r="C38" s="2" t="s">
        <v>48</v>
      </c>
    </row>
    <row r="39" spans="1:46" ht="15" customHeight="1">
      <c r="C39" s="2" t="s">
        <v>49</v>
      </c>
    </row>
    <row r="40" spans="1:46" ht="15" customHeight="1">
      <c r="C40" s="2" t="s">
        <v>50</v>
      </c>
    </row>
    <row r="41" spans="1:46" ht="15" customHeight="1">
      <c r="C41" s="2" t="s">
        <v>51</v>
      </c>
    </row>
    <row r="42" spans="1:46" ht="15" customHeight="1">
      <c r="C42" s="2" t="s">
        <v>52</v>
      </c>
    </row>
    <row r="43" spans="1:46" ht="15" customHeight="1">
      <c r="C43" s="2" t="s">
        <v>53</v>
      </c>
    </row>
    <row r="44" spans="1:46" ht="15" customHeight="1">
      <c r="C44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13:AM14"/>
    <mergeCell ref="AN13:AN14"/>
    <mergeCell ref="AO13:AO14"/>
    <mergeCell ref="A22:A23"/>
    <mergeCell ref="B22:B23"/>
    <mergeCell ref="C22:C23"/>
    <mergeCell ref="D22:D23"/>
    <mergeCell ref="AK22:AK23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D18:D19"/>
    <mergeCell ref="AK18:AK19"/>
    <mergeCell ref="AO16:AO17"/>
    <mergeCell ref="AP16:AP17"/>
    <mergeCell ref="AQ16:AQ17"/>
    <mergeCell ref="AR16:AR17"/>
    <mergeCell ref="AS16:AS17"/>
    <mergeCell ref="AP26:AP27"/>
    <mergeCell ref="AQ26:AQ27"/>
    <mergeCell ref="AR26:AR27"/>
    <mergeCell ref="AS26:AS27"/>
    <mergeCell ref="AS24:AS25"/>
    <mergeCell ref="AP24:AP25"/>
    <mergeCell ref="AQ24:AQ25"/>
    <mergeCell ref="AR24:AR25"/>
    <mergeCell ref="AM24:AM25"/>
    <mergeCell ref="AN24:AN25"/>
    <mergeCell ref="AO24:AO25"/>
    <mergeCell ref="AP22:AP23"/>
    <mergeCell ref="AQ22:AQ23"/>
    <mergeCell ref="AR22:AR23"/>
    <mergeCell ref="AS22:AS23"/>
    <mergeCell ref="AO22:AO23"/>
    <mergeCell ref="AQ18:AQ19"/>
    <mergeCell ref="AR18:AR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L18:AL19"/>
    <mergeCell ref="AM18:AM19"/>
    <mergeCell ref="AN18:AN19"/>
    <mergeCell ref="AO18:AO19"/>
    <mergeCell ref="AP18:AP19"/>
    <mergeCell ref="A18:A19"/>
    <mergeCell ref="B18:B19"/>
    <mergeCell ref="C18:C19"/>
  </mergeCells>
  <conditionalFormatting sqref="F5:AJ6 F9:AJ14 F22:AJ27">
    <cfRule type="expression" dxfId="84" priority="26" stopIfTrue="1">
      <formula>IF(WEEKDAY(F$5)=1,TRUE,FALSE)</formula>
    </cfRule>
  </conditionalFormatting>
  <conditionalFormatting sqref="F9:AJ14">
    <cfRule type="expression" dxfId="83" priority="25" stopIfTrue="1">
      <formula>IF(WEEKDAY(F$5)=1,TRUE,FALSE)</formula>
    </cfRule>
  </conditionalFormatting>
  <conditionalFormatting sqref="F22:AJ27">
    <cfRule type="expression" dxfId="82" priority="24" stopIfTrue="1">
      <formula>IF(WEEKDAY(F$5)=1,TRUE,FALSE)</formula>
    </cfRule>
  </conditionalFormatting>
  <conditionalFormatting sqref="F22:AJ27">
    <cfRule type="expression" dxfId="81" priority="23" stopIfTrue="1">
      <formula>IF(WEEKDAY(F$5)=1,TRUE,FALSE)</formula>
    </cfRule>
  </conditionalFormatting>
  <conditionalFormatting sqref="F22:AI27">
    <cfRule type="expression" dxfId="80" priority="22" stopIfTrue="1">
      <formula>IF(WEEKDAY(F$5)=1,TRUE,FALSE)</formula>
    </cfRule>
  </conditionalFormatting>
  <conditionalFormatting sqref="F22:AJ27">
    <cfRule type="expression" dxfId="79" priority="21" stopIfTrue="1">
      <formula>IF(WEEKDAY(F$5)=1,TRUE,FALSE)</formula>
    </cfRule>
  </conditionalFormatting>
  <conditionalFormatting sqref="F22:AI27">
    <cfRule type="expression" dxfId="78" priority="20" stopIfTrue="1">
      <formula>IF(WEEKDAY(F$5)=1,TRUE,FALSE)</formula>
    </cfRule>
  </conditionalFormatting>
  <conditionalFormatting sqref="F22:AJ27">
    <cfRule type="expression" dxfId="77" priority="19" stopIfTrue="1">
      <formula>IF(WEEKDAY(F$5)=1,TRUE,FALSE)</formula>
    </cfRule>
  </conditionalFormatting>
  <conditionalFormatting sqref="F22:AJ27">
    <cfRule type="expression" dxfId="76" priority="18" stopIfTrue="1">
      <formula>IF(WEEKDAY(F$5)=1,TRUE,FALSE)</formula>
    </cfRule>
  </conditionalFormatting>
  <conditionalFormatting sqref="F22:AJ27">
    <cfRule type="expression" dxfId="75" priority="17" stopIfTrue="1">
      <formula>IF(WEEKDAY(F$5)=1,TRUE,FALSE)</formula>
    </cfRule>
  </conditionalFormatting>
  <conditionalFormatting sqref="F22:AJ27">
    <cfRule type="expression" dxfId="74" priority="16" stopIfTrue="1">
      <formula>IF(WEEKDAY(F$5)=1,TRUE,FALSE)</formula>
    </cfRule>
  </conditionalFormatting>
  <conditionalFormatting sqref="F22:AJ27">
    <cfRule type="expression" dxfId="73" priority="15" stopIfTrue="1">
      <formula>IF(WEEKDAY(F$5)=1,TRUE,FALSE)</formula>
    </cfRule>
  </conditionalFormatting>
  <conditionalFormatting sqref="F16:AJ21">
    <cfRule type="expression" dxfId="72" priority="3" stopIfTrue="1">
      <formula>IF(WEEKDAY(F$5)=1,TRUE,FALSE)</formula>
    </cfRule>
  </conditionalFormatting>
  <conditionalFormatting sqref="F16:AJ21">
    <cfRule type="expression" dxfId="71" priority="2" stopIfTrue="1">
      <formula>IF(WEEKDAY(F$5)=1,TRUE,FALSE)</formula>
    </cfRule>
  </conditionalFormatting>
  <conditionalFormatting sqref="F22:AJ27">
    <cfRule type="expression" dxfId="7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2"/>
      <c r="C1" s="202"/>
      <c r="D1" s="277" t="str">
        <f>"BẢNG THANH TOÁN LƯƠNG THÁNG"&amp;" "&amp;TEXT($E$4,"mm")&amp;" / "&amp;TEXT($E$4,"yyyy")</f>
        <v>BẢNG THANH TOÁN LƯƠNG THÁNG 08 / 2012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9" t="s">
        <v>185</v>
      </c>
      <c r="S1" s="280"/>
      <c r="T1" s="28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2"/>
      <c r="C2" s="202"/>
      <c r="D2" s="202"/>
      <c r="E2" s="81"/>
      <c r="F2" s="202"/>
      <c r="G2" s="202"/>
      <c r="H2" s="202"/>
      <c r="I2" s="202"/>
      <c r="J2" s="82"/>
      <c r="K2" s="202"/>
      <c r="L2" s="202"/>
      <c r="M2" s="202"/>
      <c r="N2" s="202"/>
      <c r="O2" s="202"/>
      <c r="P2" s="202"/>
      <c r="Q2" s="202"/>
      <c r="R2" s="202"/>
      <c r="S2" s="202"/>
      <c r="T2" s="59"/>
      <c r="U2" s="80">
        <f>MAX(F10:F23)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2"/>
      <c r="C3" s="202"/>
      <c r="D3" s="202"/>
      <c r="E3" s="81"/>
      <c r="F3" s="202"/>
      <c r="G3" s="202"/>
      <c r="H3" s="202"/>
      <c r="I3" s="202"/>
      <c r="J3" s="82"/>
      <c r="K3" s="202"/>
      <c r="L3" s="202"/>
      <c r="M3" s="202"/>
      <c r="N3" s="202"/>
      <c r="O3" s="202"/>
      <c r="P3" s="202"/>
      <c r="Q3" s="202"/>
      <c r="R3" s="202"/>
      <c r="S3" s="202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- 8'!$E$4</f>
        <v>41122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2" t="s">
        <v>19</v>
      </c>
      <c r="B5" s="282" t="s">
        <v>20</v>
      </c>
      <c r="C5" s="232" t="s">
        <v>1</v>
      </c>
      <c r="D5" s="232" t="s">
        <v>2</v>
      </c>
      <c r="E5" s="227" t="s">
        <v>56</v>
      </c>
      <c r="F5" s="270" t="s">
        <v>26</v>
      </c>
      <c r="G5" s="272"/>
      <c r="H5" s="272"/>
      <c r="I5" s="272"/>
      <c r="J5" s="272"/>
      <c r="K5" s="271"/>
      <c r="L5" s="267" t="s">
        <v>57</v>
      </c>
      <c r="M5" s="267" t="s">
        <v>5</v>
      </c>
      <c r="N5" s="232" t="s">
        <v>6</v>
      </c>
      <c r="O5" s="232"/>
      <c r="P5" s="232"/>
      <c r="Q5" s="267" t="s">
        <v>7</v>
      </c>
      <c r="R5" s="267" t="s">
        <v>8</v>
      </c>
      <c r="S5" s="267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3"/>
      <c r="B6" s="283"/>
      <c r="C6" s="232"/>
      <c r="D6" s="232"/>
      <c r="E6" s="227"/>
      <c r="F6" s="270" t="s">
        <v>59</v>
      </c>
      <c r="G6" s="271"/>
      <c r="H6" s="270" t="s">
        <v>158</v>
      </c>
      <c r="I6" s="272"/>
      <c r="J6" s="273" t="s">
        <v>27</v>
      </c>
      <c r="K6" s="267" t="s">
        <v>4</v>
      </c>
      <c r="L6" s="268"/>
      <c r="M6" s="268"/>
      <c r="N6" s="275" t="s">
        <v>12</v>
      </c>
      <c r="O6" s="267" t="s">
        <v>13</v>
      </c>
      <c r="P6" s="267" t="s">
        <v>34</v>
      </c>
      <c r="Q6" s="268"/>
      <c r="R6" s="268"/>
      <c r="S6" s="268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3"/>
      <c r="B7" s="283"/>
      <c r="C7" s="267"/>
      <c r="D7" s="267"/>
      <c r="E7" s="227"/>
      <c r="F7" s="201" t="s">
        <v>40</v>
      </c>
      <c r="G7" s="199" t="s">
        <v>18</v>
      </c>
      <c r="H7" s="201" t="s">
        <v>40</v>
      </c>
      <c r="I7" s="128" t="s">
        <v>18</v>
      </c>
      <c r="J7" s="274"/>
      <c r="K7" s="268"/>
      <c r="L7" s="284"/>
      <c r="M7" s="284"/>
      <c r="N7" s="276"/>
      <c r="O7" s="268"/>
      <c r="P7" s="268"/>
      <c r="Q7" s="268"/>
      <c r="R7" s="268"/>
      <c r="S7" s="268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186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- 8'!$B$8:$AS$27,36,0)</f>
        <v>27</v>
      </c>
      <c r="G10" s="145">
        <f t="shared" ref="G10:G12" si="3">ROUND(E10/$U$2*F10,0)</f>
        <v>3500000</v>
      </c>
      <c r="H10" s="92">
        <f>(VLOOKUP(B10,'CC - 8'!$B$8:$AS$27,37,0)+VLOOKUP(B10,'CC - 8'!$B$8:$AS$27,38,0))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3500000</v>
      </c>
      <c r="L10" s="90">
        <f t="shared" ref="L10:L12" si="6">+F10*15000</f>
        <v>405000</v>
      </c>
      <c r="M10" s="40">
        <f t="shared" ref="M10:M12" si="7">K10+L10</f>
        <v>3905000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3905000</v>
      </c>
      <c r="R10" s="39">
        <f>VLOOKUP(B10,DS,23,0)</f>
        <v>0</v>
      </c>
      <c r="S10" s="45">
        <f t="shared" ref="S10:S12" si="9">Q10-R10</f>
        <v>3905000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2500000</v>
      </c>
      <c r="F11" s="92">
        <f>VLOOKUP(B11,'CC - 8'!$B$8:$AS$27,36,0)</f>
        <v>27</v>
      </c>
      <c r="G11" s="145">
        <f t="shared" si="3"/>
        <v>2500000</v>
      </c>
      <c r="H11" s="92">
        <f>(VLOOKUP(B11,'CC - 8'!$B$8:$AS$27,37,0)+VLOOKUP(B11,'CC - 8'!$B$8:$AS$27,38,0))</f>
        <v>0</v>
      </c>
      <c r="I11" s="145">
        <f t="shared" si="4"/>
        <v>0</v>
      </c>
      <c r="J11" s="93">
        <f t="shared" si="5"/>
        <v>27</v>
      </c>
      <c r="K11" s="39">
        <f t="shared" si="5"/>
        <v>2500000</v>
      </c>
      <c r="L11" s="90">
        <f t="shared" si="6"/>
        <v>405000</v>
      </c>
      <c r="M11" s="40">
        <f t="shared" si="7"/>
        <v>2905000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2905000</v>
      </c>
      <c r="R11" s="39">
        <f>VLOOKUP(B11,DS,23,0)</f>
        <v>0</v>
      </c>
      <c r="S11" s="45">
        <f t="shared" si="9"/>
        <v>2905000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2200000</v>
      </c>
      <c r="F12" s="92">
        <f>VLOOKUP(B12,'CC - 8'!$B$8:$AS$27,36,0)</f>
        <v>27</v>
      </c>
      <c r="G12" s="145">
        <f t="shared" si="3"/>
        <v>2200000</v>
      </c>
      <c r="H12" s="92">
        <f>(VLOOKUP(B12,'CC - 8'!$B$8:$AS$27,37,0)+VLOOKUP(B12,'CC - 8'!$B$8:$AS$27,38,0))</f>
        <v>0</v>
      </c>
      <c r="I12" s="145">
        <f t="shared" si="4"/>
        <v>0</v>
      </c>
      <c r="J12" s="93">
        <f t="shared" si="5"/>
        <v>27</v>
      </c>
      <c r="K12" s="39">
        <f t="shared" si="5"/>
        <v>2200000</v>
      </c>
      <c r="L12" s="90">
        <f t="shared" si="6"/>
        <v>405000</v>
      </c>
      <c r="M12" s="40">
        <f t="shared" si="7"/>
        <v>2605000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2605000</v>
      </c>
      <c r="R12" s="39">
        <f>VLOOKUP(B12,DS,23,0)</f>
        <v>0</v>
      </c>
      <c r="S12" s="45">
        <f t="shared" si="9"/>
        <v>2605000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3"/>
      <c r="B13" s="204"/>
      <c r="C13" s="205"/>
      <c r="D13" s="206"/>
      <c r="E13" s="207"/>
      <c r="F13" s="208"/>
      <c r="G13" s="209"/>
      <c r="H13" s="208"/>
      <c r="I13" s="209"/>
      <c r="J13" s="210"/>
      <c r="K13" s="211"/>
      <c r="L13" s="207"/>
      <c r="M13" s="212"/>
      <c r="N13" s="212"/>
      <c r="O13" s="212"/>
      <c r="P13" s="212"/>
      <c r="Q13" s="211"/>
      <c r="R13" s="211"/>
      <c r="S13" s="213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9" t="s">
        <v>25</v>
      </c>
      <c r="B14" s="269"/>
      <c r="C14" s="269"/>
      <c r="D14" s="269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1215000</v>
      </c>
      <c r="M14" s="140">
        <f t="shared" si="10"/>
        <v>9415000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9415000</v>
      </c>
      <c r="R14" s="140">
        <f t="shared" si="10"/>
        <v>0</v>
      </c>
      <c r="S14" s="140">
        <f t="shared" si="10"/>
        <v>9415000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156</v>
      </c>
      <c r="B15" s="187" t="s">
        <v>157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11">VLOOKUP(B16,DS,2,0)</f>
        <v>Nguyễn Trường Giang</v>
      </c>
      <c r="D16" s="116" t="str">
        <f t="shared" ref="D16" si="12">VLOOKUP(B16,DS,3,0)</f>
        <v>Thợ in</v>
      </c>
      <c r="E16" s="90">
        <f t="shared" ref="E16" si="13">VLOOKUP(B16,DS,4,0)</f>
        <v>2000000</v>
      </c>
      <c r="F16" s="92">
        <f>VLOOKUP(B16,'CC - 8'!$B$8:$AS$27,36,0)</f>
        <v>27</v>
      </c>
      <c r="G16" s="145">
        <f t="shared" ref="G16" si="14">ROUND(E16/$U$2*F16,0)</f>
        <v>2000000</v>
      </c>
      <c r="H16" s="92">
        <f>(VLOOKUP(B16,'CC - 8'!$B$8:$AS$27,37,0)+VLOOKUP(B16,'CC - 8'!$B$8:$AS$27,38,0))</f>
        <v>0</v>
      </c>
      <c r="I16" s="145">
        <f t="shared" ref="I16" si="15">ROUND(E16/$U$2*H16,0)</f>
        <v>0</v>
      </c>
      <c r="J16" s="146">
        <f t="shared" ref="J16:K16" si="16">F16+H16</f>
        <v>27</v>
      </c>
      <c r="K16" s="39">
        <f t="shared" si="16"/>
        <v>2000000</v>
      </c>
      <c r="L16" s="90">
        <f t="shared" ref="L16" si="17">+F16*15000</f>
        <v>405000</v>
      </c>
      <c r="M16" s="40">
        <f t="shared" ref="M16" si="18">K16+L16</f>
        <v>2405000</v>
      </c>
      <c r="N16" s="40">
        <f>IF(VLOOKUP(B16,DS,9,0)="x",'L - 8'!E16*$N$4,0)</f>
        <v>0</v>
      </c>
      <c r="O16" s="40">
        <f t="shared" ref="O16" si="19">IF(VLOOKUP(B16,DS,9,0)="x",E16*0.015,0)</f>
        <v>0</v>
      </c>
      <c r="P16" s="40">
        <f t="shared" ref="P16" si="20">IF(VLOOKUP(B16,DS,9,0)="x",E16*0.01,0)</f>
        <v>0</v>
      </c>
      <c r="Q16" s="39">
        <f>M16-SUM(N16:P16)</f>
        <v>2405000</v>
      </c>
      <c r="R16" s="39">
        <f t="shared" ref="R16" si="21">VLOOKUP(B16,DS,23,0)</f>
        <v>0</v>
      </c>
      <c r="S16" s="45">
        <f>Q16-R16</f>
        <v>2405000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2">VLOOKUP(B17,DS,2,0)</f>
        <v>Đoàn Hồng Phong</v>
      </c>
      <c r="D17" s="116" t="str">
        <f t="shared" ref="D17:D21" si="23">VLOOKUP(B17,DS,3,0)</f>
        <v>Thợ đóng - xả</v>
      </c>
      <c r="E17" s="90">
        <f t="shared" ref="E17:E21" si="24">VLOOKUP(B17,DS,4,0)</f>
        <v>2000000</v>
      </c>
      <c r="F17" s="92">
        <f>VLOOKUP(B17,'CC - 8'!$B$8:$AS$27,36,0)</f>
        <v>27</v>
      </c>
      <c r="G17" s="145">
        <f t="shared" ref="G17:G21" si="25">ROUND(E17/$U$2*F17,0)</f>
        <v>2000000</v>
      </c>
      <c r="H17" s="92">
        <f>(VLOOKUP(B17,'CC - 8'!$B$8:$AS$27,37,0)+VLOOKUP(B17,'CC - 8'!$B$8:$AS$27,38,0))</f>
        <v>0</v>
      </c>
      <c r="I17" s="145">
        <f t="shared" ref="I17:I21" si="26">ROUND(E17/$U$2*H17,0)</f>
        <v>0</v>
      </c>
      <c r="J17" s="146">
        <f t="shared" ref="J17:J21" si="27">F17+H17</f>
        <v>27</v>
      </c>
      <c r="K17" s="39">
        <f t="shared" ref="K17:K21" si="28">G17+I17</f>
        <v>2000000</v>
      </c>
      <c r="L17" s="90">
        <f t="shared" ref="L17:L21" si="29">+F17*15000</f>
        <v>405000</v>
      </c>
      <c r="M17" s="40">
        <f t="shared" ref="M17:M21" si="30">K17+L17</f>
        <v>2405000</v>
      </c>
      <c r="N17" s="40">
        <f>IF(VLOOKUP(B17,DS,9,0)="x",'L - 8'!E17*$N$4,0)</f>
        <v>0</v>
      </c>
      <c r="O17" s="40">
        <f t="shared" ref="O17:O21" si="31">IF(VLOOKUP(B17,DS,9,0)="x",E17*0.015,0)</f>
        <v>0</v>
      </c>
      <c r="P17" s="40">
        <f t="shared" ref="P17:P21" si="32">IF(VLOOKUP(B17,DS,9,0)="x",E17*0.01,0)</f>
        <v>0</v>
      </c>
      <c r="Q17" s="39">
        <f t="shared" ref="Q17:Q21" si="33">M17-SUM(N17:P17)</f>
        <v>2405000</v>
      </c>
      <c r="R17" s="39">
        <f t="shared" ref="R17:R21" si="34">VLOOKUP(B17,DS,23,0)</f>
        <v>0</v>
      </c>
      <c r="S17" s="45">
        <f t="shared" ref="S17:S21" si="35">Q17-R17</f>
        <v>2405000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1800000</v>
      </c>
      <c r="F18" s="92">
        <f>VLOOKUP(B18,'CC - 8'!$B$8:$AS$27,36,0)</f>
        <v>27</v>
      </c>
      <c r="G18" s="145">
        <f t="shared" si="25"/>
        <v>1800000</v>
      </c>
      <c r="H18" s="92">
        <f>(VLOOKUP(B18,'CC - 8'!$B$8:$AS$27,37,0)+VLOOKUP(B18,'CC - 8'!$B$8:$AS$27,38,0))</f>
        <v>0</v>
      </c>
      <c r="I18" s="145">
        <f t="shared" si="26"/>
        <v>0</v>
      </c>
      <c r="J18" s="146">
        <f t="shared" si="27"/>
        <v>27</v>
      </c>
      <c r="K18" s="39">
        <f t="shared" si="28"/>
        <v>1800000</v>
      </c>
      <c r="L18" s="90">
        <f t="shared" si="29"/>
        <v>405000</v>
      </c>
      <c r="M18" s="40">
        <f t="shared" si="30"/>
        <v>2205000</v>
      </c>
      <c r="N18" s="40">
        <f>IF(VLOOKUP(B18,DS,9,0)="x",'L - 8'!E18*$N$4,0)</f>
        <v>0</v>
      </c>
      <c r="O18" s="40">
        <f t="shared" si="31"/>
        <v>0</v>
      </c>
      <c r="P18" s="40">
        <f t="shared" si="32"/>
        <v>0</v>
      </c>
      <c r="Q18" s="39">
        <f t="shared" si="33"/>
        <v>2205000</v>
      </c>
      <c r="R18" s="39">
        <f t="shared" si="34"/>
        <v>0</v>
      </c>
      <c r="S18" s="45">
        <f t="shared" si="35"/>
        <v>2205000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2"/>
        <v>Trương Văn Thành</v>
      </c>
      <c r="D19" s="116" t="str">
        <f t="shared" si="23"/>
        <v>Công nhân</v>
      </c>
      <c r="E19" s="90">
        <f t="shared" si="24"/>
        <v>1800000</v>
      </c>
      <c r="F19" s="92">
        <f>VLOOKUP(B19,'CC - 8'!$B$8:$AS$27,36,0)</f>
        <v>27</v>
      </c>
      <c r="G19" s="145">
        <f t="shared" si="25"/>
        <v>1800000</v>
      </c>
      <c r="H19" s="92">
        <f>(VLOOKUP(B19,'CC - 8'!$B$8:$AS$27,37,0)+VLOOKUP(B19,'CC - 8'!$B$8:$AS$27,38,0))</f>
        <v>0</v>
      </c>
      <c r="I19" s="145">
        <f t="shared" si="26"/>
        <v>0</v>
      </c>
      <c r="J19" s="146">
        <f t="shared" si="27"/>
        <v>27</v>
      </c>
      <c r="K19" s="39">
        <f t="shared" si="28"/>
        <v>1800000</v>
      </c>
      <c r="L19" s="90">
        <f t="shared" si="29"/>
        <v>405000</v>
      </c>
      <c r="M19" s="40">
        <f t="shared" si="30"/>
        <v>2205000</v>
      </c>
      <c r="N19" s="40">
        <f>IF(VLOOKUP(B19,DS,9,0)="x",'L - 8'!E19*$N$4,0)</f>
        <v>0</v>
      </c>
      <c r="O19" s="40">
        <f t="shared" si="31"/>
        <v>0</v>
      </c>
      <c r="P19" s="40">
        <f t="shared" si="32"/>
        <v>0</v>
      </c>
      <c r="Q19" s="39">
        <f t="shared" si="33"/>
        <v>2205000</v>
      </c>
      <c r="R19" s="39">
        <f t="shared" si="34"/>
        <v>0</v>
      </c>
      <c r="S19" s="45">
        <f t="shared" si="35"/>
        <v>2205000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2"/>
        <v>Trần Thị Ngọc Anh</v>
      </c>
      <c r="D20" s="116" t="str">
        <f t="shared" si="23"/>
        <v>Công nhân</v>
      </c>
      <c r="E20" s="90">
        <f t="shared" si="24"/>
        <v>1800000</v>
      </c>
      <c r="F20" s="92">
        <f>VLOOKUP(B20,'CC - 8'!$B$8:$AS$27,36,0)</f>
        <v>27</v>
      </c>
      <c r="G20" s="145">
        <f t="shared" si="25"/>
        <v>1800000</v>
      </c>
      <c r="H20" s="92">
        <f>(VLOOKUP(B20,'CC - 8'!$B$8:$AS$27,37,0)+VLOOKUP(B20,'CC - 8'!$B$8:$AS$27,38,0))</f>
        <v>0</v>
      </c>
      <c r="I20" s="145">
        <f t="shared" si="26"/>
        <v>0</v>
      </c>
      <c r="J20" s="146">
        <f t="shared" si="27"/>
        <v>27</v>
      </c>
      <c r="K20" s="39">
        <f t="shared" si="28"/>
        <v>1800000</v>
      </c>
      <c r="L20" s="90">
        <f t="shared" si="29"/>
        <v>405000</v>
      </c>
      <c r="M20" s="40">
        <f t="shared" si="30"/>
        <v>2205000</v>
      </c>
      <c r="N20" s="40">
        <f>IF(VLOOKUP(B20,DS,9,0)="x",'L - 8'!E20*$N$4,0)</f>
        <v>0</v>
      </c>
      <c r="O20" s="40">
        <f t="shared" si="31"/>
        <v>0</v>
      </c>
      <c r="P20" s="40">
        <f t="shared" si="32"/>
        <v>0</v>
      </c>
      <c r="Q20" s="39">
        <f t="shared" si="33"/>
        <v>2205000</v>
      </c>
      <c r="R20" s="39">
        <f t="shared" si="34"/>
        <v>0</v>
      </c>
      <c r="S20" s="45">
        <f t="shared" si="35"/>
        <v>2205000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2"/>
        <v>Nguyễn Minh Vương</v>
      </c>
      <c r="D21" s="116" t="str">
        <f t="shared" si="23"/>
        <v>Công nhân</v>
      </c>
      <c r="E21" s="90">
        <f t="shared" si="24"/>
        <v>1800000</v>
      </c>
      <c r="F21" s="92">
        <f>VLOOKUP(B21,'CC - 8'!$B$8:$AS$27,36,0)</f>
        <v>27</v>
      </c>
      <c r="G21" s="145">
        <f t="shared" si="25"/>
        <v>1800000</v>
      </c>
      <c r="H21" s="92">
        <f>(VLOOKUP(B21,'CC - 8'!$B$8:$AS$27,37,0)+VLOOKUP(B21,'CC - 8'!$B$8:$AS$27,38,0))</f>
        <v>0</v>
      </c>
      <c r="I21" s="145">
        <f t="shared" si="26"/>
        <v>0</v>
      </c>
      <c r="J21" s="146">
        <f t="shared" si="27"/>
        <v>27</v>
      </c>
      <c r="K21" s="39">
        <f t="shared" si="28"/>
        <v>1800000</v>
      </c>
      <c r="L21" s="90">
        <f t="shared" si="29"/>
        <v>405000</v>
      </c>
      <c r="M21" s="40">
        <f t="shared" si="30"/>
        <v>2205000</v>
      </c>
      <c r="N21" s="40">
        <f>IF(VLOOKUP(B21,DS,9,0)="x",'L - 8'!E21*$N$4,0)</f>
        <v>0</v>
      </c>
      <c r="O21" s="40">
        <f t="shared" si="31"/>
        <v>0</v>
      </c>
      <c r="P21" s="40">
        <f t="shared" si="32"/>
        <v>0</v>
      </c>
      <c r="Q21" s="39">
        <f t="shared" si="33"/>
        <v>2205000</v>
      </c>
      <c r="R21" s="39">
        <f t="shared" si="34"/>
        <v>0</v>
      </c>
      <c r="S21" s="45">
        <f t="shared" si="35"/>
        <v>2205000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5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4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9" t="s">
        <v>25</v>
      </c>
      <c r="B23" s="269"/>
      <c r="C23" s="269"/>
      <c r="D23" s="269"/>
      <c r="E23" s="140">
        <f>SUM(E15:E22)</f>
        <v>11200000</v>
      </c>
      <c r="F23" s="140"/>
      <c r="G23" s="140">
        <f t="shared" ref="G23:S23" si="36">SUM(G15:G22)</f>
        <v>11200000</v>
      </c>
      <c r="H23" s="140"/>
      <c r="I23" s="140">
        <f t="shared" si="36"/>
        <v>0</v>
      </c>
      <c r="J23" s="140"/>
      <c r="K23" s="140">
        <f t="shared" si="36"/>
        <v>11200000</v>
      </c>
      <c r="L23" s="140">
        <f t="shared" si="36"/>
        <v>2430000</v>
      </c>
      <c r="M23" s="140">
        <f t="shared" si="36"/>
        <v>13630000</v>
      </c>
      <c r="N23" s="140">
        <f t="shared" si="36"/>
        <v>0</v>
      </c>
      <c r="O23" s="140">
        <f t="shared" si="36"/>
        <v>0</v>
      </c>
      <c r="P23" s="140">
        <f t="shared" si="36"/>
        <v>0</v>
      </c>
      <c r="Q23" s="140">
        <f t="shared" si="36"/>
        <v>13630000</v>
      </c>
      <c r="R23" s="140">
        <f t="shared" si="36"/>
        <v>0</v>
      </c>
      <c r="S23" s="140">
        <f t="shared" si="36"/>
        <v>13630000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08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7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D23 N5:P6 L5 L26 J6:K7 L7 A29:T62 U35:U62 N22:S22 V29:IK62 W10:W13 J22:L22 A63:IK65330 AF15:IK15 V14:IK14 D14 Q10:S13 A10:B14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3:D23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22" sqref="F22:AI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185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41153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57" t="s">
        <v>29</v>
      </c>
      <c r="E5" s="263" t="s">
        <v>30</v>
      </c>
      <c r="F5" s="118">
        <f>+E4</f>
        <v>41153</v>
      </c>
      <c r="G5" s="118">
        <f t="shared" ref="G5:AJ5" si="0">F5+1</f>
        <v>41154</v>
      </c>
      <c r="H5" s="118">
        <f t="shared" si="0"/>
        <v>41155</v>
      </c>
      <c r="I5" s="118">
        <f t="shared" si="0"/>
        <v>41156</v>
      </c>
      <c r="J5" s="118">
        <f t="shared" si="0"/>
        <v>41157</v>
      </c>
      <c r="K5" s="118">
        <f t="shared" si="0"/>
        <v>41158</v>
      </c>
      <c r="L5" s="118">
        <f t="shared" si="0"/>
        <v>41159</v>
      </c>
      <c r="M5" s="118">
        <f t="shared" si="0"/>
        <v>41160</v>
      </c>
      <c r="N5" s="118">
        <f t="shared" si="0"/>
        <v>41161</v>
      </c>
      <c r="O5" s="118">
        <f t="shared" si="0"/>
        <v>41162</v>
      </c>
      <c r="P5" s="118">
        <f t="shared" si="0"/>
        <v>41163</v>
      </c>
      <c r="Q5" s="118">
        <f t="shared" si="0"/>
        <v>41164</v>
      </c>
      <c r="R5" s="118">
        <f t="shared" si="0"/>
        <v>41165</v>
      </c>
      <c r="S5" s="118">
        <f t="shared" si="0"/>
        <v>41166</v>
      </c>
      <c r="T5" s="118">
        <f t="shared" si="0"/>
        <v>41167</v>
      </c>
      <c r="U5" s="118">
        <f t="shared" si="0"/>
        <v>41168</v>
      </c>
      <c r="V5" s="118">
        <f t="shared" si="0"/>
        <v>41169</v>
      </c>
      <c r="W5" s="118">
        <f t="shared" si="0"/>
        <v>41170</v>
      </c>
      <c r="X5" s="118">
        <f t="shared" si="0"/>
        <v>41171</v>
      </c>
      <c r="Y5" s="118">
        <f t="shared" si="0"/>
        <v>41172</v>
      </c>
      <c r="Z5" s="118">
        <f t="shared" si="0"/>
        <v>41173</v>
      </c>
      <c r="AA5" s="118">
        <f t="shared" si="0"/>
        <v>41174</v>
      </c>
      <c r="AB5" s="118">
        <f t="shared" si="0"/>
        <v>41175</v>
      </c>
      <c r="AC5" s="118">
        <f t="shared" si="0"/>
        <v>41176</v>
      </c>
      <c r="AD5" s="118">
        <f t="shared" si="0"/>
        <v>41177</v>
      </c>
      <c r="AE5" s="118">
        <f t="shared" si="0"/>
        <v>41178</v>
      </c>
      <c r="AF5" s="118">
        <f t="shared" si="0"/>
        <v>41179</v>
      </c>
      <c r="AG5" s="118">
        <f t="shared" si="0"/>
        <v>41180</v>
      </c>
      <c r="AH5" s="118">
        <f>AG5+1</f>
        <v>41181</v>
      </c>
      <c r="AI5" s="118">
        <f t="shared" si="0"/>
        <v>41182</v>
      </c>
      <c r="AJ5" s="118">
        <f t="shared" si="0"/>
        <v>41183</v>
      </c>
      <c r="AK5" s="264" t="s">
        <v>15</v>
      </c>
      <c r="AL5" s="265"/>
      <c r="AM5" s="266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7" t="s">
        <v>0</v>
      </c>
      <c r="AT5" s="25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8"/>
      <c r="B6" s="258"/>
      <c r="C6" s="258"/>
      <c r="D6" s="258"/>
      <c r="E6" s="258"/>
      <c r="F6" s="174" t="str">
        <f>CHOOSE(WEEKDAY(F5),"C.Nhật","T.Hai","T.Ba","T.Tư","T.Năm","T.Sáu","T.Bảy")</f>
        <v>T.Bảy</v>
      </c>
      <c r="G6" s="174" t="str">
        <f t="shared" ref="G6:AJ6" si="1">CHOOSE(WEEKDAY(G5),"C.Nhật","T.Hai","T.Ba","T.Tư","T.Năm","T.Sáu","T.Bảy")</f>
        <v>C.Nhật</v>
      </c>
      <c r="H6" s="174" t="str">
        <f t="shared" si="1"/>
        <v>T.Hai</v>
      </c>
      <c r="I6" s="174" t="str">
        <f t="shared" si="1"/>
        <v>T.Ba</v>
      </c>
      <c r="J6" s="174" t="str">
        <f t="shared" si="1"/>
        <v>T.Tư</v>
      </c>
      <c r="K6" s="174" t="str">
        <f t="shared" si="1"/>
        <v>T.Năm</v>
      </c>
      <c r="L6" s="174" t="str">
        <f t="shared" si="1"/>
        <v>T.Sáu</v>
      </c>
      <c r="M6" s="174" t="str">
        <f t="shared" si="1"/>
        <v>T.Bảy</v>
      </c>
      <c r="N6" s="174" t="str">
        <f t="shared" si="1"/>
        <v>C.Nhật</v>
      </c>
      <c r="O6" s="174" t="str">
        <f t="shared" si="1"/>
        <v>T.Hai</v>
      </c>
      <c r="P6" s="174" t="str">
        <f t="shared" si="1"/>
        <v>T.Ba</v>
      </c>
      <c r="Q6" s="174" t="str">
        <f t="shared" si="1"/>
        <v>T.Tư</v>
      </c>
      <c r="R6" s="174" t="str">
        <f t="shared" si="1"/>
        <v>T.Năm</v>
      </c>
      <c r="S6" s="174" t="str">
        <f t="shared" si="1"/>
        <v>T.Sáu</v>
      </c>
      <c r="T6" s="174" t="str">
        <f t="shared" si="1"/>
        <v>T.Bảy</v>
      </c>
      <c r="U6" s="174" t="str">
        <f t="shared" si="1"/>
        <v>C.Nhật</v>
      </c>
      <c r="V6" s="174" t="str">
        <f t="shared" si="1"/>
        <v>T.Hai</v>
      </c>
      <c r="W6" s="174" t="str">
        <f t="shared" si="1"/>
        <v>T.Ba</v>
      </c>
      <c r="X6" s="174" t="str">
        <f t="shared" si="1"/>
        <v>T.Tư</v>
      </c>
      <c r="Y6" s="174" t="str">
        <f t="shared" si="1"/>
        <v>T.Năm</v>
      </c>
      <c r="Z6" s="174" t="str">
        <f t="shared" si="1"/>
        <v>T.Sáu</v>
      </c>
      <c r="AA6" s="174" t="str">
        <f t="shared" si="1"/>
        <v>T.Bảy</v>
      </c>
      <c r="AB6" s="174" t="str">
        <f t="shared" si="1"/>
        <v>C.Nhật</v>
      </c>
      <c r="AC6" s="174" t="str">
        <f t="shared" si="1"/>
        <v>T.Hai</v>
      </c>
      <c r="AD6" s="174" t="str">
        <f t="shared" si="1"/>
        <v>T.Ba</v>
      </c>
      <c r="AE6" s="174" t="str">
        <f t="shared" si="1"/>
        <v>T.Tư</v>
      </c>
      <c r="AF6" s="174" t="str">
        <f t="shared" si="1"/>
        <v>T.Năm</v>
      </c>
      <c r="AG6" s="174" t="str">
        <f t="shared" si="1"/>
        <v>T.Sáu</v>
      </c>
      <c r="AH6" s="174" t="str">
        <f t="shared" si="1"/>
        <v>T.Bảy</v>
      </c>
      <c r="AI6" s="174" t="str">
        <f t="shared" si="1"/>
        <v>C.Nhật</v>
      </c>
      <c r="AJ6" s="174" t="str">
        <f t="shared" si="1"/>
        <v>T.Hai</v>
      </c>
      <c r="AK6" s="175" t="s">
        <v>16</v>
      </c>
      <c r="AL6" s="175" t="s">
        <v>31</v>
      </c>
      <c r="AM6" s="176" t="s">
        <v>17</v>
      </c>
      <c r="AN6" s="256"/>
      <c r="AO6" s="256"/>
      <c r="AP6" s="256"/>
      <c r="AQ6" s="256"/>
      <c r="AR6" s="256"/>
      <c r="AS6" s="258"/>
      <c r="AT6" s="25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186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7">
        <v>1</v>
      </c>
      <c r="B9" s="247" t="s">
        <v>161</v>
      </c>
      <c r="C9" s="249" t="str">
        <f>VLOOKUP(B9,DS,2,0)</f>
        <v>Lê Thị Dung</v>
      </c>
      <c r="D9" s="251" t="str">
        <f>VLOOKUP(B9,DS,3,0)</f>
        <v>Giám Đốc</v>
      </c>
      <c r="E9" s="68" t="s">
        <v>32</v>
      </c>
      <c r="F9" s="143">
        <v>8</v>
      </c>
      <c r="G9" s="143"/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/>
      <c r="AK9" s="253">
        <f>((SUM(F9:AJ9))/8)-(SUMIF($F$6:$AJ$6,"C.Nhật",F9:AJ9)/8)</f>
        <v>24</v>
      </c>
      <c r="AL9" s="253">
        <f>SUM(F10:AJ10)/8*1.5</f>
        <v>0</v>
      </c>
      <c r="AM9" s="241">
        <f>SUMIF($F$6:$AJ$6,"C.Nhật",$F9:$AJ10)/8*2</f>
        <v>0</v>
      </c>
      <c r="AN9" s="243">
        <f>SUM(AK9:AM10)</f>
        <v>24</v>
      </c>
      <c r="AO9" s="245">
        <v>0</v>
      </c>
      <c r="AP9" s="243"/>
      <c r="AQ9" s="243"/>
      <c r="AR9" s="243"/>
      <c r="AS9" s="239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4"/>
      <c r="AL10" s="254"/>
      <c r="AM10" s="242"/>
      <c r="AN10" s="244"/>
      <c r="AO10" s="246"/>
      <c r="AP10" s="244"/>
      <c r="AQ10" s="244"/>
      <c r="AR10" s="244"/>
      <c r="AS10" s="240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f>A7+1</f>
        <v>2</v>
      </c>
      <c r="B11" s="247" t="s">
        <v>162</v>
      </c>
      <c r="C11" s="249" t="str">
        <f>VLOOKUP(B11,DS,2,0)</f>
        <v>Phan Văn Hiền</v>
      </c>
      <c r="D11" s="251" t="str">
        <f>VLOOKUP(B11,DS,3,0)</f>
        <v>Quản Đốc</v>
      </c>
      <c r="E11" s="68" t="s">
        <v>32</v>
      </c>
      <c r="F11" s="143">
        <v>8</v>
      </c>
      <c r="G11" s="143"/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/>
      <c r="AK11" s="253">
        <f t="shared" ref="AK11" si="2">((SUM(F11:AJ11))/8)-(SUMIF($F$6:$AJ$6,"C.Nhật",F11:AJ11)/8)</f>
        <v>24</v>
      </c>
      <c r="AL11" s="253">
        <f t="shared" ref="AL11" si="3">SUM(F12:AJ12)/8*1.5</f>
        <v>0</v>
      </c>
      <c r="AM11" s="241">
        <f t="shared" ref="AM11:AM13" si="4">SUMIF($F$6:$AJ$6,"C.Nhật",$F11:$AJ12)/8*2</f>
        <v>0</v>
      </c>
      <c r="AN11" s="243">
        <f t="shared" ref="AN11" si="5">SUM(AK11:AM12)</f>
        <v>24</v>
      </c>
      <c r="AO11" s="245">
        <v>0</v>
      </c>
      <c r="AP11" s="243"/>
      <c r="AQ11" s="243"/>
      <c r="AR11" s="243"/>
      <c r="AS11" s="239"/>
      <c r="AT11" s="20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4"/>
      <c r="AL12" s="254"/>
      <c r="AM12" s="242"/>
      <c r="AN12" s="244"/>
      <c r="AO12" s="246"/>
      <c r="AP12" s="244"/>
      <c r="AQ12" s="244"/>
      <c r="AR12" s="244"/>
      <c r="AS12" s="240"/>
      <c r="AT12" s="20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7">
        <f>A9+1</f>
        <v>2</v>
      </c>
      <c r="B13" s="247" t="s">
        <v>183</v>
      </c>
      <c r="C13" s="249" t="str">
        <f>VLOOKUP(B13,DS,2,0)</f>
        <v>Nguyễn Thị Thu Sương</v>
      </c>
      <c r="D13" s="251" t="str">
        <f>VLOOKUP(B13,DS,3,0)</f>
        <v>Kinh Doanh</v>
      </c>
      <c r="E13" s="68" t="s">
        <v>32</v>
      </c>
      <c r="F13" s="143">
        <v>8</v>
      </c>
      <c r="G13" s="143"/>
      <c r="H13" s="143"/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/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/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/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/>
      <c r="AJ13" s="143"/>
      <c r="AK13" s="253">
        <f t="shared" ref="AK13" si="6">((SUM(F13:AJ13))/8)-(SUMIF($F$6:$AJ$6,"C.Nhật",F13:AJ13)/8)</f>
        <v>24</v>
      </c>
      <c r="AL13" s="253">
        <f t="shared" ref="AL13" si="7">SUM(F14:AJ14)/8*1.5</f>
        <v>0</v>
      </c>
      <c r="AM13" s="241">
        <f t="shared" si="4"/>
        <v>0</v>
      </c>
      <c r="AN13" s="243">
        <f t="shared" ref="AN13" si="8">SUM(AK13:AM14)</f>
        <v>24</v>
      </c>
      <c r="AO13" s="245">
        <v>0</v>
      </c>
      <c r="AP13" s="243"/>
      <c r="AQ13" s="243"/>
      <c r="AR13" s="243"/>
      <c r="AS13" s="239"/>
      <c r="AT13" s="20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8"/>
      <c r="B14" s="248"/>
      <c r="C14" s="250"/>
      <c r="D14" s="252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54"/>
      <c r="AL14" s="254"/>
      <c r="AM14" s="242"/>
      <c r="AN14" s="244"/>
      <c r="AO14" s="246"/>
      <c r="AP14" s="244"/>
      <c r="AQ14" s="244"/>
      <c r="AR14" s="244"/>
      <c r="AS14" s="240"/>
      <c r="AT14" s="20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0" customFormat="1" ht="21" customHeight="1">
      <c r="A15" s="178" t="s">
        <v>156</v>
      </c>
      <c r="B15" s="181" t="s">
        <v>160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3"/>
      <c r="AT15" s="179"/>
    </row>
    <row r="16" spans="1:91" s="67" customFormat="1" ht="18" customHeight="1">
      <c r="A16" s="247">
        <v>1</v>
      </c>
      <c r="B16" s="247" t="s">
        <v>163</v>
      </c>
      <c r="C16" s="249" t="str">
        <f>VLOOKUP(B16,DS,2,0)</f>
        <v>Nguyễn Trường Giang</v>
      </c>
      <c r="D16" s="251" t="str">
        <f>VLOOKUP(B16,DS,3,0)</f>
        <v>Thợ in</v>
      </c>
      <c r="E16" s="68" t="s">
        <v>32</v>
      </c>
      <c r="F16" s="143">
        <v>8</v>
      </c>
      <c r="G16" s="143"/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/>
      <c r="AK16" s="253">
        <f t="shared" ref="AK16" si="9">((SUM(F16:AJ16))/8)-(SUMIF($F$6:$AJ$6,"C.Nhật",F16:AJ16)/8)</f>
        <v>24</v>
      </c>
      <c r="AL16" s="253">
        <f t="shared" ref="AL16" si="10">SUM(F17:AJ17)/8*1.5</f>
        <v>0</v>
      </c>
      <c r="AM16" s="241">
        <f>SUMIF($F$6:$AJ$6,"C.Nhật",$F16:$AJ17)/8*2</f>
        <v>0</v>
      </c>
      <c r="AN16" s="243">
        <f>SUM(AK16:AM17)</f>
        <v>24</v>
      </c>
      <c r="AO16" s="245">
        <v>0</v>
      </c>
      <c r="AP16" s="243"/>
      <c r="AQ16" s="243"/>
      <c r="AR16" s="243"/>
      <c r="AS16" s="239"/>
      <c r="AT16" s="22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4"/>
      <c r="AL17" s="254"/>
      <c r="AM17" s="242"/>
      <c r="AN17" s="244"/>
      <c r="AO17" s="246"/>
      <c r="AP17" s="244"/>
      <c r="AQ17" s="244"/>
      <c r="AR17" s="244"/>
      <c r="AS17" s="240"/>
      <c r="AT17" s="22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7">
        <v>2</v>
      </c>
      <c r="B18" s="247" t="s">
        <v>164</v>
      </c>
      <c r="C18" s="249" t="str">
        <f>VLOOKUP(B18,DS,2,0)</f>
        <v>Đoàn Hồng Phong</v>
      </c>
      <c r="D18" s="251" t="str">
        <f>VLOOKUP(B18,DS,3,0)</f>
        <v>Thợ đóng - xả</v>
      </c>
      <c r="E18" s="68" t="s">
        <v>32</v>
      </c>
      <c r="F18" s="143">
        <v>8</v>
      </c>
      <c r="G18" s="143"/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/>
      <c r="AK18" s="253">
        <f t="shared" ref="AK18" si="11">((SUM(F18:AJ18))/8)-(SUMIF($F$6:$AJ$6,"C.Nhật",F18:AJ18)/8)</f>
        <v>24</v>
      </c>
      <c r="AL18" s="253">
        <f t="shared" ref="AL18" si="12">SUM(F19:AJ19)/8*1.5</f>
        <v>0</v>
      </c>
      <c r="AM18" s="241">
        <f>SUMIF($F$6:$AJ$6,"C.Nhật",$F18:$AJ19)/8*2</f>
        <v>0</v>
      </c>
      <c r="AN18" s="243">
        <f t="shared" ref="AN18" si="13">SUM(AK18:AM19)</f>
        <v>24</v>
      </c>
      <c r="AO18" s="245">
        <v>0</v>
      </c>
      <c r="AP18" s="243"/>
      <c r="AQ18" s="243"/>
      <c r="AR18" s="243"/>
      <c r="AS18" s="239"/>
      <c r="AT18" s="22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4"/>
      <c r="AL19" s="254"/>
      <c r="AM19" s="242"/>
      <c r="AN19" s="244"/>
      <c r="AO19" s="246"/>
      <c r="AP19" s="244"/>
      <c r="AQ19" s="244"/>
      <c r="AR19" s="244"/>
      <c r="AS19" s="240"/>
      <c r="AT19" s="22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7">
        <v>3</v>
      </c>
      <c r="B20" s="247" t="s">
        <v>165</v>
      </c>
      <c r="C20" s="249" t="str">
        <f>VLOOKUP(B20,DS,2,0)</f>
        <v>Trần Hữu Tình</v>
      </c>
      <c r="D20" s="251" t="str">
        <f>VLOOKUP(B20,DS,3,0)</f>
        <v>Công nhân</v>
      </c>
      <c r="E20" s="68" t="s">
        <v>32</v>
      </c>
      <c r="F20" s="143">
        <v>8</v>
      </c>
      <c r="G20" s="143"/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/>
      <c r="AK20" s="253">
        <f t="shared" ref="AK20" si="14">((SUM(F20:AJ20))/8)-(SUMIF($F$6:$AJ$6,"C.Nhật",F20:AJ20)/8)</f>
        <v>24</v>
      </c>
      <c r="AL20" s="253">
        <f t="shared" ref="AL20" si="15">SUM(F21:AJ21)/8*1.5</f>
        <v>0</v>
      </c>
      <c r="AM20" s="241">
        <f>SUMIF($F$6:$AJ$6,"C.Nhật",$F20:$AJ21)/8*2</f>
        <v>0</v>
      </c>
      <c r="AN20" s="243">
        <f t="shared" ref="AN20" si="16">SUM(AK20:AM21)</f>
        <v>24</v>
      </c>
      <c r="AO20" s="245">
        <v>0</v>
      </c>
      <c r="AP20" s="243"/>
      <c r="AQ20" s="243"/>
      <c r="AR20" s="243"/>
      <c r="AS20" s="239"/>
      <c r="AT20" s="22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8"/>
      <c r="B21" s="248"/>
      <c r="C21" s="250"/>
      <c r="D21" s="252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4"/>
      <c r="AL21" s="254"/>
      <c r="AM21" s="242"/>
      <c r="AN21" s="244"/>
      <c r="AO21" s="246"/>
      <c r="AP21" s="244"/>
      <c r="AQ21" s="244"/>
      <c r="AR21" s="244"/>
      <c r="AS21" s="240"/>
      <c r="AT21" s="22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7">
        <v>4</v>
      </c>
      <c r="B22" s="247" t="s">
        <v>166</v>
      </c>
      <c r="C22" s="249" t="str">
        <f>VLOOKUP(B22,DS,2,0)</f>
        <v>Trương Văn Thành</v>
      </c>
      <c r="D22" s="251" t="str">
        <f>VLOOKUP(B22,DS,3,0)</f>
        <v>Công nhân</v>
      </c>
      <c r="E22" s="68" t="s">
        <v>32</v>
      </c>
      <c r="F22" s="143">
        <v>8</v>
      </c>
      <c r="G22" s="143"/>
      <c r="H22" s="143"/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/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/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/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/>
      <c r="AJ22" s="143"/>
      <c r="AK22" s="253">
        <f t="shared" ref="AK22" si="17">((SUM(F22:AJ22))/8)-(SUMIF($F$6:$AJ$6,"C.Nhật",F22:AJ22)/8)</f>
        <v>24</v>
      </c>
      <c r="AL22" s="253">
        <f t="shared" ref="AL22" si="18">SUM(F23:AJ23)/8*1.5</f>
        <v>0</v>
      </c>
      <c r="AM22" s="241">
        <f>SUMIF($F$6:$AJ$6,"C.Nhật",$F22:$AJ23)/8*2</f>
        <v>0</v>
      </c>
      <c r="AN22" s="243">
        <f>SUM(AK22:AM23)</f>
        <v>24</v>
      </c>
      <c r="AO22" s="245">
        <v>0</v>
      </c>
      <c r="AP22" s="243"/>
      <c r="AQ22" s="243"/>
      <c r="AR22" s="243"/>
      <c r="AS22" s="239"/>
      <c r="AT22" s="200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8"/>
      <c r="B23" s="248"/>
      <c r="C23" s="250"/>
      <c r="D23" s="252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4"/>
      <c r="AL23" s="254"/>
      <c r="AM23" s="242"/>
      <c r="AN23" s="244"/>
      <c r="AO23" s="246"/>
      <c r="AP23" s="244"/>
      <c r="AQ23" s="244"/>
      <c r="AR23" s="244"/>
      <c r="AS23" s="240"/>
      <c r="AT23" s="200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47">
        <v>5</v>
      </c>
      <c r="B24" s="247" t="s">
        <v>167</v>
      </c>
      <c r="C24" s="249" t="str">
        <f>VLOOKUP(B24,DS,2,0)</f>
        <v>Trần Thị Ngọc Anh</v>
      </c>
      <c r="D24" s="251" t="str">
        <f>VLOOKUP(B24,DS,3,0)</f>
        <v>Công nhân</v>
      </c>
      <c r="E24" s="68" t="s">
        <v>32</v>
      </c>
      <c r="F24" s="143">
        <v>8</v>
      </c>
      <c r="G24" s="143"/>
      <c r="H24" s="143"/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/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/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/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/>
      <c r="AJ24" s="143"/>
      <c r="AK24" s="253">
        <f t="shared" ref="AK24" si="19">((SUM(F24:AJ24))/8)-(SUMIF($F$6:$AJ$6,"C.Nhật",F24:AJ24)/8)</f>
        <v>24</v>
      </c>
      <c r="AL24" s="253">
        <f t="shared" ref="AL24" si="20">SUM(F25:AJ25)/8*1.5</f>
        <v>0</v>
      </c>
      <c r="AM24" s="241">
        <f>SUMIF($F$6:$AJ$6,"C.Nhật",$F24:$AJ25)/8*2</f>
        <v>0</v>
      </c>
      <c r="AN24" s="243">
        <f t="shared" ref="AN24" si="21">SUM(AK24:AM25)</f>
        <v>24</v>
      </c>
      <c r="AO24" s="245">
        <v>0</v>
      </c>
      <c r="AP24" s="243"/>
      <c r="AQ24" s="243"/>
      <c r="AR24" s="243"/>
      <c r="AS24" s="239"/>
      <c r="AT24" s="200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48"/>
      <c r="B25" s="248"/>
      <c r="C25" s="250"/>
      <c r="D25" s="252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54"/>
      <c r="AL25" s="254"/>
      <c r="AM25" s="242"/>
      <c r="AN25" s="244"/>
      <c r="AO25" s="246"/>
      <c r="AP25" s="244"/>
      <c r="AQ25" s="244"/>
      <c r="AR25" s="244"/>
      <c r="AS25" s="240"/>
      <c r="AT25" s="200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47">
        <v>6</v>
      </c>
      <c r="B26" s="247" t="s">
        <v>168</v>
      </c>
      <c r="C26" s="249" t="str">
        <f>VLOOKUP(B26,DS,2,0)</f>
        <v>Nguyễn Minh Vương</v>
      </c>
      <c r="D26" s="251" t="str">
        <f>VLOOKUP(B26,DS,3,0)</f>
        <v>Công nhân</v>
      </c>
      <c r="E26" s="68" t="s">
        <v>32</v>
      </c>
      <c r="F26" s="143">
        <v>8</v>
      </c>
      <c r="G26" s="143"/>
      <c r="H26" s="143"/>
      <c r="I26" s="143">
        <v>8</v>
      </c>
      <c r="J26" s="143">
        <v>8</v>
      </c>
      <c r="K26" s="143">
        <v>8</v>
      </c>
      <c r="L26" s="143">
        <v>8</v>
      </c>
      <c r="M26" s="143">
        <v>8</v>
      </c>
      <c r="N26" s="143"/>
      <c r="O26" s="143">
        <v>8</v>
      </c>
      <c r="P26" s="143">
        <v>8</v>
      </c>
      <c r="Q26" s="143">
        <v>8</v>
      </c>
      <c r="R26" s="143">
        <v>8</v>
      </c>
      <c r="S26" s="143">
        <v>8</v>
      </c>
      <c r="T26" s="143">
        <v>8</v>
      </c>
      <c r="U26" s="143"/>
      <c r="V26" s="143">
        <v>8</v>
      </c>
      <c r="W26" s="143">
        <v>8</v>
      </c>
      <c r="X26" s="143">
        <v>8</v>
      </c>
      <c r="Y26" s="143">
        <v>8</v>
      </c>
      <c r="Z26" s="143">
        <v>8</v>
      </c>
      <c r="AA26" s="143">
        <v>8</v>
      </c>
      <c r="AB26" s="143"/>
      <c r="AC26" s="143">
        <v>8</v>
      </c>
      <c r="AD26" s="143">
        <v>8</v>
      </c>
      <c r="AE26" s="143">
        <v>8</v>
      </c>
      <c r="AF26" s="143">
        <v>8</v>
      </c>
      <c r="AG26" s="143">
        <v>8</v>
      </c>
      <c r="AH26" s="143">
        <v>8</v>
      </c>
      <c r="AI26" s="143"/>
      <c r="AJ26" s="143"/>
      <c r="AK26" s="253">
        <f t="shared" ref="AK26" si="22">((SUM(F26:AJ26))/8)-(SUMIF($F$6:$AJ$6,"C.Nhật",F26:AJ26)/8)</f>
        <v>24</v>
      </c>
      <c r="AL26" s="253">
        <f t="shared" ref="AL26" si="23">SUM(F27:AJ27)/8*1.5</f>
        <v>0</v>
      </c>
      <c r="AM26" s="241">
        <f>SUMIF($F$6:$AJ$6,"C.Nhật",$F26:$AJ27)/8*2</f>
        <v>0</v>
      </c>
      <c r="AN26" s="243">
        <f t="shared" ref="AN26" si="24">SUM(AK26:AM27)</f>
        <v>24</v>
      </c>
      <c r="AO26" s="245">
        <v>0</v>
      </c>
      <c r="AP26" s="243"/>
      <c r="AQ26" s="243"/>
      <c r="AR26" s="243"/>
      <c r="AS26" s="239"/>
      <c r="AT26" s="200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48"/>
      <c r="B27" s="248"/>
      <c r="C27" s="250"/>
      <c r="D27" s="252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54"/>
      <c r="AL27" s="254"/>
      <c r="AM27" s="242"/>
      <c r="AN27" s="244"/>
      <c r="AO27" s="246"/>
      <c r="AP27" s="244"/>
      <c r="AQ27" s="244"/>
      <c r="AR27" s="244"/>
      <c r="AS27" s="240"/>
      <c r="AT27" s="200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46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46" s="73" customFormat="1" ht="12.75">
      <c r="A35" s="2"/>
      <c r="B35" s="2" t="s">
        <v>0</v>
      </c>
      <c r="C35" s="2"/>
      <c r="D35" s="198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46" s="73" customFormat="1" ht="12.75">
      <c r="A36" s="2"/>
      <c r="B36" s="2"/>
      <c r="C36" s="2" t="s">
        <v>46</v>
      </c>
      <c r="D36" s="198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46" ht="15" customHeight="1">
      <c r="C37" s="2" t="s">
        <v>47</v>
      </c>
    </row>
    <row r="38" spans="1:46" ht="15" customHeight="1">
      <c r="C38" s="2" t="s">
        <v>48</v>
      </c>
    </row>
    <row r="39" spans="1:46" ht="15" customHeight="1">
      <c r="C39" s="2" t="s">
        <v>49</v>
      </c>
    </row>
    <row r="40" spans="1:46" ht="15" customHeight="1">
      <c r="C40" s="2" t="s">
        <v>50</v>
      </c>
    </row>
    <row r="41" spans="1:46" ht="15" customHeight="1">
      <c r="C41" s="2" t="s">
        <v>51</v>
      </c>
    </row>
    <row r="42" spans="1:46" ht="15" customHeight="1">
      <c r="C42" s="2" t="s">
        <v>52</v>
      </c>
    </row>
    <row r="43" spans="1:46" ht="15" customHeight="1">
      <c r="C43" s="2" t="s">
        <v>53</v>
      </c>
    </row>
    <row r="44" spans="1:46" ht="15" customHeight="1">
      <c r="C44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13:AM14"/>
    <mergeCell ref="AN13:AN14"/>
    <mergeCell ref="AO13:AO14"/>
    <mergeCell ref="A22:A23"/>
    <mergeCell ref="B22:B23"/>
    <mergeCell ref="C22:C23"/>
    <mergeCell ref="D22:D23"/>
    <mergeCell ref="AK22:AK23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D18:D19"/>
    <mergeCell ref="AK18:AK19"/>
    <mergeCell ref="AO16:AO17"/>
    <mergeCell ref="AP16:AP17"/>
    <mergeCell ref="AQ16:AQ17"/>
    <mergeCell ref="AR16:AR17"/>
    <mergeCell ref="AS16:AS17"/>
    <mergeCell ref="AP26:AP27"/>
    <mergeCell ref="AQ26:AQ27"/>
    <mergeCell ref="AR26:AR27"/>
    <mergeCell ref="AS26:AS27"/>
    <mergeCell ref="AS24:AS25"/>
    <mergeCell ref="AP24:AP25"/>
    <mergeCell ref="AQ24:AQ25"/>
    <mergeCell ref="AR24:AR25"/>
    <mergeCell ref="AM24:AM25"/>
    <mergeCell ref="AN24:AN25"/>
    <mergeCell ref="AO24:AO25"/>
    <mergeCell ref="AP22:AP23"/>
    <mergeCell ref="AQ22:AQ23"/>
    <mergeCell ref="AR22:AR23"/>
    <mergeCell ref="AS22:AS23"/>
    <mergeCell ref="AO22:AO23"/>
    <mergeCell ref="AQ18:AQ19"/>
    <mergeCell ref="AR18:AR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L18:AL19"/>
    <mergeCell ref="AM18:AM19"/>
    <mergeCell ref="AN18:AN19"/>
    <mergeCell ref="AO18:AO19"/>
    <mergeCell ref="AP18:AP19"/>
    <mergeCell ref="A18:A19"/>
    <mergeCell ref="B18:B19"/>
    <mergeCell ref="C18:C19"/>
  </mergeCells>
  <conditionalFormatting sqref="F5:AJ6 AJ22:AJ27 AJ13:AJ14 F9:AJ10 F11:AI14">
    <cfRule type="expression" dxfId="69" priority="27" stopIfTrue="1">
      <formula>IF(WEEKDAY(F$5)=1,TRUE,FALSE)</formula>
    </cfRule>
  </conditionalFormatting>
  <conditionalFormatting sqref="AJ13:AJ14 F9:AJ10 F11:AI14">
    <cfRule type="expression" dxfId="68" priority="26" stopIfTrue="1">
      <formula>IF(WEEKDAY(F$5)=1,TRUE,FALSE)</formula>
    </cfRule>
  </conditionalFormatting>
  <conditionalFormatting sqref="AJ22:AJ27">
    <cfRule type="expression" dxfId="67" priority="25" stopIfTrue="1">
      <formula>IF(WEEKDAY(AJ$5)=1,TRUE,FALSE)</formula>
    </cfRule>
  </conditionalFormatting>
  <conditionalFormatting sqref="AJ22:AJ27">
    <cfRule type="expression" dxfId="66" priority="24" stopIfTrue="1">
      <formula>IF(WEEKDAY(AJ$5)=1,TRUE,FALSE)</formula>
    </cfRule>
  </conditionalFormatting>
  <conditionalFormatting sqref="AJ22:AJ27">
    <cfRule type="expression" dxfId="65" priority="22" stopIfTrue="1">
      <formula>IF(WEEKDAY(AJ$5)=1,TRUE,FALSE)</formula>
    </cfRule>
  </conditionalFormatting>
  <conditionalFormatting sqref="AJ22:AJ27">
    <cfRule type="expression" dxfId="64" priority="20" stopIfTrue="1">
      <formula>IF(WEEKDAY(AJ$5)=1,TRUE,FALSE)</formula>
    </cfRule>
  </conditionalFormatting>
  <conditionalFormatting sqref="AJ22:AJ27">
    <cfRule type="expression" dxfId="63" priority="19" stopIfTrue="1">
      <formula>IF(WEEKDAY(AJ$5)=1,TRUE,FALSE)</formula>
    </cfRule>
  </conditionalFormatting>
  <conditionalFormatting sqref="AJ22:AJ27">
    <cfRule type="expression" dxfId="62" priority="18" stopIfTrue="1">
      <formula>IF(WEEKDAY(AJ$5)=1,TRUE,FALSE)</formula>
    </cfRule>
  </conditionalFormatting>
  <conditionalFormatting sqref="AJ11:AJ12">
    <cfRule type="expression" dxfId="61" priority="17" stopIfTrue="1">
      <formula>IF(WEEKDAY(AJ$5)=1,TRUE,FALSE)</formula>
    </cfRule>
  </conditionalFormatting>
  <conditionalFormatting sqref="AJ11:AJ12">
    <cfRule type="expression" dxfId="60" priority="16" stopIfTrue="1">
      <formula>IF(WEEKDAY(AJ$5)=1,TRUE,FALSE)</formula>
    </cfRule>
  </conditionalFormatting>
  <conditionalFormatting sqref="AJ16:AJ21">
    <cfRule type="expression" dxfId="59" priority="13" stopIfTrue="1">
      <formula>IF(WEEKDAY(AJ$5)=1,TRUE,FALSE)</formula>
    </cfRule>
  </conditionalFormatting>
  <conditionalFormatting sqref="AJ16:AJ21">
    <cfRule type="expression" dxfId="58" priority="12" stopIfTrue="1">
      <formula>IF(WEEKDAY(AJ$5)=1,TRUE,FALSE)</formula>
    </cfRule>
  </conditionalFormatting>
  <conditionalFormatting sqref="AJ16:AJ21">
    <cfRule type="expression" dxfId="57" priority="11" stopIfTrue="1">
      <formula>IF(WEEKDAY(AJ$5)=1,TRUE,FALSE)</formula>
    </cfRule>
  </conditionalFormatting>
  <conditionalFormatting sqref="AJ16:AJ21">
    <cfRule type="expression" dxfId="56" priority="10" stopIfTrue="1">
      <formula>IF(WEEKDAY(AJ$5)=1,TRUE,FALSE)</formula>
    </cfRule>
  </conditionalFormatting>
  <conditionalFormatting sqref="AJ16:AJ21">
    <cfRule type="expression" dxfId="55" priority="9" stopIfTrue="1">
      <formula>IF(WEEKDAY(AJ$5)=1,TRUE,FALSE)</formula>
    </cfRule>
  </conditionalFormatting>
  <conditionalFormatting sqref="AJ16:AJ21">
    <cfRule type="expression" dxfId="54" priority="8" stopIfTrue="1">
      <formula>IF(WEEKDAY(AJ$5)=1,TRUE,FALSE)</formula>
    </cfRule>
  </conditionalFormatting>
  <conditionalFormatting sqref="AJ16:AJ21">
    <cfRule type="expression" dxfId="53" priority="7" stopIfTrue="1">
      <formula>IF(WEEKDAY(AJ$5)=1,TRUE,FALSE)</formula>
    </cfRule>
  </conditionalFormatting>
  <conditionalFormatting sqref="F16:AI21">
    <cfRule type="expression" dxfId="52" priority="4" stopIfTrue="1">
      <formula>IF(WEEKDAY(F$5)=1,TRUE,FALSE)</formula>
    </cfRule>
  </conditionalFormatting>
  <conditionalFormatting sqref="F16:AI21">
    <cfRule type="expression" dxfId="51" priority="3" stopIfTrue="1">
      <formula>IF(WEEKDAY(F$5)=1,TRUE,FALSE)</formula>
    </cfRule>
  </conditionalFormatting>
  <conditionalFormatting sqref="F22:AI27">
    <cfRule type="expression" dxfId="50" priority="2" stopIfTrue="1">
      <formula>IF(WEEKDAY(F$5)=1,TRUE,FALSE)</formula>
    </cfRule>
  </conditionalFormatting>
  <conditionalFormatting sqref="F22:AI27">
    <cfRule type="expression" dxfId="4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2"/>
      <c r="C1" s="202"/>
      <c r="D1" s="277" t="str">
        <f>"BẢNG THANH TOÁN LƯƠNG THÁNG"&amp;" "&amp;TEXT($E$4,"mm")&amp;" / "&amp;TEXT($E$4,"yyyy")</f>
        <v>BẢNG THANH TOÁN LƯƠNG THÁNG 09 / 2012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9" t="s">
        <v>185</v>
      </c>
      <c r="S1" s="280"/>
      <c r="T1" s="28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2"/>
      <c r="C2" s="202"/>
      <c r="D2" s="202"/>
      <c r="E2" s="81"/>
      <c r="F2" s="202"/>
      <c r="G2" s="202"/>
      <c r="H2" s="202"/>
      <c r="I2" s="202"/>
      <c r="J2" s="82"/>
      <c r="K2" s="202"/>
      <c r="L2" s="202"/>
      <c r="M2" s="202"/>
      <c r="N2" s="202"/>
      <c r="O2" s="202"/>
      <c r="P2" s="202"/>
      <c r="Q2" s="202"/>
      <c r="R2" s="202"/>
      <c r="S2" s="202"/>
      <c r="T2" s="59"/>
      <c r="U2" s="80">
        <f>MAX(F10:F23)</f>
        <v>24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2"/>
      <c r="C3" s="202"/>
      <c r="D3" s="202"/>
      <c r="E3" s="81"/>
      <c r="F3" s="202"/>
      <c r="G3" s="202"/>
      <c r="H3" s="202"/>
      <c r="I3" s="202"/>
      <c r="J3" s="82"/>
      <c r="K3" s="202"/>
      <c r="L3" s="202"/>
      <c r="M3" s="202"/>
      <c r="N3" s="202"/>
      <c r="O3" s="202"/>
      <c r="P3" s="202"/>
      <c r="Q3" s="202"/>
      <c r="R3" s="202"/>
      <c r="S3" s="202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-9'!$E$4</f>
        <v>41153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2" t="s">
        <v>19</v>
      </c>
      <c r="B5" s="282" t="s">
        <v>20</v>
      </c>
      <c r="C5" s="232" t="s">
        <v>1</v>
      </c>
      <c r="D5" s="232" t="s">
        <v>2</v>
      </c>
      <c r="E5" s="227" t="s">
        <v>56</v>
      </c>
      <c r="F5" s="270" t="s">
        <v>26</v>
      </c>
      <c r="G5" s="272"/>
      <c r="H5" s="272"/>
      <c r="I5" s="272"/>
      <c r="J5" s="272"/>
      <c r="K5" s="271"/>
      <c r="L5" s="267" t="s">
        <v>57</v>
      </c>
      <c r="M5" s="267" t="s">
        <v>5</v>
      </c>
      <c r="N5" s="232" t="s">
        <v>6</v>
      </c>
      <c r="O5" s="232"/>
      <c r="P5" s="232"/>
      <c r="Q5" s="267" t="s">
        <v>7</v>
      </c>
      <c r="R5" s="267" t="s">
        <v>8</v>
      </c>
      <c r="S5" s="267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3"/>
      <c r="B6" s="283"/>
      <c r="C6" s="232"/>
      <c r="D6" s="232"/>
      <c r="E6" s="227"/>
      <c r="F6" s="270" t="s">
        <v>59</v>
      </c>
      <c r="G6" s="271"/>
      <c r="H6" s="270" t="s">
        <v>158</v>
      </c>
      <c r="I6" s="272"/>
      <c r="J6" s="273" t="s">
        <v>27</v>
      </c>
      <c r="K6" s="267" t="s">
        <v>4</v>
      </c>
      <c r="L6" s="268"/>
      <c r="M6" s="268"/>
      <c r="N6" s="275" t="s">
        <v>12</v>
      </c>
      <c r="O6" s="267" t="s">
        <v>13</v>
      </c>
      <c r="P6" s="267" t="s">
        <v>34</v>
      </c>
      <c r="Q6" s="268"/>
      <c r="R6" s="268"/>
      <c r="S6" s="268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3"/>
      <c r="B7" s="283"/>
      <c r="C7" s="267"/>
      <c r="D7" s="267"/>
      <c r="E7" s="227"/>
      <c r="F7" s="201" t="s">
        <v>40</v>
      </c>
      <c r="G7" s="199" t="s">
        <v>18</v>
      </c>
      <c r="H7" s="201" t="s">
        <v>40</v>
      </c>
      <c r="I7" s="128" t="s">
        <v>18</v>
      </c>
      <c r="J7" s="274"/>
      <c r="K7" s="268"/>
      <c r="L7" s="284"/>
      <c r="M7" s="284"/>
      <c r="N7" s="276"/>
      <c r="O7" s="268"/>
      <c r="P7" s="268"/>
      <c r="Q7" s="268"/>
      <c r="R7" s="268"/>
      <c r="S7" s="268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186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-9'!$B$8:$AS$27,36,0)</f>
        <v>24</v>
      </c>
      <c r="G10" s="145">
        <f t="shared" ref="G10:G12" si="3">ROUND(E10/$U$2*F10,0)</f>
        <v>3500000</v>
      </c>
      <c r="H10" s="92">
        <f>(VLOOKUP(B10,'CC -9'!$B$8:$AS$27,37,0)+VLOOKUP(B10,'CC -9'!$B$8:$AS$27,38,0))</f>
        <v>0</v>
      </c>
      <c r="I10" s="145">
        <f t="shared" ref="I10:I12" si="4">ROUND(E10/$U$2*H10,0)</f>
        <v>0</v>
      </c>
      <c r="J10" s="93">
        <f t="shared" ref="J10:K12" si="5">F10+H10</f>
        <v>24</v>
      </c>
      <c r="K10" s="39">
        <f>G10+I10</f>
        <v>3500000</v>
      </c>
      <c r="L10" s="90">
        <f t="shared" ref="L10:L12" si="6">+F10*15000</f>
        <v>360000</v>
      </c>
      <c r="M10" s="40">
        <f t="shared" ref="M10:M12" si="7">K10+L10</f>
        <v>3860000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3860000</v>
      </c>
      <c r="R10" s="39">
        <f>VLOOKUP(B10,DS,23,0)</f>
        <v>0</v>
      </c>
      <c r="S10" s="45">
        <f t="shared" ref="S10:S12" si="9">Q10-R10</f>
        <v>3860000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2500000</v>
      </c>
      <c r="F11" s="92">
        <f>VLOOKUP(B11,'CC -9'!$B$8:$AS$27,36,0)</f>
        <v>24</v>
      </c>
      <c r="G11" s="145">
        <f t="shared" si="3"/>
        <v>2500000</v>
      </c>
      <c r="H11" s="92">
        <f>(VLOOKUP(B11,'CC -9'!$B$8:$AS$27,37,0)+VLOOKUP(B11,'CC -9'!$B$8:$AS$27,38,0))</f>
        <v>0</v>
      </c>
      <c r="I11" s="145">
        <f t="shared" si="4"/>
        <v>0</v>
      </c>
      <c r="J11" s="93">
        <f t="shared" si="5"/>
        <v>24</v>
      </c>
      <c r="K11" s="39">
        <f t="shared" si="5"/>
        <v>2500000</v>
      </c>
      <c r="L11" s="90">
        <f t="shared" si="6"/>
        <v>360000</v>
      </c>
      <c r="M11" s="40">
        <f t="shared" si="7"/>
        <v>2860000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2860000</v>
      </c>
      <c r="R11" s="39">
        <f>VLOOKUP(B11,DS,23,0)</f>
        <v>0</v>
      </c>
      <c r="S11" s="45">
        <f t="shared" si="9"/>
        <v>2860000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2200000</v>
      </c>
      <c r="F12" s="92">
        <f>VLOOKUP(B12,'CC -9'!$B$8:$AS$27,36,0)</f>
        <v>24</v>
      </c>
      <c r="G12" s="145">
        <f t="shared" si="3"/>
        <v>2200000</v>
      </c>
      <c r="H12" s="92">
        <f>(VLOOKUP(B12,'CC -9'!$B$8:$AS$27,37,0)+VLOOKUP(B12,'CC -9'!$B$8:$AS$27,38,0))</f>
        <v>0</v>
      </c>
      <c r="I12" s="145">
        <f t="shared" si="4"/>
        <v>0</v>
      </c>
      <c r="J12" s="93">
        <f t="shared" si="5"/>
        <v>24</v>
      </c>
      <c r="K12" s="39">
        <f t="shared" si="5"/>
        <v>2200000</v>
      </c>
      <c r="L12" s="90">
        <f t="shared" si="6"/>
        <v>360000</v>
      </c>
      <c r="M12" s="40">
        <f t="shared" si="7"/>
        <v>2560000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2560000</v>
      </c>
      <c r="R12" s="39">
        <f>VLOOKUP(B12,DS,23,0)</f>
        <v>0</v>
      </c>
      <c r="S12" s="45">
        <f t="shared" si="9"/>
        <v>2560000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3"/>
      <c r="B13" s="204"/>
      <c r="C13" s="205"/>
      <c r="D13" s="206"/>
      <c r="E13" s="207"/>
      <c r="F13" s="208"/>
      <c r="G13" s="209"/>
      <c r="H13" s="208"/>
      <c r="I13" s="209"/>
      <c r="J13" s="210"/>
      <c r="K13" s="211"/>
      <c r="L13" s="207"/>
      <c r="M13" s="212"/>
      <c r="N13" s="212"/>
      <c r="O13" s="212"/>
      <c r="P13" s="212"/>
      <c r="Q13" s="211"/>
      <c r="R13" s="211"/>
      <c r="S13" s="213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9" t="s">
        <v>25</v>
      </c>
      <c r="B14" s="269"/>
      <c r="C14" s="269"/>
      <c r="D14" s="269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1080000</v>
      </c>
      <c r="M14" s="140">
        <f t="shared" si="10"/>
        <v>9280000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9280000</v>
      </c>
      <c r="R14" s="140">
        <f t="shared" si="10"/>
        <v>0</v>
      </c>
      <c r="S14" s="140">
        <f t="shared" si="10"/>
        <v>9280000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156</v>
      </c>
      <c r="B15" s="187" t="s">
        <v>157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11">VLOOKUP(B16,DS,2,0)</f>
        <v>Nguyễn Trường Giang</v>
      </c>
      <c r="D16" s="116" t="str">
        <f t="shared" ref="D16" si="12">VLOOKUP(B16,DS,3,0)</f>
        <v>Thợ in</v>
      </c>
      <c r="E16" s="90">
        <f t="shared" ref="E16" si="13">VLOOKUP(B16,DS,4,0)</f>
        <v>2000000</v>
      </c>
      <c r="F16" s="92">
        <f>VLOOKUP(B16,'CC -9'!$B$8:$AS$27,36,0)</f>
        <v>24</v>
      </c>
      <c r="G16" s="145">
        <f t="shared" ref="G16" si="14">ROUND(E16/$U$2*F16,0)</f>
        <v>2000000</v>
      </c>
      <c r="H16" s="92">
        <f>(VLOOKUP(B16,'CC -9'!$B$8:$AS$27,37,0)+VLOOKUP(B16,'CC -9'!$B$8:$AS$27,38,0))</f>
        <v>0</v>
      </c>
      <c r="I16" s="145">
        <f t="shared" ref="I16" si="15">ROUND(E16/$U$2*H16,0)</f>
        <v>0</v>
      </c>
      <c r="J16" s="146">
        <f t="shared" ref="J16:K16" si="16">F16+H16</f>
        <v>24</v>
      </c>
      <c r="K16" s="39">
        <f t="shared" si="16"/>
        <v>2000000</v>
      </c>
      <c r="L16" s="90">
        <f t="shared" ref="L16" si="17">+F16*15000</f>
        <v>360000</v>
      </c>
      <c r="M16" s="40">
        <f t="shared" ref="M16" si="18">K16+L16</f>
        <v>2360000</v>
      </c>
      <c r="N16" s="40">
        <f>IF(VLOOKUP(B16,DS,9,0)="x",'L - 9'!E16*$N$4,0)</f>
        <v>0</v>
      </c>
      <c r="O16" s="40">
        <f t="shared" ref="O16" si="19">IF(VLOOKUP(B16,DS,9,0)="x",E16*0.015,0)</f>
        <v>0</v>
      </c>
      <c r="P16" s="40">
        <f t="shared" ref="P16" si="20">IF(VLOOKUP(B16,DS,9,0)="x",E16*0.01,0)</f>
        <v>0</v>
      </c>
      <c r="Q16" s="39">
        <f>M16-SUM(N16:P16)</f>
        <v>2360000</v>
      </c>
      <c r="R16" s="39">
        <f t="shared" ref="R16" si="21">VLOOKUP(B16,DS,23,0)</f>
        <v>0</v>
      </c>
      <c r="S16" s="45">
        <f>Q16-R16</f>
        <v>2360000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2">VLOOKUP(B17,DS,2,0)</f>
        <v>Đoàn Hồng Phong</v>
      </c>
      <c r="D17" s="116" t="str">
        <f t="shared" ref="D17:D21" si="23">VLOOKUP(B17,DS,3,0)</f>
        <v>Thợ đóng - xả</v>
      </c>
      <c r="E17" s="90">
        <f t="shared" ref="E17:E21" si="24">VLOOKUP(B17,DS,4,0)</f>
        <v>2000000</v>
      </c>
      <c r="F17" s="92">
        <f>VLOOKUP(B17,'CC -9'!$B$8:$AS$27,36,0)</f>
        <v>24</v>
      </c>
      <c r="G17" s="145">
        <f t="shared" ref="G17:G21" si="25">ROUND(E17/$U$2*F17,0)</f>
        <v>2000000</v>
      </c>
      <c r="H17" s="92">
        <f>(VLOOKUP(B17,'CC -9'!$B$8:$AS$27,37,0)+VLOOKUP(B17,'CC -9'!$B$8:$AS$27,38,0))</f>
        <v>0</v>
      </c>
      <c r="I17" s="145">
        <f t="shared" ref="I17:I21" si="26">ROUND(E17/$U$2*H17,0)</f>
        <v>0</v>
      </c>
      <c r="J17" s="146">
        <f t="shared" ref="J17:J21" si="27">F17+H17</f>
        <v>24</v>
      </c>
      <c r="K17" s="39">
        <f t="shared" ref="K17:K21" si="28">G17+I17</f>
        <v>2000000</v>
      </c>
      <c r="L17" s="90">
        <f t="shared" ref="L17:L21" si="29">+F17*15000</f>
        <v>360000</v>
      </c>
      <c r="M17" s="40">
        <f t="shared" ref="M17:M21" si="30">K17+L17</f>
        <v>2360000</v>
      </c>
      <c r="N17" s="40">
        <f>IF(VLOOKUP(B17,DS,9,0)="x",'L - 9'!E17*$N$4,0)</f>
        <v>0</v>
      </c>
      <c r="O17" s="40">
        <f t="shared" ref="O17:O21" si="31">IF(VLOOKUP(B17,DS,9,0)="x",E17*0.015,0)</f>
        <v>0</v>
      </c>
      <c r="P17" s="40">
        <f t="shared" ref="P17:P21" si="32">IF(VLOOKUP(B17,DS,9,0)="x",E17*0.01,0)</f>
        <v>0</v>
      </c>
      <c r="Q17" s="39">
        <f t="shared" ref="Q17:Q21" si="33">M17-SUM(N17:P17)</f>
        <v>2360000</v>
      </c>
      <c r="R17" s="39">
        <f t="shared" ref="R17:R21" si="34">VLOOKUP(B17,DS,23,0)</f>
        <v>0</v>
      </c>
      <c r="S17" s="45">
        <f t="shared" ref="S17:S21" si="35">Q17-R17</f>
        <v>2360000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1800000</v>
      </c>
      <c r="F18" s="92">
        <f>VLOOKUP(B18,'CC -9'!$B$8:$AS$27,36,0)</f>
        <v>24</v>
      </c>
      <c r="G18" s="145">
        <f t="shared" si="25"/>
        <v>1800000</v>
      </c>
      <c r="H18" s="92">
        <f>(VLOOKUP(B18,'CC -9'!$B$8:$AS$27,37,0)+VLOOKUP(B18,'CC -9'!$B$8:$AS$27,38,0))</f>
        <v>0</v>
      </c>
      <c r="I18" s="145">
        <f t="shared" si="26"/>
        <v>0</v>
      </c>
      <c r="J18" s="146">
        <f t="shared" si="27"/>
        <v>24</v>
      </c>
      <c r="K18" s="39">
        <f t="shared" si="28"/>
        <v>1800000</v>
      </c>
      <c r="L18" s="90">
        <f t="shared" si="29"/>
        <v>360000</v>
      </c>
      <c r="M18" s="40">
        <f t="shared" si="30"/>
        <v>2160000</v>
      </c>
      <c r="N18" s="40">
        <f>IF(VLOOKUP(B18,DS,9,0)="x",'L - 9'!E18*$N$4,0)</f>
        <v>0</v>
      </c>
      <c r="O18" s="40">
        <f t="shared" si="31"/>
        <v>0</v>
      </c>
      <c r="P18" s="40">
        <f t="shared" si="32"/>
        <v>0</v>
      </c>
      <c r="Q18" s="39">
        <f t="shared" si="33"/>
        <v>2160000</v>
      </c>
      <c r="R18" s="39">
        <f t="shared" si="34"/>
        <v>0</v>
      </c>
      <c r="S18" s="45">
        <f t="shared" si="35"/>
        <v>2160000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2"/>
        <v>Trương Văn Thành</v>
      </c>
      <c r="D19" s="116" t="str">
        <f t="shared" si="23"/>
        <v>Công nhân</v>
      </c>
      <c r="E19" s="90">
        <f t="shared" si="24"/>
        <v>1800000</v>
      </c>
      <c r="F19" s="92">
        <f>VLOOKUP(B19,'CC -9'!$B$8:$AS$27,36,0)</f>
        <v>24</v>
      </c>
      <c r="G19" s="145">
        <f t="shared" si="25"/>
        <v>1800000</v>
      </c>
      <c r="H19" s="92">
        <f>(VLOOKUP(B19,'CC -9'!$B$8:$AS$27,37,0)+VLOOKUP(B19,'CC -9'!$B$8:$AS$27,38,0))</f>
        <v>0</v>
      </c>
      <c r="I19" s="145">
        <f t="shared" si="26"/>
        <v>0</v>
      </c>
      <c r="J19" s="146">
        <f t="shared" si="27"/>
        <v>24</v>
      </c>
      <c r="K19" s="39">
        <f t="shared" si="28"/>
        <v>1800000</v>
      </c>
      <c r="L19" s="90">
        <f t="shared" si="29"/>
        <v>360000</v>
      </c>
      <c r="M19" s="40">
        <f t="shared" si="30"/>
        <v>2160000</v>
      </c>
      <c r="N19" s="40">
        <f>IF(VLOOKUP(B19,DS,9,0)="x",'L - 9'!E19*$N$4,0)</f>
        <v>0</v>
      </c>
      <c r="O19" s="40">
        <f t="shared" si="31"/>
        <v>0</v>
      </c>
      <c r="P19" s="40">
        <f t="shared" si="32"/>
        <v>0</v>
      </c>
      <c r="Q19" s="39">
        <f t="shared" si="33"/>
        <v>2160000</v>
      </c>
      <c r="R19" s="39">
        <f t="shared" si="34"/>
        <v>0</v>
      </c>
      <c r="S19" s="45">
        <f t="shared" si="35"/>
        <v>2160000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2"/>
        <v>Trần Thị Ngọc Anh</v>
      </c>
      <c r="D20" s="116" t="str">
        <f t="shared" si="23"/>
        <v>Công nhân</v>
      </c>
      <c r="E20" s="90">
        <f t="shared" si="24"/>
        <v>1800000</v>
      </c>
      <c r="F20" s="92">
        <f>VLOOKUP(B20,'CC -9'!$B$8:$AS$27,36,0)</f>
        <v>24</v>
      </c>
      <c r="G20" s="145">
        <f t="shared" si="25"/>
        <v>1800000</v>
      </c>
      <c r="H20" s="92">
        <f>(VLOOKUP(B20,'CC -9'!$B$8:$AS$27,37,0)+VLOOKUP(B20,'CC -9'!$B$8:$AS$27,38,0))</f>
        <v>0</v>
      </c>
      <c r="I20" s="145">
        <f t="shared" si="26"/>
        <v>0</v>
      </c>
      <c r="J20" s="146">
        <f t="shared" si="27"/>
        <v>24</v>
      </c>
      <c r="K20" s="39">
        <f t="shared" si="28"/>
        <v>1800000</v>
      </c>
      <c r="L20" s="90">
        <f t="shared" si="29"/>
        <v>360000</v>
      </c>
      <c r="M20" s="40">
        <f t="shared" si="30"/>
        <v>2160000</v>
      </c>
      <c r="N20" s="40">
        <f>IF(VLOOKUP(B20,DS,9,0)="x",'L - 9'!E20*$N$4,0)</f>
        <v>0</v>
      </c>
      <c r="O20" s="40">
        <f t="shared" si="31"/>
        <v>0</v>
      </c>
      <c r="P20" s="40">
        <f t="shared" si="32"/>
        <v>0</v>
      </c>
      <c r="Q20" s="39">
        <f t="shared" si="33"/>
        <v>2160000</v>
      </c>
      <c r="R20" s="39">
        <f t="shared" si="34"/>
        <v>0</v>
      </c>
      <c r="S20" s="45">
        <f t="shared" si="35"/>
        <v>2160000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2"/>
        <v>Nguyễn Minh Vương</v>
      </c>
      <c r="D21" s="116" t="str">
        <f t="shared" si="23"/>
        <v>Công nhân</v>
      </c>
      <c r="E21" s="90">
        <f t="shared" si="24"/>
        <v>1800000</v>
      </c>
      <c r="F21" s="92">
        <f>VLOOKUP(B21,'CC -9'!$B$8:$AS$27,36,0)</f>
        <v>24</v>
      </c>
      <c r="G21" s="145">
        <f t="shared" si="25"/>
        <v>1800000</v>
      </c>
      <c r="H21" s="92">
        <f>(VLOOKUP(B21,'CC -9'!$B$8:$AS$27,37,0)+VLOOKUP(B21,'CC -9'!$B$8:$AS$27,38,0))</f>
        <v>0</v>
      </c>
      <c r="I21" s="145">
        <f t="shared" si="26"/>
        <v>0</v>
      </c>
      <c r="J21" s="146">
        <f t="shared" si="27"/>
        <v>24</v>
      </c>
      <c r="K21" s="39">
        <f t="shared" si="28"/>
        <v>1800000</v>
      </c>
      <c r="L21" s="90">
        <f t="shared" si="29"/>
        <v>360000</v>
      </c>
      <c r="M21" s="40">
        <f t="shared" si="30"/>
        <v>2160000</v>
      </c>
      <c r="N21" s="40">
        <f>IF(VLOOKUP(B21,DS,9,0)="x",'L - 9'!E21*$N$4,0)</f>
        <v>0</v>
      </c>
      <c r="O21" s="40">
        <f t="shared" si="31"/>
        <v>0</v>
      </c>
      <c r="P21" s="40">
        <f t="shared" si="32"/>
        <v>0</v>
      </c>
      <c r="Q21" s="39">
        <f t="shared" si="33"/>
        <v>2160000</v>
      </c>
      <c r="R21" s="39">
        <f t="shared" si="34"/>
        <v>0</v>
      </c>
      <c r="S21" s="45">
        <f t="shared" si="35"/>
        <v>2160000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5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4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9" t="s">
        <v>25</v>
      </c>
      <c r="B23" s="269"/>
      <c r="C23" s="269"/>
      <c r="D23" s="269"/>
      <c r="E23" s="140">
        <f>SUM(E15:E22)</f>
        <v>11200000</v>
      </c>
      <c r="F23" s="140"/>
      <c r="G23" s="140">
        <f t="shared" ref="G23:S23" si="36">SUM(G15:G22)</f>
        <v>11200000</v>
      </c>
      <c r="H23" s="140"/>
      <c r="I23" s="140">
        <f t="shared" si="36"/>
        <v>0</v>
      </c>
      <c r="J23" s="140"/>
      <c r="K23" s="140">
        <f t="shared" si="36"/>
        <v>11200000</v>
      </c>
      <c r="L23" s="140">
        <f t="shared" si="36"/>
        <v>2160000</v>
      </c>
      <c r="M23" s="140">
        <f t="shared" si="36"/>
        <v>13360000</v>
      </c>
      <c r="N23" s="140">
        <f t="shared" si="36"/>
        <v>0</v>
      </c>
      <c r="O23" s="140">
        <f t="shared" si="36"/>
        <v>0</v>
      </c>
      <c r="P23" s="140">
        <f t="shared" si="36"/>
        <v>0</v>
      </c>
      <c r="Q23" s="140">
        <f t="shared" si="36"/>
        <v>13360000</v>
      </c>
      <c r="R23" s="140">
        <f t="shared" si="36"/>
        <v>0</v>
      </c>
      <c r="S23" s="140">
        <f t="shared" si="36"/>
        <v>13360000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09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7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D23 N5:P6 L5 L26 J6:K7 L7 A29:T62 U35:U62 N22:S22 V29:IK62 W10:W13 J22:L22 A63:IK65330 AF15:IK15 V14:IK14 D14 Q10:S13 A10:B14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3:D23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6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22" sqref="F22:AJ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4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185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41183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57" t="s">
        <v>29</v>
      </c>
      <c r="E5" s="263" t="s">
        <v>30</v>
      </c>
      <c r="F5" s="118">
        <f>+E4</f>
        <v>41183</v>
      </c>
      <c r="G5" s="118">
        <f t="shared" ref="G5:AJ5" si="0">F5+1</f>
        <v>41184</v>
      </c>
      <c r="H5" s="118">
        <f t="shared" si="0"/>
        <v>41185</v>
      </c>
      <c r="I5" s="118">
        <f t="shared" si="0"/>
        <v>41186</v>
      </c>
      <c r="J5" s="118">
        <f t="shared" si="0"/>
        <v>41187</v>
      </c>
      <c r="K5" s="118">
        <f t="shared" si="0"/>
        <v>41188</v>
      </c>
      <c r="L5" s="118">
        <f t="shared" si="0"/>
        <v>41189</v>
      </c>
      <c r="M5" s="118">
        <f t="shared" si="0"/>
        <v>41190</v>
      </c>
      <c r="N5" s="118">
        <f t="shared" si="0"/>
        <v>41191</v>
      </c>
      <c r="O5" s="118">
        <f t="shared" si="0"/>
        <v>41192</v>
      </c>
      <c r="P5" s="118">
        <f t="shared" si="0"/>
        <v>41193</v>
      </c>
      <c r="Q5" s="118">
        <f t="shared" si="0"/>
        <v>41194</v>
      </c>
      <c r="R5" s="118">
        <f t="shared" si="0"/>
        <v>41195</v>
      </c>
      <c r="S5" s="118">
        <f t="shared" si="0"/>
        <v>41196</v>
      </c>
      <c r="T5" s="118">
        <f t="shared" si="0"/>
        <v>41197</v>
      </c>
      <c r="U5" s="118">
        <f t="shared" si="0"/>
        <v>41198</v>
      </c>
      <c r="V5" s="118">
        <f t="shared" si="0"/>
        <v>41199</v>
      </c>
      <c r="W5" s="118">
        <f t="shared" si="0"/>
        <v>41200</v>
      </c>
      <c r="X5" s="118">
        <f t="shared" si="0"/>
        <v>41201</v>
      </c>
      <c r="Y5" s="118">
        <f t="shared" si="0"/>
        <v>41202</v>
      </c>
      <c r="Z5" s="118">
        <f t="shared" si="0"/>
        <v>41203</v>
      </c>
      <c r="AA5" s="118">
        <f t="shared" si="0"/>
        <v>41204</v>
      </c>
      <c r="AB5" s="118">
        <f t="shared" si="0"/>
        <v>41205</v>
      </c>
      <c r="AC5" s="118">
        <f t="shared" si="0"/>
        <v>41206</v>
      </c>
      <c r="AD5" s="118">
        <f t="shared" si="0"/>
        <v>41207</v>
      </c>
      <c r="AE5" s="118">
        <f t="shared" si="0"/>
        <v>41208</v>
      </c>
      <c r="AF5" s="118">
        <f t="shared" si="0"/>
        <v>41209</v>
      </c>
      <c r="AG5" s="118">
        <f t="shared" si="0"/>
        <v>41210</v>
      </c>
      <c r="AH5" s="118">
        <f>AG5+1</f>
        <v>41211</v>
      </c>
      <c r="AI5" s="118">
        <f t="shared" si="0"/>
        <v>41212</v>
      </c>
      <c r="AJ5" s="118">
        <f t="shared" si="0"/>
        <v>41213</v>
      </c>
      <c r="AK5" s="264" t="s">
        <v>15</v>
      </c>
      <c r="AL5" s="265"/>
      <c r="AM5" s="266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7" t="s">
        <v>0</v>
      </c>
      <c r="AT5" s="25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8"/>
      <c r="B6" s="258"/>
      <c r="C6" s="258"/>
      <c r="D6" s="258"/>
      <c r="E6" s="258"/>
      <c r="F6" s="174" t="str">
        <f>CHOOSE(WEEKDAY(F5),"C.Nhật","T.Hai","T.Ba","T.Tư","T.Năm","T.Sáu","T.Bảy")</f>
        <v>T.Hai</v>
      </c>
      <c r="G6" s="174" t="str">
        <f t="shared" ref="G6:AJ6" si="1">CHOOSE(WEEKDAY(G5),"C.Nhật","T.Hai","T.Ba","T.Tư","T.Năm","T.Sáu","T.Bảy")</f>
        <v>T.Ba</v>
      </c>
      <c r="H6" s="174" t="str">
        <f t="shared" si="1"/>
        <v>T.Tư</v>
      </c>
      <c r="I6" s="174" t="str">
        <f t="shared" si="1"/>
        <v>T.Năm</v>
      </c>
      <c r="J6" s="174" t="str">
        <f t="shared" si="1"/>
        <v>T.Sáu</v>
      </c>
      <c r="K6" s="174" t="str">
        <f t="shared" si="1"/>
        <v>T.Bảy</v>
      </c>
      <c r="L6" s="174" t="str">
        <f t="shared" si="1"/>
        <v>C.Nhật</v>
      </c>
      <c r="M6" s="174" t="str">
        <f t="shared" si="1"/>
        <v>T.Hai</v>
      </c>
      <c r="N6" s="174" t="str">
        <f t="shared" si="1"/>
        <v>T.Ba</v>
      </c>
      <c r="O6" s="174" t="str">
        <f t="shared" si="1"/>
        <v>T.Tư</v>
      </c>
      <c r="P6" s="174" t="str">
        <f t="shared" si="1"/>
        <v>T.Năm</v>
      </c>
      <c r="Q6" s="174" t="str">
        <f t="shared" si="1"/>
        <v>T.Sáu</v>
      </c>
      <c r="R6" s="174" t="str">
        <f t="shared" si="1"/>
        <v>T.Bảy</v>
      </c>
      <c r="S6" s="174" t="str">
        <f t="shared" si="1"/>
        <v>C.Nhật</v>
      </c>
      <c r="T6" s="174" t="str">
        <f t="shared" si="1"/>
        <v>T.Hai</v>
      </c>
      <c r="U6" s="174" t="str">
        <f t="shared" si="1"/>
        <v>T.Ba</v>
      </c>
      <c r="V6" s="174" t="str">
        <f t="shared" si="1"/>
        <v>T.Tư</v>
      </c>
      <c r="W6" s="174" t="str">
        <f t="shared" si="1"/>
        <v>T.Năm</v>
      </c>
      <c r="X6" s="174" t="str">
        <f t="shared" si="1"/>
        <v>T.Sáu</v>
      </c>
      <c r="Y6" s="174" t="str">
        <f t="shared" si="1"/>
        <v>T.Bảy</v>
      </c>
      <c r="Z6" s="174" t="str">
        <f t="shared" si="1"/>
        <v>C.Nhật</v>
      </c>
      <c r="AA6" s="174" t="str">
        <f t="shared" si="1"/>
        <v>T.Hai</v>
      </c>
      <c r="AB6" s="174" t="str">
        <f t="shared" si="1"/>
        <v>T.Ba</v>
      </c>
      <c r="AC6" s="174" t="str">
        <f t="shared" si="1"/>
        <v>T.Tư</v>
      </c>
      <c r="AD6" s="174" t="str">
        <f t="shared" si="1"/>
        <v>T.Năm</v>
      </c>
      <c r="AE6" s="174" t="str">
        <f t="shared" si="1"/>
        <v>T.Sáu</v>
      </c>
      <c r="AF6" s="174" t="str">
        <f t="shared" si="1"/>
        <v>T.Bảy</v>
      </c>
      <c r="AG6" s="174" t="str">
        <f t="shared" si="1"/>
        <v>C.Nhật</v>
      </c>
      <c r="AH6" s="174" t="str">
        <f t="shared" si="1"/>
        <v>T.Hai</v>
      </c>
      <c r="AI6" s="174" t="str">
        <f t="shared" si="1"/>
        <v>T.Ba</v>
      </c>
      <c r="AJ6" s="174" t="str">
        <f t="shared" si="1"/>
        <v>T.Tư</v>
      </c>
      <c r="AK6" s="175" t="s">
        <v>16</v>
      </c>
      <c r="AL6" s="175" t="s">
        <v>31</v>
      </c>
      <c r="AM6" s="176" t="s">
        <v>17</v>
      </c>
      <c r="AN6" s="256"/>
      <c r="AO6" s="256"/>
      <c r="AP6" s="256"/>
      <c r="AQ6" s="256"/>
      <c r="AR6" s="256"/>
      <c r="AS6" s="258"/>
      <c r="AT6" s="25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186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7">
        <v>1</v>
      </c>
      <c r="B9" s="247" t="s">
        <v>161</v>
      </c>
      <c r="C9" s="249" t="str">
        <f>VLOOKUP(B9,DS,2,0)</f>
        <v>Lê Thị Dung</v>
      </c>
      <c r="D9" s="251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53">
        <f>((SUM(F9:AJ9))/8)-(SUMIF($F$6:$AJ$6,"C.Nhật",F9:AJ9)/8)</f>
        <v>27</v>
      </c>
      <c r="AL9" s="253">
        <f>SUM(F10:AJ10)/8*1.5</f>
        <v>0</v>
      </c>
      <c r="AM9" s="241">
        <f>SUMIF($F$6:$AJ$6,"C.Nhật",$F9:$AJ10)/8*2</f>
        <v>0</v>
      </c>
      <c r="AN9" s="243">
        <f>SUM(AK9:AM10)</f>
        <v>27</v>
      </c>
      <c r="AO9" s="245">
        <v>0</v>
      </c>
      <c r="AP9" s="243"/>
      <c r="AQ9" s="243"/>
      <c r="AR9" s="243"/>
      <c r="AS9" s="239"/>
      <c r="AT9" s="21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4"/>
      <c r="AL10" s="254"/>
      <c r="AM10" s="242"/>
      <c r="AN10" s="244"/>
      <c r="AO10" s="246"/>
      <c r="AP10" s="244"/>
      <c r="AQ10" s="244"/>
      <c r="AR10" s="244"/>
      <c r="AS10" s="240"/>
      <c r="AT10" s="21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f>A7+1</f>
        <v>2</v>
      </c>
      <c r="B11" s="247" t="s">
        <v>162</v>
      </c>
      <c r="C11" s="249" t="str">
        <f>VLOOKUP(B11,DS,2,0)</f>
        <v>Phan Văn Hiền</v>
      </c>
      <c r="D11" s="251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>
        <v>8</v>
      </c>
      <c r="AK11" s="253">
        <f t="shared" ref="AK11" si="2">((SUM(F11:AJ11))/8)-(SUMIF($F$6:$AJ$6,"C.Nhật",F11:AJ11)/8)</f>
        <v>27</v>
      </c>
      <c r="AL11" s="253">
        <f t="shared" ref="AL11" si="3">SUM(F12:AJ12)/8*1.5</f>
        <v>0</v>
      </c>
      <c r="AM11" s="241">
        <f t="shared" ref="AM11:AM13" si="4">SUMIF($F$6:$AJ$6,"C.Nhật",$F11:$AJ12)/8*2</f>
        <v>0</v>
      </c>
      <c r="AN11" s="243">
        <f t="shared" ref="AN11" si="5">SUM(AK11:AM12)</f>
        <v>27</v>
      </c>
      <c r="AO11" s="245">
        <v>0</v>
      </c>
      <c r="AP11" s="243"/>
      <c r="AQ11" s="243"/>
      <c r="AR11" s="243"/>
      <c r="AS11" s="239"/>
      <c r="AT11" s="21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4"/>
      <c r="AL12" s="254"/>
      <c r="AM12" s="242"/>
      <c r="AN12" s="244"/>
      <c r="AO12" s="246"/>
      <c r="AP12" s="244"/>
      <c r="AQ12" s="244"/>
      <c r="AR12" s="244"/>
      <c r="AS12" s="240"/>
      <c r="AT12" s="21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7">
        <f>A9+1</f>
        <v>2</v>
      </c>
      <c r="B13" s="247" t="s">
        <v>183</v>
      </c>
      <c r="C13" s="249" t="str">
        <f>VLOOKUP(B13,DS,2,0)</f>
        <v>Nguyễn Thị Thu Sương</v>
      </c>
      <c r="D13" s="251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/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/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/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/>
      <c r="AH13" s="143">
        <v>8</v>
      </c>
      <c r="AI13" s="143">
        <v>8</v>
      </c>
      <c r="AJ13" s="143">
        <v>8</v>
      </c>
      <c r="AK13" s="253">
        <f t="shared" ref="AK13" si="6">((SUM(F13:AJ13))/8)-(SUMIF($F$6:$AJ$6,"C.Nhật",F13:AJ13)/8)</f>
        <v>27</v>
      </c>
      <c r="AL13" s="253">
        <f t="shared" ref="AL13" si="7">SUM(F14:AJ14)/8*1.5</f>
        <v>0</v>
      </c>
      <c r="AM13" s="241">
        <f t="shared" si="4"/>
        <v>0</v>
      </c>
      <c r="AN13" s="243">
        <f t="shared" ref="AN13" si="8">SUM(AK13:AM14)</f>
        <v>27</v>
      </c>
      <c r="AO13" s="245">
        <v>0</v>
      </c>
      <c r="AP13" s="243"/>
      <c r="AQ13" s="243"/>
      <c r="AR13" s="243"/>
      <c r="AS13" s="239"/>
      <c r="AT13" s="21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8"/>
      <c r="B14" s="248"/>
      <c r="C14" s="250"/>
      <c r="D14" s="252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85"/>
      <c r="AL14" s="285"/>
      <c r="AM14" s="242"/>
      <c r="AN14" s="244"/>
      <c r="AO14" s="246"/>
      <c r="AP14" s="244"/>
      <c r="AQ14" s="244"/>
      <c r="AR14" s="244"/>
      <c r="AS14" s="240"/>
      <c r="AT14" s="21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0" customFormat="1" ht="21" customHeight="1">
      <c r="A15" s="178" t="s">
        <v>156</v>
      </c>
      <c r="B15" s="181" t="s">
        <v>160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3"/>
      <c r="AT15" s="179"/>
    </row>
    <row r="16" spans="1:91" s="67" customFormat="1" ht="18" customHeight="1">
      <c r="A16" s="247">
        <v>1</v>
      </c>
      <c r="B16" s="247" t="s">
        <v>163</v>
      </c>
      <c r="C16" s="249" t="str">
        <f>VLOOKUP(B16,DS,2,0)</f>
        <v>Nguyễn Trường Giang</v>
      </c>
      <c r="D16" s="251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53">
        <f t="shared" ref="AK16" si="9">((SUM(F16:AJ16))/8)-(SUMIF($F$6:$AJ$6,"C.Nhật",F16:AJ16)/8)</f>
        <v>27</v>
      </c>
      <c r="AL16" s="253">
        <f t="shared" ref="AL16" si="10">SUM(F17:AJ17)/8*1.5</f>
        <v>0</v>
      </c>
      <c r="AM16" s="241">
        <f>SUMIF($F$6:$AJ$6,"C.Nhật",$F16:$AJ17)/8*2</f>
        <v>0</v>
      </c>
      <c r="AN16" s="243">
        <f>SUM(AK16:AM17)</f>
        <v>27</v>
      </c>
      <c r="AO16" s="245">
        <v>0</v>
      </c>
      <c r="AP16" s="243"/>
      <c r="AQ16" s="243"/>
      <c r="AR16" s="243"/>
      <c r="AS16" s="239"/>
      <c r="AT16" s="22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4"/>
      <c r="AL17" s="254"/>
      <c r="AM17" s="242"/>
      <c r="AN17" s="244"/>
      <c r="AO17" s="246"/>
      <c r="AP17" s="244"/>
      <c r="AQ17" s="244"/>
      <c r="AR17" s="244"/>
      <c r="AS17" s="240"/>
      <c r="AT17" s="22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7">
        <v>2</v>
      </c>
      <c r="B18" s="247" t="s">
        <v>164</v>
      </c>
      <c r="C18" s="249" t="str">
        <f>VLOOKUP(B18,DS,2,0)</f>
        <v>Đoàn Hồng Phong</v>
      </c>
      <c r="D18" s="251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>
        <v>8</v>
      </c>
      <c r="AK18" s="253">
        <f t="shared" ref="AK18" si="11">((SUM(F18:AJ18))/8)-(SUMIF($F$6:$AJ$6,"C.Nhật",F18:AJ18)/8)</f>
        <v>27</v>
      </c>
      <c r="AL18" s="253">
        <f t="shared" ref="AL18" si="12">SUM(F19:AJ19)/8*1.5</f>
        <v>0</v>
      </c>
      <c r="AM18" s="241">
        <f>SUMIF($F$6:$AJ$6,"C.Nhật",$F18:$AJ19)/8*2</f>
        <v>0</v>
      </c>
      <c r="AN18" s="243">
        <f t="shared" ref="AN18" si="13">SUM(AK18:AM19)</f>
        <v>27</v>
      </c>
      <c r="AO18" s="245">
        <v>0</v>
      </c>
      <c r="AP18" s="243"/>
      <c r="AQ18" s="243"/>
      <c r="AR18" s="243"/>
      <c r="AS18" s="239"/>
      <c r="AT18" s="22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4"/>
      <c r="AL19" s="254"/>
      <c r="AM19" s="242"/>
      <c r="AN19" s="244"/>
      <c r="AO19" s="246"/>
      <c r="AP19" s="244"/>
      <c r="AQ19" s="244"/>
      <c r="AR19" s="244"/>
      <c r="AS19" s="240"/>
      <c r="AT19" s="22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7">
        <v>3</v>
      </c>
      <c r="B20" s="247" t="s">
        <v>165</v>
      </c>
      <c r="C20" s="249" t="str">
        <f>VLOOKUP(B20,DS,2,0)</f>
        <v>Trần Hữu Tình</v>
      </c>
      <c r="D20" s="251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/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/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/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/>
      <c r="AH20" s="143">
        <v>8</v>
      </c>
      <c r="AI20" s="143">
        <v>8</v>
      </c>
      <c r="AJ20" s="143">
        <v>8</v>
      </c>
      <c r="AK20" s="253">
        <f t="shared" ref="AK20" si="14">((SUM(F20:AJ20))/8)-(SUMIF($F$6:$AJ$6,"C.Nhật",F20:AJ20)/8)</f>
        <v>27</v>
      </c>
      <c r="AL20" s="253">
        <f t="shared" ref="AL20" si="15">SUM(F21:AJ21)/8*1.5</f>
        <v>0</v>
      </c>
      <c r="AM20" s="241">
        <f>SUMIF($F$6:$AJ$6,"C.Nhật",$F20:$AJ21)/8*2</f>
        <v>0</v>
      </c>
      <c r="AN20" s="243">
        <f t="shared" ref="AN20" si="16">SUM(AK20:AM21)</f>
        <v>27</v>
      </c>
      <c r="AO20" s="245">
        <v>0</v>
      </c>
      <c r="AP20" s="243"/>
      <c r="AQ20" s="243"/>
      <c r="AR20" s="243"/>
      <c r="AS20" s="239"/>
      <c r="AT20" s="22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8"/>
      <c r="B21" s="248"/>
      <c r="C21" s="250"/>
      <c r="D21" s="252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4"/>
      <c r="AL21" s="254"/>
      <c r="AM21" s="242"/>
      <c r="AN21" s="244"/>
      <c r="AO21" s="246"/>
      <c r="AP21" s="244"/>
      <c r="AQ21" s="244"/>
      <c r="AR21" s="244"/>
      <c r="AS21" s="240"/>
      <c r="AT21" s="22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7">
        <v>4</v>
      </c>
      <c r="B22" s="247" t="s">
        <v>166</v>
      </c>
      <c r="C22" s="249" t="str">
        <f>VLOOKUP(B22,DS,2,0)</f>
        <v>Trương Văn Thành</v>
      </c>
      <c r="D22" s="251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>
        <v>8</v>
      </c>
      <c r="K22" s="143">
        <v>8</v>
      </c>
      <c r="L22" s="143"/>
      <c r="M22" s="143">
        <v>8</v>
      </c>
      <c r="N22" s="143">
        <v>8</v>
      </c>
      <c r="O22" s="143">
        <v>8</v>
      </c>
      <c r="P22" s="143">
        <v>8</v>
      </c>
      <c r="Q22" s="143">
        <v>8</v>
      </c>
      <c r="R22" s="143">
        <v>8</v>
      </c>
      <c r="S22" s="143"/>
      <c r="T22" s="143">
        <v>8</v>
      </c>
      <c r="U22" s="143">
        <v>8</v>
      </c>
      <c r="V22" s="143">
        <v>8</v>
      </c>
      <c r="W22" s="143">
        <v>8</v>
      </c>
      <c r="X22" s="143">
        <v>8</v>
      </c>
      <c r="Y22" s="143">
        <v>8</v>
      </c>
      <c r="Z22" s="143"/>
      <c r="AA22" s="143">
        <v>8</v>
      </c>
      <c r="AB22" s="143">
        <v>8</v>
      </c>
      <c r="AC22" s="143">
        <v>8</v>
      </c>
      <c r="AD22" s="143">
        <v>8</v>
      </c>
      <c r="AE22" s="143">
        <v>8</v>
      </c>
      <c r="AF22" s="143">
        <v>8</v>
      </c>
      <c r="AG22" s="143"/>
      <c r="AH22" s="143">
        <v>8</v>
      </c>
      <c r="AI22" s="143">
        <v>8</v>
      </c>
      <c r="AJ22" s="143">
        <v>8</v>
      </c>
      <c r="AK22" s="253">
        <f t="shared" ref="AK22" si="17">((SUM(F22:AJ22))/8)-(SUMIF($F$6:$AJ$6,"C.Nhật",F22:AJ22)/8)</f>
        <v>27</v>
      </c>
      <c r="AL22" s="253">
        <f t="shared" ref="AL22" si="18">SUM(F23:AJ23)/8*1.5</f>
        <v>0</v>
      </c>
      <c r="AM22" s="241">
        <f>SUMIF($F$6:$AJ$6,"C.Nhật",$F22:$AJ23)/8*2</f>
        <v>0</v>
      </c>
      <c r="AN22" s="243">
        <f>SUM(AK22:AM23)</f>
        <v>27</v>
      </c>
      <c r="AO22" s="245">
        <v>0</v>
      </c>
      <c r="AP22" s="243"/>
      <c r="AQ22" s="243"/>
      <c r="AR22" s="243"/>
      <c r="AS22" s="239"/>
      <c r="AT22" s="21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8"/>
      <c r="B23" s="248"/>
      <c r="C23" s="250"/>
      <c r="D23" s="252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4"/>
      <c r="AL23" s="254"/>
      <c r="AM23" s="242"/>
      <c r="AN23" s="244"/>
      <c r="AO23" s="246"/>
      <c r="AP23" s="244"/>
      <c r="AQ23" s="244"/>
      <c r="AR23" s="244"/>
      <c r="AS23" s="240"/>
      <c r="AT23" s="21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47">
        <v>5</v>
      </c>
      <c r="B24" s="247" t="s">
        <v>167</v>
      </c>
      <c r="C24" s="249" t="str">
        <f>VLOOKUP(B24,DS,2,0)</f>
        <v>Trần Thị Ngọc Anh</v>
      </c>
      <c r="D24" s="251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>
        <v>8</v>
      </c>
      <c r="K24" s="143">
        <v>8</v>
      </c>
      <c r="L24" s="143"/>
      <c r="M24" s="143">
        <v>8</v>
      </c>
      <c r="N24" s="143">
        <v>8</v>
      </c>
      <c r="O24" s="143">
        <v>8</v>
      </c>
      <c r="P24" s="143">
        <v>8</v>
      </c>
      <c r="Q24" s="143">
        <v>8</v>
      </c>
      <c r="R24" s="143">
        <v>8</v>
      </c>
      <c r="S24" s="143"/>
      <c r="T24" s="143">
        <v>8</v>
      </c>
      <c r="U24" s="143">
        <v>8</v>
      </c>
      <c r="V24" s="143">
        <v>8</v>
      </c>
      <c r="W24" s="143">
        <v>8</v>
      </c>
      <c r="X24" s="143">
        <v>8</v>
      </c>
      <c r="Y24" s="143">
        <v>8</v>
      </c>
      <c r="Z24" s="143"/>
      <c r="AA24" s="143">
        <v>8</v>
      </c>
      <c r="AB24" s="143">
        <v>8</v>
      </c>
      <c r="AC24" s="143">
        <v>8</v>
      </c>
      <c r="AD24" s="143">
        <v>8</v>
      </c>
      <c r="AE24" s="143">
        <v>8</v>
      </c>
      <c r="AF24" s="143">
        <v>8</v>
      </c>
      <c r="AG24" s="143"/>
      <c r="AH24" s="143">
        <v>8</v>
      </c>
      <c r="AI24" s="143">
        <v>8</v>
      </c>
      <c r="AJ24" s="143">
        <v>8</v>
      </c>
      <c r="AK24" s="253">
        <f t="shared" ref="AK24" si="19">((SUM(F24:AJ24))/8)-(SUMIF($F$6:$AJ$6,"C.Nhật",F24:AJ24)/8)</f>
        <v>27</v>
      </c>
      <c r="AL24" s="253">
        <f t="shared" ref="AL24" si="20">SUM(F25:AJ25)/8*1.5</f>
        <v>0</v>
      </c>
      <c r="AM24" s="241">
        <f>SUMIF($F$6:$AJ$6,"C.Nhật",$F24:$AJ25)/8*2</f>
        <v>0</v>
      </c>
      <c r="AN24" s="243">
        <f t="shared" ref="AN24" si="21">SUM(AK24:AM25)</f>
        <v>27</v>
      </c>
      <c r="AO24" s="245">
        <v>0</v>
      </c>
      <c r="AP24" s="243"/>
      <c r="AQ24" s="243"/>
      <c r="AR24" s="243"/>
      <c r="AS24" s="239"/>
      <c r="AT24" s="21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48"/>
      <c r="B25" s="248"/>
      <c r="C25" s="250"/>
      <c r="D25" s="252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54"/>
      <c r="AL25" s="254"/>
      <c r="AM25" s="242"/>
      <c r="AN25" s="244"/>
      <c r="AO25" s="246"/>
      <c r="AP25" s="244"/>
      <c r="AQ25" s="244"/>
      <c r="AR25" s="244"/>
      <c r="AS25" s="240"/>
      <c r="AT25" s="21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47">
        <v>6</v>
      </c>
      <c r="B26" s="247" t="s">
        <v>168</v>
      </c>
      <c r="C26" s="249" t="str">
        <f>VLOOKUP(B26,DS,2,0)</f>
        <v>Nguyễn Minh Vương</v>
      </c>
      <c r="D26" s="251" t="str">
        <f>VLOOKUP(B26,DS,3,0)</f>
        <v>Công nhân</v>
      </c>
      <c r="E26" s="68" t="s">
        <v>32</v>
      </c>
      <c r="F26" s="143">
        <v>8</v>
      </c>
      <c r="G26" s="143">
        <v>8</v>
      </c>
      <c r="H26" s="143">
        <v>8</v>
      </c>
      <c r="I26" s="143">
        <v>8</v>
      </c>
      <c r="J26" s="143">
        <v>8</v>
      </c>
      <c r="K26" s="143">
        <v>8</v>
      </c>
      <c r="L26" s="143"/>
      <c r="M26" s="143">
        <v>8</v>
      </c>
      <c r="N26" s="143">
        <v>8</v>
      </c>
      <c r="O26" s="143">
        <v>8</v>
      </c>
      <c r="P26" s="143">
        <v>8</v>
      </c>
      <c r="Q26" s="143">
        <v>8</v>
      </c>
      <c r="R26" s="143">
        <v>8</v>
      </c>
      <c r="S26" s="143"/>
      <c r="T26" s="143">
        <v>8</v>
      </c>
      <c r="U26" s="143">
        <v>8</v>
      </c>
      <c r="V26" s="143">
        <v>8</v>
      </c>
      <c r="W26" s="143">
        <v>8</v>
      </c>
      <c r="X26" s="143">
        <v>8</v>
      </c>
      <c r="Y26" s="143">
        <v>8</v>
      </c>
      <c r="Z26" s="143"/>
      <c r="AA26" s="143">
        <v>8</v>
      </c>
      <c r="AB26" s="143">
        <v>8</v>
      </c>
      <c r="AC26" s="143">
        <v>8</v>
      </c>
      <c r="AD26" s="143">
        <v>8</v>
      </c>
      <c r="AE26" s="143">
        <v>8</v>
      </c>
      <c r="AF26" s="143">
        <v>8</v>
      </c>
      <c r="AG26" s="143"/>
      <c r="AH26" s="143">
        <v>8</v>
      </c>
      <c r="AI26" s="143">
        <v>8</v>
      </c>
      <c r="AJ26" s="143">
        <v>8</v>
      </c>
      <c r="AK26" s="253">
        <f t="shared" ref="AK26" si="22">((SUM(F26:AJ26))/8)-(SUMIF($F$6:$AJ$6,"C.Nhật",F26:AJ26)/8)</f>
        <v>27</v>
      </c>
      <c r="AL26" s="253">
        <f t="shared" ref="AL26" si="23">SUM(F27:AJ27)/8*1.5</f>
        <v>0</v>
      </c>
      <c r="AM26" s="241">
        <f>SUMIF($F$6:$AJ$6,"C.Nhật",$F26:$AJ27)/8*2</f>
        <v>0</v>
      </c>
      <c r="AN26" s="243">
        <f t="shared" ref="AN26" si="24">SUM(AK26:AM27)</f>
        <v>27</v>
      </c>
      <c r="AO26" s="245">
        <v>0</v>
      </c>
      <c r="AP26" s="243"/>
      <c r="AQ26" s="243"/>
      <c r="AR26" s="243"/>
      <c r="AS26" s="239"/>
      <c r="AT26" s="216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48"/>
      <c r="B27" s="248"/>
      <c r="C27" s="250"/>
      <c r="D27" s="252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54"/>
      <c r="AL27" s="254"/>
      <c r="AM27" s="242"/>
      <c r="AN27" s="244"/>
      <c r="AO27" s="246"/>
      <c r="AP27" s="244"/>
      <c r="AQ27" s="244"/>
      <c r="AR27" s="244"/>
      <c r="AS27" s="240"/>
      <c r="AT27" s="216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91" s="73" customFormat="1" ht="12.75">
      <c r="A35" s="2"/>
      <c r="B35" s="2" t="s">
        <v>0</v>
      </c>
      <c r="C35" s="2"/>
      <c r="D35" s="214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91" s="73" customFormat="1" ht="12.75">
      <c r="A36" s="2"/>
      <c r="B36" s="2"/>
      <c r="C36" s="2" t="s">
        <v>46</v>
      </c>
      <c r="D36" s="214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14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124"/>
      <c r="AK39" s="2"/>
      <c r="AL39" s="2"/>
      <c r="AM39" s="10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14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124"/>
      <c r="AK40" s="2"/>
      <c r="AL40" s="2"/>
      <c r="AM40" s="10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14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4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4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4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26:A27"/>
    <mergeCell ref="B26:B27"/>
    <mergeCell ref="C26:C27"/>
    <mergeCell ref="D26:D27"/>
    <mergeCell ref="AK26:AK27"/>
    <mergeCell ref="AS13:AS14"/>
    <mergeCell ref="AR13:AR14"/>
    <mergeCell ref="AQ13:AQ14"/>
    <mergeCell ref="AP13:AP14"/>
    <mergeCell ref="AL13:AL14"/>
    <mergeCell ref="AM13:AM14"/>
    <mergeCell ref="AN13:AN14"/>
    <mergeCell ref="AO13:AO14"/>
    <mergeCell ref="AL26:AL27"/>
    <mergeCell ref="AS24:AS25"/>
    <mergeCell ref="AM24:AM25"/>
    <mergeCell ref="AN24:AN25"/>
    <mergeCell ref="AO24:AO25"/>
    <mergeCell ref="AP24:AP25"/>
    <mergeCell ref="AQ24:AQ25"/>
    <mergeCell ref="AR24:AR25"/>
    <mergeCell ref="AS26:AS27"/>
    <mergeCell ref="AM26:AM27"/>
    <mergeCell ref="AN26:AN27"/>
    <mergeCell ref="AO26:AO27"/>
    <mergeCell ref="AP26:AP27"/>
    <mergeCell ref="AQ26:AQ27"/>
    <mergeCell ref="AR26:AR27"/>
    <mergeCell ref="AS22:AS23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O22:AO23"/>
    <mergeCell ref="A22:A23"/>
    <mergeCell ref="B22:B23"/>
    <mergeCell ref="AO11:AO12"/>
    <mergeCell ref="B13:B14"/>
    <mergeCell ref="A13:A14"/>
    <mergeCell ref="AP11:AP12"/>
    <mergeCell ref="AQ11:AQ12"/>
    <mergeCell ref="AR11:AR12"/>
    <mergeCell ref="C22:C23"/>
    <mergeCell ref="D22:D23"/>
    <mergeCell ref="AK22:AK23"/>
    <mergeCell ref="AK13:AK14"/>
    <mergeCell ref="D13:D14"/>
    <mergeCell ref="C13:C14"/>
    <mergeCell ref="AP22:AP23"/>
    <mergeCell ref="AQ22:AQ23"/>
    <mergeCell ref="AR22:AR2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S11:AS12"/>
    <mergeCell ref="AL11:AL12"/>
    <mergeCell ref="AM11:AM12"/>
    <mergeCell ref="AN11:AN12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AQ20:AQ21"/>
    <mergeCell ref="AR20:AR21"/>
    <mergeCell ref="AS20:AS21"/>
    <mergeCell ref="AL20:AL21"/>
    <mergeCell ref="AM20:AM21"/>
    <mergeCell ref="AN20:AN21"/>
    <mergeCell ref="AO20:AO21"/>
    <mergeCell ref="AP20:AP21"/>
    <mergeCell ref="A20:A21"/>
    <mergeCell ref="B20:B21"/>
    <mergeCell ref="C20:C21"/>
    <mergeCell ref="D20:D21"/>
    <mergeCell ref="AK20:AK21"/>
  </mergeCells>
  <conditionalFormatting sqref="F5:AJ6 F9:AJ14">
    <cfRule type="expression" dxfId="48" priority="24" stopIfTrue="1">
      <formula>IF(WEEKDAY(F$5)=1,TRUE,FALSE)</formula>
    </cfRule>
  </conditionalFormatting>
  <conditionalFormatting sqref="F9:AJ14">
    <cfRule type="expression" dxfId="47" priority="23" stopIfTrue="1">
      <formula>IF(WEEKDAY(F$5)=1,TRUE,FALSE)</formula>
    </cfRule>
  </conditionalFormatting>
  <conditionalFormatting sqref="F16:AJ21">
    <cfRule type="expression" dxfId="46" priority="4" stopIfTrue="1">
      <formula>IF(WEEKDAY(F$5)=1,TRUE,FALSE)</formula>
    </cfRule>
  </conditionalFormatting>
  <conditionalFormatting sqref="F16:AJ21">
    <cfRule type="expression" dxfId="45" priority="3" stopIfTrue="1">
      <formula>IF(WEEKDAY(F$5)=1,TRUE,FALSE)</formula>
    </cfRule>
  </conditionalFormatting>
  <conditionalFormatting sqref="F22:AJ27">
    <cfRule type="expression" dxfId="44" priority="2" stopIfTrue="1">
      <formula>IF(WEEKDAY(F$5)=1,TRUE,FALSE)</formula>
    </cfRule>
  </conditionalFormatting>
  <conditionalFormatting sqref="F22:AJ27">
    <cfRule type="expression" dxfId="4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8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7"/>
      <c r="C1" s="217"/>
      <c r="D1" s="277" t="str">
        <f>"BẢNG THANH TOÁN LƯƠNG THÁNG"&amp;" "&amp;TEXT($E$4,"mm")&amp;" / "&amp;TEXT($E$4,"yyyy")</f>
        <v>BẢNG THANH TOÁN LƯƠNG THÁNG 10 / 2012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9" t="s">
        <v>185</v>
      </c>
      <c r="S1" s="280"/>
      <c r="T1" s="28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7"/>
      <c r="C2" s="217"/>
      <c r="D2" s="217"/>
      <c r="E2" s="81"/>
      <c r="F2" s="217"/>
      <c r="G2" s="217"/>
      <c r="H2" s="217"/>
      <c r="I2" s="217"/>
      <c r="J2" s="82"/>
      <c r="K2" s="217"/>
      <c r="L2" s="217"/>
      <c r="M2" s="217"/>
      <c r="N2" s="217"/>
      <c r="O2" s="217"/>
      <c r="P2" s="217"/>
      <c r="Q2" s="217"/>
      <c r="R2" s="217"/>
      <c r="S2" s="217"/>
      <c r="T2" s="59"/>
      <c r="U2" s="80">
        <f>MAX(F10:F23)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7"/>
      <c r="C3" s="217"/>
      <c r="D3" s="217"/>
      <c r="E3" s="81"/>
      <c r="F3" s="217"/>
      <c r="G3" s="217"/>
      <c r="H3" s="217"/>
      <c r="I3" s="217"/>
      <c r="J3" s="82"/>
      <c r="K3" s="217"/>
      <c r="L3" s="217"/>
      <c r="M3" s="217"/>
      <c r="N3" s="217"/>
      <c r="O3" s="217"/>
      <c r="P3" s="217"/>
      <c r="Q3" s="217"/>
      <c r="R3" s="217"/>
      <c r="S3" s="21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-10'!$E$4</f>
        <v>41183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2" t="s">
        <v>19</v>
      </c>
      <c r="B5" s="282" t="s">
        <v>20</v>
      </c>
      <c r="C5" s="232" t="s">
        <v>1</v>
      </c>
      <c r="D5" s="232" t="s">
        <v>2</v>
      </c>
      <c r="E5" s="227" t="s">
        <v>56</v>
      </c>
      <c r="F5" s="270" t="s">
        <v>26</v>
      </c>
      <c r="G5" s="272"/>
      <c r="H5" s="272"/>
      <c r="I5" s="272"/>
      <c r="J5" s="272"/>
      <c r="K5" s="271"/>
      <c r="L5" s="267" t="s">
        <v>57</v>
      </c>
      <c r="M5" s="267" t="s">
        <v>5</v>
      </c>
      <c r="N5" s="232" t="s">
        <v>6</v>
      </c>
      <c r="O5" s="232"/>
      <c r="P5" s="232"/>
      <c r="Q5" s="267" t="s">
        <v>7</v>
      </c>
      <c r="R5" s="267" t="s">
        <v>8</v>
      </c>
      <c r="S5" s="267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3"/>
      <c r="B6" s="283"/>
      <c r="C6" s="232"/>
      <c r="D6" s="232"/>
      <c r="E6" s="227"/>
      <c r="F6" s="270" t="s">
        <v>59</v>
      </c>
      <c r="G6" s="271"/>
      <c r="H6" s="270" t="s">
        <v>158</v>
      </c>
      <c r="I6" s="272"/>
      <c r="J6" s="273" t="s">
        <v>27</v>
      </c>
      <c r="K6" s="267" t="s">
        <v>4</v>
      </c>
      <c r="L6" s="268"/>
      <c r="M6" s="268"/>
      <c r="N6" s="275" t="s">
        <v>12</v>
      </c>
      <c r="O6" s="267" t="s">
        <v>13</v>
      </c>
      <c r="P6" s="267" t="s">
        <v>34</v>
      </c>
      <c r="Q6" s="268"/>
      <c r="R6" s="268"/>
      <c r="S6" s="268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3"/>
      <c r="B7" s="283"/>
      <c r="C7" s="267"/>
      <c r="D7" s="267"/>
      <c r="E7" s="227"/>
      <c r="F7" s="218" t="s">
        <v>40</v>
      </c>
      <c r="G7" s="215" t="s">
        <v>18</v>
      </c>
      <c r="H7" s="218" t="s">
        <v>40</v>
      </c>
      <c r="I7" s="128" t="s">
        <v>18</v>
      </c>
      <c r="J7" s="274"/>
      <c r="K7" s="268"/>
      <c r="L7" s="284"/>
      <c r="M7" s="284"/>
      <c r="N7" s="276"/>
      <c r="O7" s="268"/>
      <c r="P7" s="268"/>
      <c r="Q7" s="268"/>
      <c r="R7" s="268"/>
      <c r="S7" s="268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186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-10'!$B$8:$AS$27,36,0)</f>
        <v>27</v>
      </c>
      <c r="G10" s="145">
        <f t="shared" ref="G10:G12" si="3">ROUND(E10/$U$2*F10,0)</f>
        <v>3500000</v>
      </c>
      <c r="H10" s="92">
        <f>(VLOOKUP(B10,'CC -10'!$B$8:$AS$27,37,0)+VLOOKUP(B10,'CC -10'!$B$8:$AS$27,38,0))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3500000</v>
      </c>
      <c r="L10" s="90">
        <f t="shared" ref="L10:L11" si="6">+F10*15000</f>
        <v>405000</v>
      </c>
      <c r="M10" s="40">
        <f t="shared" ref="M10:M12" si="7">K10+L10</f>
        <v>3905000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3905000</v>
      </c>
      <c r="R10" s="39">
        <f>VLOOKUP(B10,DS,23,0)</f>
        <v>0</v>
      </c>
      <c r="S10" s="45">
        <f t="shared" ref="S10:S12" si="9">Q10-R10</f>
        <v>3905000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2500000</v>
      </c>
      <c r="F11" s="92">
        <f>VLOOKUP(B11,'CC -10'!$B$8:$AS$27,36,0)</f>
        <v>27</v>
      </c>
      <c r="G11" s="145">
        <f t="shared" si="3"/>
        <v>2500000</v>
      </c>
      <c r="H11" s="92">
        <f>(VLOOKUP(B11,'CC -10'!$B$8:$AS$27,37,0)+VLOOKUP(B11,'CC -10'!$B$8:$AS$27,38,0))</f>
        <v>0</v>
      </c>
      <c r="I11" s="145">
        <f t="shared" si="4"/>
        <v>0</v>
      </c>
      <c r="J11" s="93">
        <f t="shared" si="5"/>
        <v>27</v>
      </c>
      <c r="K11" s="39">
        <f t="shared" si="5"/>
        <v>2500000</v>
      </c>
      <c r="L11" s="90">
        <f t="shared" si="6"/>
        <v>405000</v>
      </c>
      <c r="M11" s="40">
        <f t="shared" si="7"/>
        <v>2905000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2905000</v>
      </c>
      <c r="R11" s="39">
        <f>VLOOKUP(B11,DS,23,0)</f>
        <v>0</v>
      </c>
      <c r="S11" s="45">
        <f t="shared" si="9"/>
        <v>2905000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2200000</v>
      </c>
      <c r="F12" s="92">
        <f>VLOOKUP(B12,'CC -10'!$B$8:$AS$27,36,0)</f>
        <v>27</v>
      </c>
      <c r="G12" s="145">
        <f t="shared" si="3"/>
        <v>2200000</v>
      </c>
      <c r="H12" s="92">
        <f>(VLOOKUP(B12,'CC -10'!$B$8:$AS$27,37,0)+VLOOKUP(B12,'CC -10'!$B$8:$AS$27,38,0))</f>
        <v>0</v>
      </c>
      <c r="I12" s="145">
        <f t="shared" si="4"/>
        <v>0</v>
      </c>
      <c r="J12" s="93">
        <f t="shared" si="5"/>
        <v>27</v>
      </c>
      <c r="K12" s="39">
        <f t="shared" si="5"/>
        <v>2200000</v>
      </c>
      <c r="L12" s="90">
        <v>277500</v>
      </c>
      <c r="M12" s="40">
        <f t="shared" si="7"/>
        <v>2477500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2477500</v>
      </c>
      <c r="R12" s="39">
        <f>VLOOKUP(B12,DS,23,0)</f>
        <v>0</v>
      </c>
      <c r="S12" s="45">
        <f t="shared" si="9"/>
        <v>2477500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3"/>
      <c r="B13" s="204"/>
      <c r="C13" s="205"/>
      <c r="D13" s="206"/>
      <c r="E13" s="207"/>
      <c r="F13" s="208"/>
      <c r="G13" s="209"/>
      <c r="H13" s="208"/>
      <c r="I13" s="209"/>
      <c r="J13" s="210"/>
      <c r="K13" s="211"/>
      <c r="L13" s="207"/>
      <c r="M13" s="212"/>
      <c r="N13" s="212"/>
      <c r="O13" s="212"/>
      <c r="P13" s="212"/>
      <c r="Q13" s="211"/>
      <c r="R13" s="211"/>
      <c r="S13" s="213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9" t="s">
        <v>25</v>
      </c>
      <c r="B14" s="269"/>
      <c r="C14" s="269"/>
      <c r="D14" s="269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1087500</v>
      </c>
      <c r="M14" s="140">
        <f t="shared" si="10"/>
        <v>9287500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9287500</v>
      </c>
      <c r="R14" s="140">
        <f t="shared" si="10"/>
        <v>0</v>
      </c>
      <c r="S14" s="140">
        <f t="shared" si="10"/>
        <v>9287500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156</v>
      </c>
      <c r="B15" s="187" t="s">
        <v>157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11">VLOOKUP(B16,DS,2,0)</f>
        <v>Nguyễn Trường Giang</v>
      </c>
      <c r="D16" s="116" t="str">
        <f t="shared" ref="D16" si="12">VLOOKUP(B16,DS,3,0)</f>
        <v>Thợ in</v>
      </c>
      <c r="E16" s="90">
        <f t="shared" ref="E16" si="13">VLOOKUP(B16,DS,4,0)</f>
        <v>2000000</v>
      </c>
      <c r="F16" s="92">
        <f>VLOOKUP(B16,'CC -10'!$B$8:$AS$27,36,0)</f>
        <v>27</v>
      </c>
      <c r="G16" s="145">
        <f t="shared" ref="G16" si="14">ROUND(E16/$U$2*F16,0)</f>
        <v>2000000</v>
      </c>
      <c r="H16" s="92">
        <f>(VLOOKUP(B16,'CC -10'!$B$8:$AS$27,37,0)+VLOOKUP(B16,'CC -10'!$B$8:$AS$27,38,0))</f>
        <v>0</v>
      </c>
      <c r="I16" s="145">
        <f t="shared" ref="I16" si="15">ROUND(E16/$U$2*H16,0)</f>
        <v>0</v>
      </c>
      <c r="J16" s="146">
        <f t="shared" ref="J16:K16" si="16">F16+H16</f>
        <v>27</v>
      </c>
      <c r="K16" s="39">
        <f t="shared" si="16"/>
        <v>2000000</v>
      </c>
      <c r="L16" s="90">
        <f t="shared" ref="L16" si="17">+F16*15000</f>
        <v>405000</v>
      </c>
      <c r="M16" s="40">
        <f t="shared" ref="M16" si="18">K16+L16</f>
        <v>2405000</v>
      </c>
      <c r="N16" s="40">
        <f>IF(VLOOKUP(B16,DS,9,0)="x",'L - 10'!E16*$N$4,0)</f>
        <v>0</v>
      </c>
      <c r="O16" s="40">
        <f t="shared" ref="O16" si="19">IF(VLOOKUP(B16,DS,9,0)="x",E16*0.015,0)</f>
        <v>0</v>
      </c>
      <c r="P16" s="40">
        <f t="shared" ref="P16" si="20">IF(VLOOKUP(B16,DS,9,0)="x",E16*0.01,0)</f>
        <v>0</v>
      </c>
      <c r="Q16" s="39">
        <f>M16-SUM(N16:P16)</f>
        <v>2405000</v>
      </c>
      <c r="R16" s="39">
        <f t="shared" ref="R16" si="21">VLOOKUP(B16,DS,23,0)</f>
        <v>0</v>
      </c>
      <c r="S16" s="45">
        <f>Q16-R16</f>
        <v>2405000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2">VLOOKUP(B17,DS,2,0)</f>
        <v>Đoàn Hồng Phong</v>
      </c>
      <c r="D17" s="116" t="str">
        <f t="shared" ref="D17:D21" si="23">VLOOKUP(B17,DS,3,0)</f>
        <v>Thợ đóng - xả</v>
      </c>
      <c r="E17" s="90">
        <f t="shared" ref="E17:E21" si="24">VLOOKUP(B17,DS,4,0)</f>
        <v>2000000</v>
      </c>
      <c r="F17" s="92">
        <f>VLOOKUP(B17,'CC -10'!$B$8:$AS$27,36,0)</f>
        <v>27</v>
      </c>
      <c r="G17" s="145">
        <f t="shared" ref="G17:G21" si="25">ROUND(E17/$U$2*F17,0)</f>
        <v>2000000</v>
      </c>
      <c r="H17" s="92">
        <f>(VLOOKUP(B17,'CC -10'!$B$8:$AS$27,37,0)+VLOOKUP(B17,'CC -10'!$B$8:$AS$27,38,0))</f>
        <v>0</v>
      </c>
      <c r="I17" s="145">
        <f t="shared" ref="I17:I21" si="26">ROUND(E17/$U$2*H17,0)</f>
        <v>0</v>
      </c>
      <c r="J17" s="146">
        <f t="shared" ref="J17:J21" si="27">F17+H17</f>
        <v>27</v>
      </c>
      <c r="K17" s="39">
        <f t="shared" ref="K17:K21" si="28">G17+I17</f>
        <v>2000000</v>
      </c>
      <c r="L17" s="90">
        <f t="shared" ref="L17:L21" si="29">+F17*15000</f>
        <v>405000</v>
      </c>
      <c r="M17" s="40">
        <f t="shared" ref="M17:M21" si="30">K17+L17</f>
        <v>2405000</v>
      </c>
      <c r="N17" s="40">
        <f>IF(VLOOKUP(B17,DS,9,0)="x",'L - 10'!E17*$N$4,0)</f>
        <v>0</v>
      </c>
      <c r="O17" s="40">
        <f t="shared" ref="O17:O21" si="31">IF(VLOOKUP(B17,DS,9,0)="x",E17*0.015,0)</f>
        <v>0</v>
      </c>
      <c r="P17" s="40">
        <f t="shared" ref="P17:P21" si="32">IF(VLOOKUP(B17,DS,9,0)="x",E17*0.01,0)</f>
        <v>0</v>
      </c>
      <c r="Q17" s="39">
        <f t="shared" ref="Q17:Q21" si="33">M17-SUM(N17:P17)</f>
        <v>2405000</v>
      </c>
      <c r="R17" s="39">
        <f t="shared" ref="R17:R21" si="34">VLOOKUP(B17,DS,23,0)</f>
        <v>0</v>
      </c>
      <c r="S17" s="45">
        <f t="shared" ref="S17:S21" si="35">Q17-R17</f>
        <v>2405000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1800000</v>
      </c>
      <c r="F18" s="92">
        <f>VLOOKUP(B18,'CC -10'!$B$8:$AS$27,36,0)</f>
        <v>27</v>
      </c>
      <c r="G18" s="145">
        <f t="shared" si="25"/>
        <v>1800000</v>
      </c>
      <c r="H18" s="92">
        <f>(VLOOKUP(B18,'CC -10'!$B$8:$AS$27,37,0)+VLOOKUP(B18,'CC -10'!$B$8:$AS$27,38,0))</f>
        <v>0</v>
      </c>
      <c r="I18" s="145">
        <f t="shared" si="26"/>
        <v>0</v>
      </c>
      <c r="J18" s="146">
        <f t="shared" si="27"/>
        <v>27</v>
      </c>
      <c r="K18" s="39">
        <f t="shared" si="28"/>
        <v>1800000</v>
      </c>
      <c r="L18" s="90">
        <f t="shared" si="29"/>
        <v>405000</v>
      </c>
      <c r="M18" s="40">
        <f t="shared" si="30"/>
        <v>2205000</v>
      </c>
      <c r="N18" s="40">
        <f>IF(VLOOKUP(B18,DS,9,0)="x",'L - 10'!E18*$N$4,0)</f>
        <v>0</v>
      </c>
      <c r="O18" s="40">
        <f t="shared" si="31"/>
        <v>0</v>
      </c>
      <c r="P18" s="40">
        <f t="shared" si="32"/>
        <v>0</v>
      </c>
      <c r="Q18" s="39">
        <f t="shared" si="33"/>
        <v>2205000</v>
      </c>
      <c r="R18" s="39">
        <f t="shared" si="34"/>
        <v>0</v>
      </c>
      <c r="S18" s="45">
        <f t="shared" si="35"/>
        <v>2205000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2"/>
        <v>Trương Văn Thành</v>
      </c>
      <c r="D19" s="116" t="str">
        <f t="shared" si="23"/>
        <v>Công nhân</v>
      </c>
      <c r="E19" s="90">
        <f t="shared" si="24"/>
        <v>1800000</v>
      </c>
      <c r="F19" s="92">
        <f>VLOOKUP(B19,'CC -10'!$B$8:$AS$27,36,0)</f>
        <v>27</v>
      </c>
      <c r="G19" s="145">
        <f t="shared" si="25"/>
        <v>1800000</v>
      </c>
      <c r="H19" s="92">
        <f>(VLOOKUP(B19,'CC -10'!$B$8:$AS$27,37,0)+VLOOKUP(B19,'CC -10'!$B$8:$AS$27,38,0))</f>
        <v>0</v>
      </c>
      <c r="I19" s="145">
        <f t="shared" si="26"/>
        <v>0</v>
      </c>
      <c r="J19" s="146">
        <f t="shared" si="27"/>
        <v>27</v>
      </c>
      <c r="K19" s="39">
        <f t="shared" si="28"/>
        <v>1800000</v>
      </c>
      <c r="L19" s="90">
        <f t="shared" si="29"/>
        <v>405000</v>
      </c>
      <c r="M19" s="40">
        <f t="shared" si="30"/>
        <v>2205000</v>
      </c>
      <c r="N19" s="40">
        <f>IF(VLOOKUP(B19,DS,9,0)="x",'L - 10'!E19*$N$4,0)</f>
        <v>0</v>
      </c>
      <c r="O19" s="40">
        <f t="shared" si="31"/>
        <v>0</v>
      </c>
      <c r="P19" s="40">
        <f t="shared" si="32"/>
        <v>0</v>
      </c>
      <c r="Q19" s="39">
        <f t="shared" si="33"/>
        <v>2205000</v>
      </c>
      <c r="R19" s="39">
        <f t="shared" si="34"/>
        <v>0</v>
      </c>
      <c r="S19" s="45">
        <f t="shared" si="35"/>
        <v>2205000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2"/>
        <v>Trần Thị Ngọc Anh</v>
      </c>
      <c r="D20" s="116" t="str">
        <f t="shared" si="23"/>
        <v>Công nhân</v>
      </c>
      <c r="E20" s="90">
        <f t="shared" si="24"/>
        <v>1800000</v>
      </c>
      <c r="F20" s="92">
        <f>VLOOKUP(B20,'CC -10'!$B$8:$AS$27,36,0)</f>
        <v>27</v>
      </c>
      <c r="G20" s="145">
        <f t="shared" si="25"/>
        <v>1800000</v>
      </c>
      <c r="H20" s="92">
        <f>(VLOOKUP(B20,'CC -10'!$B$8:$AS$27,37,0)+VLOOKUP(B20,'CC -10'!$B$8:$AS$27,38,0))</f>
        <v>0</v>
      </c>
      <c r="I20" s="145">
        <f t="shared" si="26"/>
        <v>0</v>
      </c>
      <c r="J20" s="146">
        <f t="shared" si="27"/>
        <v>27</v>
      </c>
      <c r="K20" s="39">
        <f t="shared" si="28"/>
        <v>1800000</v>
      </c>
      <c r="L20" s="90">
        <f t="shared" si="29"/>
        <v>405000</v>
      </c>
      <c r="M20" s="40">
        <f t="shared" si="30"/>
        <v>2205000</v>
      </c>
      <c r="N20" s="40">
        <f>IF(VLOOKUP(B20,DS,9,0)="x",'L - 10'!E20*$N$4,0)</f>
        <v>0</v>
      </c>
      <c r="O20" s="40">
        <f t="shared" si="31"/>
        <v>0</v>
      </c>
      <c r="P20" s="40">
        <f t="shared" si="32"/>
        <v>0</v>
      </c>
      <c r="Q20" s="39">
        <f t="shared" si="33"/>
        <v>2205000</v>
      </c>
      <c r="R20" s="39">
        <f t="shared" si="34"/>
        <v>0</v>
      </c>
      <c r="S20" s="45">
        <f t="shared" si="35"/>
        <v>2205000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2"/>
        <v>Nguyễn Minh Vương</v>
      </c>
      <c r="D21" s="116" t="str">
        <f t="shared" si="23"/>
        <v>Công nhân</v>
      </c>
      <c r="E21" s="90">
        <f t="shared" si="24"/>
        <v>1800000</v>
      </c>
      <c r="F21" s="92">
        <f>VLOOKUP(B21,'CC -10'!$B$8:$AS$27,36,0)</f>
        <v>27</v>
      </c>
      <c r="G21" s="145">
        <f t="shared" si="25"/>
        <v>1800000</v>
      </c>
      <c r="H21" s="92">
        <f>(VLOOKUP(B21,'CC -10'!$B$8:$AS$27,37,0)+VLOOKUP(B21,'CC -10'!$B$8:$AS$27,38,0))</f>
        <v>0</v>
      </c>
      <c r="I21" s="145">
        <f t="shared" si="26"/>
        <v>0</v>
      </c>
      <c r="J21" s="146">
        <f t="shared" si="27"/>
        <v>27</v>
      </c>
      <c r="K21" s="39">
        <f t="shared" si="28"/>
        <v>1800000</v>
      </c>
      <c r="L21" s="90">
        <f t="shared" si="29"/>
        <v>405000</v>
      </c>
      <c r="M21" s="40">
        <f t="shared" si="30"/>
        <v>2205000</v>
      </c>
      <c r="N21" s="40">
        <f>IF(VLOOKUP(B21,DS,9,0)="x",'L - 10'!E21*$N$4,0)</f>
        <v>0</v>
      </c>
      <c r="O21" s="40">
        <f t="shared" si="31"/>
        <v>0</v>
      </c>
      <c r="P21" s="40">
        <f t="shared" si="32"/>
        <v>0</v>
      </c>
      <c r="Q21" s="39">
        <f t="shared" si="33"/>
        <v>2205000</v>
      </c>
      <c r="R21" s="39">
        <f t="shared" si="34"/>
        <v>0</v>
      </c>
      <c r="S21" s="45">
        <f t="shared" si="35"/>
        <v>2205000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5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4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9" t="s">
        <v>25</v>
      </c>
      <c r="B23" s="269"/>
      <c r="C23" s="269"/>
      <c r="D23" s="269"/>
      <c r="E23" s="140">
        <f>SUM(E15:E22)</f>
        <v>11200000</v>
      </c>
      <c r="F23" s="140"/>
      <c r="G23" s="140">
        <f>SUM(G15:G22)</f>
        <v>11200000</v>
      </c>
      <c r="H23" s="140"/>
      <c r="I23" s="140">
        <f>SUM(I15:I22)</f>
        <v>0</v>
      </c>
      <c r="J23" s="140"/>
      <c r="K23" s="140">
        <f t="shared" ref="K23:S23" si="36">SUM(K15:K22)</f>
        <v>11200000</v>
      </c>
      <c r="L23" s="140">
        <f t="shared" si="36"/>
        <v>2430000</v>
      </c>
      <c r="M23" s="140">
        <f t="shared" si="36"/>
        <v>13630000</v>
      </c>
      <c r="N23" s="140">
        <f t="shared" si="36"/>
        <v>0</v>
      </c>
      <c r="O23" s="140">
        <f t="shared" si="36"/>
        <v>0</v>
      </c>
      <c r="P23" s="140">
        <f t="shared" si="36"/>
        <v>0</v>
      </c>
      <c r="Q23" s="140">
        <f t="shared" si="36"/>
        <v>13630000</v>
      </c>
      <c r="R23" s="140">
        <f t="shared" si="36"/>
        <v>0</v>
      </c>
      <c r="S23" s="140">
        <f t="shared" si="36"/>
        <v>13630000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10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7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D23 N5:P6 L5 L26 J6:K7 L7 A29:T62 U35:U62 N22:S22 V29:IK62 W10:W13 J22:L22 A63:IK65330 AF15:IK15 V14:IK14 D14 Q10:S13 A10:B14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1 AF16:IK21 Q16:S21 A16:B21" name="Range1_5"/>
    <protectedRange password="CC78" sqref="U16:U21 X16:AE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A14:D14"/>
    <mergeCell ref="A23:D23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25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22" sqref="F22:AI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4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185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41214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57" t="s">
        <v>29</v>
      </c>
      <c r="E5" s="263" t="s">
        <v>30</v>
      </c>
      <c r="F5" s="118">
        <f>+E4</f>
        <v>41214</v>
      </c>
      <c r="G5" s="118">
        <f t="shared" ref="G5:AJ5" si="0">F5+1</f>
        <v>41215</v>
      </c>
      <c r="H5" s="118">
        <f t="shared" si="0"/>
        <v>41216</v>
      </c>
      <c r="I5" s="118">
        <f t="shared" si="0"/>
        <v>41217</v>
      </c>
      <c r="J5" s="118">
        <f t="shared" si="0"/>
        <v>41218</v>
      </c>
      <c r="K5" s="118">
        <f t="shared" si="0"/>
        <v>41219</v>
      </c>
      <c r="L5" s="118">
        <f t="shared" si="0"/>
        <v>41220</v>
      </c>
      <c r="M5" s="118">
        <f t="shared" si="0"/>
        <v>41221</v>
      </c>
      <c r="N5" s="118">
        <f t="shared" si="0"/>
        <v>41222</v>
      </c>
      <c r="O5" s="118">
        <f t="shared" si="0"/>
        <v>41223</v>
      </c>
      <c r="P5" s="118">
        <f t="shared" si="0"/>
        <v>41224</v>
      </c>
      <c r="Q5" s="118">
        <f t="shared" si="0"/>
        <v>41225</v>
      </c>
      <c r="R5" s="118">
        <f t="shared" si="0"/>
        <v>41226</v>
      </c>
      <c r="S5" s="118">
        <f t="shared" si="0"/>
        <v>41227</v>
      </c>
      <c r="T5" s="118">
        <f t="shared" si="0"/>
        <v>41228</v>
      </c>
      <c r="U5" s="118">
        <f t="shared" si="0"/>
        <v>41229</v>
      </c>
      <c r="V5" s="118">
        <f t="shared" si="0"/>
        <v>41230</v>
      </c>
      <c r="W5" s="118">
        <f t="shared" si="0"/>
        <v>41231</v>
      </c>
      <c r="X5" s="118">
        <f t="shared" si="0"/>
        <v>41232</v>
      </c>
      <c r="Y5" s="118">
        <f t="shared" si="0"/>
        <v>41233</v>
      </c>
      <c r="Z5" s="118">
        <f t="shared" si="0"/>
        <v>41234</v>
      </c>
      <c r="AA5" s="118">
        <f t="shared" si="0"/>
        <v>41235</v>
      </c>
      <c r="AB5" s="118">
        <f t="shared" si="0"/>
        <v>41236</v>
      </c>
      <c r="AC5" s="118">
        <f t="shared" si="0"/>
        <v>41237</v>
      </c>
      <c r="AD5" s="118">
        <f t="shared" si="0"/>
        <v>41238</v>
      </c>
      <c r="AE5" s="118">
        <f t="shared" si="0"/>
        <v>41239</v>
      </c>
      <c r="AF5" s="118">
        <f t="shared" si="0"/>
        <v>41240</v>
      </c>
      <c r="AG5" s="118">
        <f t="shared" si="0"/>
        <v>41241</v>
      </c>
      <c r="AH5" s="118">
        <f>AG5+1</f>
        <v>41242</v>
      </c>
      <c r="AI5" s="118">
        <f t="shared" si="0"/>
        <v>41243</v>
      </c>
      <c r="AJ5" s="118">
        <f t="shared" si="0"/>
        <v>41244</v>
      </c>
      <c r="AK5" s="264" t="s">
        <v>15</v>
      </c>
      <c r="AL5" s="265"/>
      <c r="AM5" s="266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7" t="s">
        <v>0</v>
      </c>
      <c r="AT5" s="25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8"/>
      <c r="B6" s="258"/>
      <c r="C6" s="258"/>
      <c r="D6" s="258"/>
      <c r="E6" s="258"/>
      <c r="F6" s="174" t="str">
        <f>CHOOSE(WEEKDAY(F5),"C.Nhật","T.Hai","T.Ba","T.Tư","T.Năm","T.Sáu","T.Bảy")</f>
        <v>T.Năm</v>
      </c>
      <c r="G6" s="174" t="str">
        <f t="shared" ref="G6:AJ6" si="1">CHOOSE(WEEKDAY(G5),"C.Nhật","T.Hai","T.Ba","T.Tư","T.Năm","T.Sáu","T.Bảy")</f>
        <v>T.Sáu</v>
      </c>
      <c r="H6" s="174" t="str">
        <f t="shared" si="1"/>
        <v>T.Bảy</v>
      </c>
      <c r="I6" s="174" t="str">
        <f t="shared" si="1"/>
        <v>C.Nhật</v>
      </c>
      <c r="J6" s="174" t="str">
        <f t="shared" si="1"/>
        <v>T.Hai</v>
      </c>
      <c r="K6" s="174" t="str">
        <f t="shared" si="1"/>
        <v>T.Ba</v>
      </c>
      <c r="L6" s="174" t="str">
        <f t="shared" si="1"/>
        <v>T.Tư</v>
      </c>
      <c r="M6" s="174" t="str">
        <f t="shared" si="1"/>
        <v>T.Năm</v>
      </c>
      <c r="N6" s="174" t="str">
        <f t="shared" si="1"/>
        <v>T.Sáu</v>
      </c>
      <c r="O6" s="174" t="str">
        <f t="shared" si="1"/>
        <v>T.Bảy</v>
      </c>
      <c r="P6" s="174" t="str">
        <f t="shared" si="1"/>
        <v>C.Nhật</v>
      </c>
      <c r="Q6" s="174" t="str">
        <f t="shared" si="1"/>
        <v>T.Hai</v>
      </c>
      <c r="R6" s="174" t="str">
        <f t="shared" si="1"/>
        <v>T.Ba</v>
      </c>
      <c r="S6" s="174" t="str">
        <f t="shared" si="1"/>
        <v>T.Tư</v>
      </c>
      <c r="T6" s="174" t="str">
        <f t="shared" si="1"/>
        <v>T.Năm</v>
      </c>
      <c r="U6" s="174" t="str">
        <f t="shared" si="1"/>
        <v>T.Sáu</v>
      </c>
      <c r="V6" s="174" t="str">
        <f t="shared" si="1"/>
        <v>T.Bảy</v>
      </c>
      <c r="W6" s="174" t="str">
        <f t="shared" si="1"/>
        <v>C.Nhật</v>
      </c>
      <c r="X6" s="174" t="str">
        <f t="shared" si="1"/>
        <v>T.Hai</v>
      </c>
      <c r="Y6" s="174" t="str">
        <f t="shared" si="1"/>
        <v>T.Ba</v>
      </c>
      <c r="Z6" s="174" t="str">
        <f t="shared" si="1"/>
        <v>T.Tư</v>
      </c>
      <c r="AA6" s="174" t="str">
        <f t="shared" si="1"/>
        <v>T.Năm</v>
      </c>
      <c r="AB6" s="174" t="str">
        <f t="shared" si="1"/>
        <v>T.Sáu</v>
      </c>
      <c r="AC6" s="174" t="str">
        <f t="shared" si="1"/>
        <v>T.Bảy</v>
      </c>
      <c r="AD6" s="174" t="str">
        <f t="shared" si="1"/>
        <v>C.Nhật</v>
      </c>
      <c r="AE6" s="174" t="str">
        <f t="shared" si="1"/>
        <v>T.Hai</v>
      </c>
      <c r="AF6" s="174" t="str">
        <f t="shared" si="1"/>
        <v>T.Ba</v>
      </c>
      <c r="AG6" s="174" t="str">
        <f t="shared" si="1"/>
        <v>T.Tư</v>
      </c>
      <c r="AH6" s="174" t="str">
        <f t="shared" si="1"/>
        <v>T.Năm</v>
      </c>
      <c r="AI6" s="174" t="str">
        <f t="shared" si="1"/>
        <v>T.Sáu</v>
      </c>
      <c r="AJ6" s="174" t="str">
        <f t="shared" si="1"/>
        <v>T.Bảy</v>
      </c>
      <c r="AK6" s="175" t="s">
        <v>16</v>
      </c>
      <c r="AL6" s="175" t="s">
        <v>31</v>
      </c>
      <c r="AM6" s="176" t="s">
        <v>17</v>
      </c>
      <c r="AN6" s="256"/>
      <c r="AO6" s="256"/>
      <c r="AP6" s="256"/>
      <c r="AQ6" s="256"/>
      <c r="AR6" s="256"/>
      <c r="AS6" s="258"/>
      <c r="AT6" s="25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186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7">
        <v>1</v>
      </c>
      <c r="B9" s="247" t="s">
        <v>161</v>
      </c>
      <c r="C9" s="249" t="str">
        <f>VLOOKUP(B9,DS,2,0)</f>
        <v>Lê Thị Dung</v>
      </c>
      <c r="D9" s="251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53">
        <f>((SUM(F9:AJ9))/8)-(SUMIF($F$6:$AJ$6,"C.Nhật",F9:AJ9)/8)</f>
        <v>26</v>
      </c>
      <c r="AL9" s="253">
        <f>SUM(F10:AJ10)/8*1.5</f>
        <v>0</v>
      </c>
      <c r="AM9" s="241">
        <f>SUMIF($F$6:$AJ$6,"C.Nhật",$F9:$AJ10)/8*2</f>
        <v>0</v>
      </c>
      <c r="AN9" s="243">
        <f>SUM(AK9:AM10)</f>
        <v>26</v>
      </c>
      <c r="AO9" s="245">
        <v>0</v>
      </c>
      <c r="AP9" s="243"/>
      <c r="AQ9" s="243"/>
      <c r="AR9" s="243"/>
      <c r="AS9" s="239"/>
      <c r="AT9" s="21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4"/>
      <c r="AL10" s="254"/>
      <c r="AM10" s="242"/>
      <c r="AN10" s="244"/>
      <c r="AO10" s="246"/>
      <c r="AP10" s="244"/>
      <c r="AQ10" s="244"/>
      <c r="AR10" s="244"/>
      <c r="AS10" s="240"/>
      <c r="AT10" s="21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f>A7+1</f>
        <v>2</v>
      </c>
      <c r="B11" s="247" t="s">
        <v>162</v>
      </c>
      <c r="C11" s="249" t="str">
        <f>VLOOKUP(B11,DS,2,0)</f>
        <v>Phan Văn Hiền</v>
      </c>
      <c r="D11" s="251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53">
        <f t="shared" ref="AK11" si="2">((SUM(F11:AJ11))/8)-(SUMIF($F$6:$AJ$6,"C.Nhật",F11:AJ11)/8)</f>
        <v>26</v>
      </c>
      <c r="AL11" s="253">
        <f t="shared" ref="AL11" si="3">SUM(F12:AJ12)/8*1.5</f>
        <v>0</v>
      </c>
      <c r="AM11" s="241">
        <f t="shared" ref="AM11:AM13" si="4">SUMIF($F$6:$AJ$6,"C.Nhật",$F11:$AJ12)/8*2</f>
        <v>0</v>
      </c>
      <c r="AN11" s="243">
        <f t="shared" ref="AN11" si="5">SUM(AK11:AM12)</f>
        <v>26</v>
      </c>
      <c r="AO11" s="245">
        <v>0</v>
      </c>
      <c r="AP11" s="243"/>
      <c r="AQ11" s="243"/>
      <c r="AR11" s="243"/>
      <c r="AS11" s="239"/>
      <c r="AT11" s="21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4"/>
      <c r="AL12" s="254"/>
      <c r="AM12" s="242"/>
      <c r="AN12" s="244"/>
      <c r="AO12" s="246"/>
      <c r="AP12" s="244"/>
      <c r="AQ12" s="244"/>
      <c r="AR12" s="244"/>
      <c r="AS12" s="240"/>
      <c r="AT12" s="21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7">
        <v>3</v>
      </c>
      <c r="B13" s="247" t="s">
        <v>183</v>
      </c>
      <c r="C13" s="249" t="str">
        <f>VLOOKUP(B13,DS,2,0)</f>
        <v>Nguyễn Thị Thu Sương</v>
      </c>
      <c r="D13" s="251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53">
        <f t="shared" ref="AK13" si="6">((SUM(F13:AJ13))/8)-(SUMIF($F$6:$AJ$6,"C.Nhật",F13:AJ13)/8)</f>
        <v>26</v>
      </c>
      <c r="AL13" s="253">
        <f t="shared" ref="AL13" si="7">SUM(F14:AJ14)/8*1.5</f>
        <v>0</v>
      </c>
      <c r="AM13" s="241">
        <f t="shared" si="4"/>
        <v>0</v>
      </c>
      <c r="AN13" s="243">
        <f t="shared" ref="AN13" si="8">SUM(AK13:AM14)</f>
        <v>26</v>
      </c>
      <c r="AO13" s="245">
        <v>0</v>
      </c>
      <c r="AP13" s="243"/>
      <c r="AQ13" s="243"/>
      <c r="AR13" s="243"/>
      <c r="AS13" s="239"/>
      <c r="AT13" s="219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8"/>
      <c r="B14" s="248"/>
      <c r="C14" s="250"/>
      <c r="D14" s="252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54"/>
      <c r="AL14" s="254"/>
      <c r="AM14" s="242"/>
      <c r="AN14" s="244"/>
      <c r="AO14" s="246"/>
      <c r="AP14" s="244"/>
      <c r="AQ14" s="244"/>
      <c r="AR14" s="244"/>
      <c r="AS14" s="240"/>
      <c r="AT14" s="219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0" customFormat="1" ht="21" customHeight="1">
      <c r="A15" s="178" t="s">
        <v>156</v>
      </c>
      <c r="B15" s="181" t="s">
        <v>160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3"/>
      <c r="AT15" s="179"/>
    </row>
    <row r="16" spans="1:91" s="67" customFormat="1" ht="18" customHeight="1">
      <c r="A16" s="247">
        <v>1</v>
      </c>
      <c r="B16" s="247" t="s">
        <v>163</v>
      </c>
      <c r="C16" s="249" t="str">
        <f>VLOOKUP(B16,DS,2,0)</f>
        <v>Nguyễn Trường Giang</v>
      </c>
      <c r="D16" s="251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53">
        <f t="shared" ref="AK16" si="9">((SUM(F16:AJ16))/8)-(SUMIF($F$6:$AJ$6,"C.Nhật",F16:AJ16)/8)</f>
        <v>26</v>
      </c>
      <c r="AL16" s="253">
        <f t="shared" ref="AL16" si="10">SUM(F17:AJ17)/8*1.5</f>
        <v>0</v>
      </c>
      <c r="AM16" s="241">
        <f>SUMIF($F$6:$AJ$6,"C.Nhật",$F16:$AJ17)/8*2</f>
        <v>0</v>
      </c>
      <c r="AN16" s="243">
        <f>SUM(AK16:AM17)</f>
        <v>26</v>
      </c>
      <c r="AO16" s="245">
        <v>0</v>
      </c>
      <c r="AP16" s="243"/>
      <c r="AQ16" s="243"/>
      <c r="AR16" s="243"/>
      <c r="AS16" s="239"/>
      <c r="AT16" s="22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4"/>
      <c r="AL17" s="254"/>
      <c r="AM17" s="242"/>
      <c r="AN17" s="244"/>
      <c r="AO17" s="246"/>
      <c r="AP17" s="244"/>
      <c r="AQ17" s="244"/>
      <c r="AR17" s="244"/>
      <c r="AS17" s="240"/>
      <c r="AT17" s="22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7">
        <v>2</v>
      </c>
      <c r="B18" s="247" t="s">
        <v>164</v>
      </c>
      <c r="C18" s="249" t="str">
        <f>VLOOKUP(B18,DS,2,0)</f>
        <v>Đoàn Hồng Phong</v>
      </c>
      <c r="D18" s="251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53">
        <f t="shared" ref="AK18" si="11">((SUM(F18:AJ18))/8)-(SUMIF($F$6:$AJ$6,"C.Nhật",F18:AJ18)/8)</f>
        <v>26</v>
      </c>
      <c r="AL18" s="253">
        <f t="shared" ref="AL18" si="12">SUM(F19:AJ19)/8*1.5</f>
        <v>0</v>
      </c>
      <c r="AM18" s="241">
        <f>SUMIF($F$6:$AJ$6,"C.Nhật",$F18:$AJ19)/8*2</f>
        <v>0</v>
      </c>
      <c r="AN18" s="243">
        <f t="shared" ref="AN18" si="13">SUM(AK18:AM19)</f>
        <v>26</v>
      </c>
      <c r="AO18" s="245">
        <v>0</v>
      </c>
      <c r="AP18" s="243"/>
      <c r="AQ18" s="243"/>
      <c r="AR18" s="243"/>
      <c r="AS18" s="239"/>
      <c r="AT18" s="22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4"/>
      <c r="AL19" s="254"/>
      <c r="AM19" s="242"/>
      <c r="AN19" s="244"/>
      <c r="AO19" s="246"/>
      <c r="AP19" s="244"/>
      <c r="AQ19" s="244"/>
      <c r="AR19" s="244"/>
      <c r="AS19" s="240"/>
      <c r="AT19" s="22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7">
        <v>3</v>
      </c>
      <c r="B20" s="247" t="s">
        <v>165</v>
      </c>
      <c r="C20" s="249" t="str">
        <f>VLOOKUP(B20,DS,2,0)</f>
        <v>Trần Hữu Tình</v>
      </c>
      <c r="D20" s="251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53">
        <f t="shared" ref="AK20" si="14">((SUM(F20:AJ20))/8)-(SUMIF($F$6:$AJ$6,"C.Nhật",F20:AJ20)/8)</f>
        <v>26</v>
      </c>
      <c r="AL20" s="253">
        <f t="shared" ref="AL20" si="15">SUM(F21:AJ21)/8*1.5</f>
        <v>0</v>
      </c>
      <c r="AM20" s="241">
        <f>SUMIF($F$6:$AJ$6,"C.Nhật",$F20:$AJ21)/8*2</f>
        <v>0</v>
      </c>
      <c r="AN20" s="243">
        <f t="shared" ref="AN20" si="16">SUM(AK20:AM21)</f>
        <v>26</v>
      </c>
      <c r="AO20" s="245">
        <v>0</v>
      </c>
      <c r="AP20" s="243"/>
      <c r="AQ20" s="243"/>
      <c r="AR20" s="243"/>
      <c r="AS20" s="239"/>
      <c r="AT20" s="22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8"/>
      <c r="B21" s="248"/>
      <c r="C21" s="250"/>
      <c r="D21" s="252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4"/>
      <c r="AL21" s="254"/>
      <c r="AM21" s="242"/>
      <c r="AN21" s="244"/>
      <c r="AO21" s="246"/>
      <c r="AP21" s="244"/>
      <c r="AQ21" s="244"/>
      <c r="AR21" s="244"/>
      <c r="AS21" s="240"/>
      <c r="AT21" s="22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7">
        <v>4</v>
      </c>
      <c r="B22" s="247" t="s">
        <v>166</v>
      </c>
      <c r="C22" s="249" t="str">
        <f>VLOOKUP(B22,DS,2,0)</f>
        <v>Trương Văn Thành</v>
      </c>
      <c r="D22" s="251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/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/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/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/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/>
      <c r="AK22" s="253">
        <f t="shared" ref="AK22" si="17">((SUM(F22:AJ22))/8)-(SUMIF($F$6:$AJ$6,"C.Nhật",F22:AJ22)/8)</f>
        <v>26</v>
      </c>
      <c r="AL22" s="253">
        <f t="shared" ref="AL22" si="18">SUM(F23:AJ23)/8*1.5</f>
        <v>0</v>
      </c>
      <c r="AM22" s="241">
        <f>SUMIF($F$6:$AJ$6,"C.Nhật",$F22:$AJ23)/8*2</f>
        <v>0</v>
      </c>
      <c r="AN22" s="243">
        <f>SUM(AK22:AM23)</f>
        <v>26</v>
      </c>
      <c r="AO22" s="245">
        <v>0</v>
      </c>
      <c r="AP22" s="243"/>
      <c r="AQ22" s="243"/>
      <c r="AR22" s="243"/>
      <c r="AS22" s="239"/>
      <c r="AT22" s="21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8"/>
      <c r="B23" s="248"/>
      <c r="C23" s="250"/>
      <c r="D23" s="252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4"/>
      <c r="AL23" s="254"/>
      <c r="AM23" s="242"/>
      <c r="AN23" s="244"/>
      <c r="AO23" s="246"/>
      <c r="AP23" s="244"/>
      <c r="AQ23" s="244"/>
      <c r="AR23" s="244"/>
      <c r="AS23" s="240"/>
      <c r="AT23" s="21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47">
        <v>5</v>
      </c>
      <c r="B24" s="247" t="s">
        <v>167</v>
      </c>
      <c r="C24" s="249" t="str">
        <f>VLOOKUP(B24,DS,2,0)</f>
        <v>Trần Thị Ngọc Anh</v>
      </c>
      <c r="D24" s="251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/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/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/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/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/>
      <c r="AK24" s="253">
        <f t="shared" ref="AK24" si="19">((SUM(F24:AJ24))/8)-(SUMIF($F$6:$AJ$6,"C.Nhật",F24:AJ24)/8)</f>
        <v>26</v>
      </c>
      <c r="AL24" s="253">
        <f t="shared" ref="AL24" si="20">SUM(F25:AJ25)/8*1.5</f>
        <v>0</v>
      </c>
      <c r="AM24" s="241">
        <f>SUMIF($F$6:$AJ$6,"C.Nhật",$F24:$AJ25)/8*2</f>
        <v>0</v>
      </c>
      <c r="AN24" s="243">
        <f t="shared" ref="AN24" si="21">SUM(AK24:AM25)</f>
        <v>26</v>
      </c>
      <c r="AO24" s="245">
        <v>0</v>
      </c>
      <c r="AP24" s="243"/>
      <c r="AQ24" s="243"/>
      <c r="AR24" s="243"/>
      <c r="AS24" s="239"/>
      <c r="AT24" s="21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48"/>
      <c r="B25" s="248"/>
      <c r="C25" s="250"/>
      <c r="D25" s="252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54"/>
      <c r="AL25" s="254"/>
      <c r="AM25" s="242"/>
      <c r="AN25" s="244"/>
      <c r="AO25" s="246"/>
      <c r="AP25" s="244"/>
      <c r="AQ25" s="244"/>
      <c r="AR25" s="244"/>
      <c r="AS25" s="240"/>
      <c r="AT25" s="21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47">
        <v>6</v>
      </c>
      <c r="B26" s="247" t="s">
        <v>168</v>
      </c>
      <c r="C26" s="249" t="str">
        <f>VLOOKUP(B26,DS,2,0)</f>
        <v>Nguyễn Minh Vương</v>
      </c>
      <c r="D26" s="251" t="str">
        <f>VLOOKUP(B26,DS,3,0)</f>
        <v>Công nhân</v>
      </c>
      <c r="E26" s="68" t="s">
        <v>32</v>
      </c>
      <c r="F26" s="143">
        <v>8</v>
      </c>
      <c r="G26" s="143">
        <v>8</v>
      </c>
      <c r="H26" s="143">
        <v>8</v>
      </c>
      <c r="I26" s="143"/>
      <c r="J26" s="143">
        <v>8</v>
      </c>
      <c r="K26" s="143">
        <v>8</v>
      </c>
      <c r="L26" s="143">
        <v>8</v>
      </c>
      <c r="M26" s="143">
        <v>8</v>
      </c>
      <c r="N26" s="143">
        <v>8</v>
      </c>
      <c r="O26" s="143">
        <v>8</v>
      </c>
      <c r="P26" s="143"/>
      <c r="Q26" s="143">
        <v>8</v>
      </c>
      <c r="R26" s="143">
        <v>8</v>
      </c>
      <c r="S26" s="143">
        <v>8</v>
      </c>
      <c r="T26" s="143">
        <v>8</v>
      </c>
      <c r="U26" s="143">
        <v>8</v>
      </c>
      <c r="V26" s="143">
        <v>8</v>
      </c>
      <c r="W26" s="143"/>
      <c r="X26" s="143">
        <v>8</v>
      </c>
      <c r="Y26" s="143">
        <v>8</v>
      </c>
      <c r="Z26" s="143">
        <v>8</v>
      </c>
      <c r="AA26" s="143">
        <v>8</v>
      </c>
      <c r="AB26" s="143">
        <v>8</v>
      </c>
      <c r="AC26" s="143">
        <v>8</v>
      </c>
      <c r="AD26" s="143"/>
      <c r="AE26" s="143">
        <v>8</v>
      </c>
      <c r="AF26" s="143">
        <v>8</v>
      </c>
      <c r="AG26" s="143">
        <v>8</v>
      </c>
      <c r="AH26" s="143">
        <v>8</v>
      </c>
      <c r="AI26" s="143">
        <v>8</v>
      </c>
      <c r="AJ26" s="143"/>
      <c r="AK26" s="253">
        <f t="shared" ref="AK26" si="22">((SUM(F26:AJ26))/8)-(SUMIF($F$6:$AJ$6,"C.Nhật",F26:AJ26)/8)</f>
        <v>26</v>
      </c>
      <c r="AL26" s="253">
        <f t="shared" ref="AL26" si="23">SUM(F27:AJ27)/8*1.5</f>
        <v>0</v>
      </c>
      <c r="AM26" s="241">
        <f>SUMIF($F$6:$AJ$6,"C.Nhật",$F26:$AJ27)/8*2</f>
        <v>0</v>
      </c>
      <c r="AN26" s="243">
        <f t="shared" ref="AN26" si="24">SUM(AK26:AM27)</f>
        <v>26</v>
      </c>
      <c r="AO26" s="245">
        <v>0</v>
      </c>
      <c r="AP26" s="243"/>
      <c r="AQ26" s="243"/>
      <c r="AR26" s="243"/>
      <c r="AS26" s="239"/>
      <c r="AT26" s="216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48"/>
      <c r="B27" s="248"/>
      <c r="C27" s="250"/>
      <c r="D27" s="252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54"/>
      <c r="AL27" s="254"/>
      <c r="AM27" s="242"/>
      <c r="AN27" s="244"/>
      <c r="AO27" s="246"/>
      <c r="AP27" s="244"/>
      <c r="AQ27" s="244"/>
      <c r="AR27" s="244"/>
      <c r="AS27" s="240"/>
      <c r="AT27" s="216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91" s="73" customFormat="1" ht="12.75">
      <c r="A35" s="2"/>
      <c r="B35" s="2" t="s">
        <v>0</v>
      </c>
      <c r="C35" s="2"/>
      <c r="D35" s="214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91" s="73" customFormat="1" ht="12.75">
      <c r="A36" s="2"/>
      <c r="B36" s="2"/>
      <c r="C36" s="2" t="s">
        <v>46</v>
      </c>
      <c r="D36" s="214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14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124"/>
      <c r="AK39" s="2"/>
      <c r="AL39" s="2"/>
      <c r="AM39" s="10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14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124"/>
      <c r="AK40" s="2"/>
      <c r="AL40" s="2"/>
      <c r="AM40" s="10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14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4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4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4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R13:AR14"/>
    <mergeCell ref="AS13:AS14"/>
    <mergeCell ref="AL13:AL14"/>
    <mergeCell ref="AM13:AM14"/>
    <mergeCell ref="AN13:AN14"/>
    <mergeCell ref="AO13:AO14"/>
    <mergeCell ref="AP13:AP14"/>
    <mergeCell ref="A26:A27"/>
    <mergeCell ref="B26:B27"/>
    <mergeCell ref="C26:C27"/>
    <mergeCell ref="D26:D27"/>
    <mergeCell ref="AK26:AK27"/>
    <mergeCell ref="A13:A14"/>
    <mergeCell ref="B13:B14"/>
    <mergeCell ref="C13:C14"/>
    <mergeCell ref="D13:D14"/>
    <mergeCell ref="AK13:AK14"/>
    <mergeCell ref="AL26:AL27"/>
    <mergeCell ref="AS24:AS25"/>
    <mergeCell ref="AM24:AM25"/>
    <mergeCell ref="AN24:AN25"/>
    <mergeCell ref="AO24:AO25"/>
    <mergeCell ref="AP24:AP25"/>
    <mergeCell ref="AQ24:AQ25"/>
    <mergeCell ref="AR24:AR25"/>
    <mergeCell ref="AS26:AS27"/>
    <mergeCell ref="AM26:AM27"/>
    <mergeCell ref="AN26:AN27"/>
    <mergeCell ref="AO26:AO27"/>
    <mergeCell ref="AP26:AP27"/>
    <mergeCell ref="AQ26:AQ27"/>
    <mergeCell ref="AR26:AR27"/>
    <mergeCell ref="AR22:AR23"/>
    <mergeCell ref="AS22:AS23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O22:AO23"/>
    <mergeCell ref="A22:A23"/>
    <mergeCell ref="B22:B23"/>
    <mergeCell ref="AL11:AL12"/>
    <mergeCell ref="AM11:AM12"/>
    <mergeCell ref="AN11:AN12"/>
    <mergeCell ref="AO11:AO12"/>
    <mergeCell ref="C22:C23"/>
    <mergeCell ref="D22:D23"/>
    <mergeCell ref="AK22:AK23"/>
    <mergeCell ref="AP11:AP12"/>
    <mergeCell ref="AQ11:AQ12"/>
    <mergeCell ref="AL16:AL17"/>
    <mergeCell ref="AM16:AM17"/>
    <mergeCell ref="AN16:AN17"/>
    <mergeCell ref="AO16:AO17"/>
    <mergeCell ref="AP16:AP17"/>
    <mergeCell ref="AQ16:AQ17"/>
    <mergeCell ref="AL20:AL21"/>
    <mergeCell ref="AM20:AM21"/>
    <mergeCell ref="AN20:AN21"/>
    <mergeCell ref="AO20:AO21"/>
    <mergeCell ref="AP20:AP21"/>
    <mergeCell ref="AP22:AP23"/>
    <mergeCell ref="AQ22:AQ23"/>
    <mergeCell ref="AQ13:AQ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B16:B17"/>
    <mergeCell ref="C16:C17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R11:AR12"/>
    <mergeCell ref="AS11:AS12"/>
    <mergeCell ref="AQ20:AQ21"/>
    <mergeCell ref="AR20:AR21"/>
    <mergeCell ref="AS20:AS21"/>
    <mergeCell ref="A20:A21"/>
    <mergeCell ref="B20:B21"/>
    <mergeCell ref="C20:C21"/>
    <mergeCell ref="D20:D21"/>
    <mergeCell ref="AK20:AK21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16:A17"/>
  </mergeCells>
  <conditionalFormatting sqref="F5:AJ6 AJ22:AJ25 F9:AJ10 F11:AI14">
    <cfRule type="expression" dxfId="42" priority="49" stopIfTrue="1">
      <formula>IF(WEEKDAY(F$5)=1,TRUE,FALSE)</formula>
    </cfRule>
  </conditionalFormatting>
  <conditionalFormatting sqref="F9:AJ10 F11:AI14">
    <cfRule type="expression" dxfId="41" priority="48" stopIfTrue="1">
      <formula>IF(WEEKDAY(F$5)=1,TRUE,FALSE)</formula>
    </cfRule>
  </conditionalFormatting>
  <conditionalFormatting sqref="AJ22:AJ25">
    <cfRule type="expression" dxfId="40" priority="47" stopIfTrue="1">
      <formula>IF(WEEKDAY(AJ$5)=1,TRUE,FALSE)</formula>
    </cfRule>
  </conditionalFormatting>
  <conditionalFormatting sqref="AJ22:AJ25">
    <cfRule type="expression" dxfId="39" priority="46" stopIfTrue="1">
      <formula>IF(WEEKDAY(AJ$5)=1,TRUE,FALSE)</formula>
    </cfRule>
  </conditionalFormatting>
  <conditionalFormatting sqref="AJ22:AJ25">
    <cfRule type="expression" dxfId="38" priority="45" stopIfTrue="1">
      <formula>IF(WEEKDAY(AJ$5)=1,TRUE,FALSE)</formula>
    </cfRule>
  </conditionalFormatting>
  <conditionalFormatting sqref="AJ22:AJ25">
    <cfRule type="expression" dxfId="37" priority="44" stopIfTrue="1">
      <formula>IF(WEEKDAY(AJ$5)=1,TRUE,FALSE)</formula>
    </cfRule>
  </conditionalFormatting>
  <conditionalFormatting sqref="AJ22:AJ25">
    <cfRule type="expression" dxfId="36" priority="43" stopIfTrue="1">
      <formula>IF(WEEKDAY(AJ$5)=1,TRUE,FALSE)</formula>
    </cfRule>
  </conditionalFormatting>
  <conditionalFormatting sqref="AJ22:AJ25">
    <cfRule type="expression" dxfId="35" priority="42" stopIfTrue="1">
      <formula>IF(WEEKDAY(AJ$5)=1,TRUE,FALSE)</formula>
    </cfRule>
  </conditionalFormatting>
  <conditionalFormatting sqref="AJ11:AJ12">
    <cfRule type="expression" dxfId="34" priority="41" stopIfTrue="1">
      <formula>IF(WEEKDAY(AJ$5)=1,TRUE,FALSE)</formula>
    </cfRule>
  </conditionalFormatting>
  <conditionalFormatting sqref="AJ11:AJ12">
    <cfRule type="expression" dxfId="33" priority="40" stopIfTrue="1">
      <formula>IF(WEEKDAY(AJ$5)=1,TRUE,FALSE)</formula>
    </cfRule>
  </conditionalFormatting>
  <conditionalFormatting sqref="AJ26:AJ27">
    <cfRule type="expression" dxfId="32" priority="35" stopIfTrue="1">
      <formula>IF(WEEKDAY(AJ$5)=1,TRUE,FALSE)</formula>
    </cfRule>
  </conditionalFormatting>
  <conditionalFormatting sqref="AJ26:AJ27">
    <cfRule type="expression" dxfId="31" priority="34" stopIfTrue="1">
      <formula>IF(WEEKDAY(AJ$5)=1,TRUE,FALSE)</formula>
    </cfRule>
  </conditionalFormatting>
  <conditionalFormatting sqref="AJ26:AJ27">
    <cfRule type="expression" dxfId="30" priority="33" stopIfTrue="1">
      <formula>IF(WEEKDAY(AJ$5)=1,TRUE,FALSE)</formula>
    </cfRule>
  </conditionalFormatting>
  <conditionalFormatting sqref="AJ26:AJ27">
    <cfRule type="expression" dxfId="29" priority="32" stopIfTrue="1">
      <formula>IF(WEEKDAY(AJ$5)=1,TRUE,FALSE)</formula>
    </cfRule>
  </conditionalFormatting>
  <conditionalFormatting sqref="AJ26:AJ27">
    <cfRule type="expression" dxfId="28" priority="31" stopIfTrue="1">
      <formula>IF(WEEKDAY(AJ$5)=1,TRUE,FALSE)</formula>
    </cfRule>
  </conditionalFormatting>
  <conditionalFormatting sqref="AJ26:AJ27">
    <cfRule type="expression" dxfId="27" priority="30" stopIfTrue="1">
      <formula>IF(WEEKDAY(AJ$5)=1,TRUE,FALSE)</formula>
    </cfRule>
  </conditionalFormatting>
  <conditionalFormatting sqref="AJ26:AJ27">
    <cfRule type="expression" dxfId="26" priority="29" stopIfTrue="1">
      <formula>IF(WEEKDAY(AJ$5)=1,TRUE,FALSE)</formula>
    </cfRule>
  </conditionalFormatting>
  <conditionalFormatting sqref="AJ13:AJ14">
    <cfRule type="expression" dxfId="25" priority="24" stopIfTrue="1">
      <formula>IF(WEEKDAY(AJ$5)=1,TRUE,FALSE)</formula>
    </cfRule>
  </conditionalFormatting>
  <conditionalFormatting sqref="AJ13:AJ14">
    <cfRule type="expression" dxfId="24" priority="23" stopIfTrue="1">
      <formula>IF(WEEKDAY(AJ$5)=1,TRUE,FALSE)</formula>
    </cfRule>
  </conditionalFormatting>
  <conditionalFormatting sqref="AJ16:AJ19">
    <cfRule type="expression" dxfId="23" priority="22" stopIfTrue="1">
      <formula>IF(WEEKDAY(AJ$5)=1,TRUE,FALSE)</formula>
    </cfRule>
  </conditionalFormatting>
  <conditionalFormatting sqref="AJ16:AJ19">
    <cfRule type="expression" dxfId="22" priority="21" stopIfTrue="1">
      <formula>IF(WEEKDAY(AJ$5)=1,TRUE,FALSE)</formula>
    </cfRule>
  </conditionalFormatting>
  <conditionalFormatting sqref="AJ16:AJ19">
    <cfRule type="expression" dxfId="21" priority="20" stopIfTrue="1">
      <formula>IF(WEEKDAY(AJ$5)=1,TRUE,FALSE)</formula>
    </cfRule>
  </conditionalFormatting>
  <conditionalFormatting sqref="AJ16:AJ19">
    <cfRule type="expression" dxfId="20" priority="19" stopIfTrue="1">
      <formula>IF(WEEKDAY(AJ$5)=1,TRUE,FALSE)</formula>
    </cfRule>
  </conditionalFormatting>
  <conditionalFormatting sqref="AJ16:AJ19">
    <cfRule type="expression" dxfId="19" priority="18" stopIfTrue="1">
      <formula>IF(WEEKDAY(AJ$5)=1,TRUE,FALSE)</formula>
    </cfRule>
  </conditionalFormatting>
  <conditionalFormatting sqref="AJ16:AJ19">
    <cfRule type="expression" dxfId="18" priority="17" stopIfTrue="1">
      <formula>IF(WEEKDAY(AJ$5)=1,TRUE,FALSE)</formula>
    </cfRule>
  </conditionalFormatting>
  <conditionalFormatting sqref="AJ16:AJ19">
    <cfRule type="expression" dxfId="17" priority="16" stopIfTrue="1">
      <formula>IF(WEEKDAY(AJ$5)=1,TRUE,FALSE)</formula>
    </cfRule>
  </conditionalFormatting>
  <conditionalFormatting sqref="AJ20:AJ21">
    <cfRule type="expression" dxfId="16" priority="13" stopIfTrue="1">
      <formula>IF(WEEKDAY(AJ$5)=1,TRUE,FALSE)</formula>
    </cfRule>
  </conditionalFormatting>
  <conditionalFormatting sqref="AJ20:AJ21">
    <cfRule type="expression" dxfId="15" priority="12" stopIfTrue="1">
      <formula>IF(WEEKDAY(AJ$5)=1,TRUE,FALSE)</formula>
    </cfRule>
  </conditionalFormatting>
  <conditionalFormatting sqref="AJ20:AJ21">
    <cfRule type="expression" dxfId="14" priority="11" stopIfTrue="1">
      <formula>IF(WEEKDAY(AJ$5)=1,TRUE,FALSE)</formula>
    </cfRule>
  </conditionalFormatting>
  <conditionalFormatting sqref="AJ20:AJ21">
    <cfRule type="expression" dxfId="13" priority="10" stopIfTrue="1">
      <formula>IF(WEEKDAY(AJ$5)=1,TRUE,FALSE)</formula>
    </cfRule>
  </conditionalFormatting>
  <conditionalFormatting sqref="AJ20:AJ21">
    <cfRule type="expression" dxfId="12" priority="9" stopIfTrue="1">
      <formula>IF(WEEKDAY(AJ$5)=1,TRUE,FALSE)</formula>
    </cfRule>
  </conditionalFormatting>
  <conditionalFormatting sqref="AJ20:AJ21">
    <cfRule type="expression" dxfId="11" priority="8" stopIfTrue="1">
      <formula>IF(WEEKDAY(AJ$5)=1,TRUE,FALSE)</formula>
    </cfRule>
  </conditionalFormatting>
  <conditionalFormatting sqref="AJ20:AJ21">
    <cfRule type="expression" dxfId="10" priority="7" stopIfTrue="1">
      <formula>IF(WEEKDAY(AJ$5)=1,TRUE,FALSE)</formula>
    </cfRule>
  </conditionalFormatting>
  <conditionalFormatting sqref="F16:AI21">
    <cfRule type="expression" dxfId="9" priority="4" stopIfTrue="1">
      <formula>IF(WEEKDAY(F$5)=1,TRUE,FALSE)</formula>
    </cfRule>
  </conditionalFormatting>
  <conditionalFormatting sqref="F16:AI21">
    <cfRule type="expression" dxfId="8" priority="3" stopIfTrue="1">
      <formula>IF(WEEKDAY(F$5)=1,TRUE,FALSE)</formula>
    </cfRule>
  </conditionalFormatting>
  <conditionalFormatting sqref="F22:AI27">
    <cfRule type="expression" dxfId="7" priority="2" stopIfTrue="1">
      <formula>IF(WEEKDAY(F$5)=1,TRUE,FALSE)</formula>
    </cfRule>
  </conditionalFormatting>
  <conditionalFormatting sqref="F22:AI27">
    <cfRule type="expression" dxfId="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4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7"/>
      <c r="C1" s="217"/>
      <c r="D1" s="277" t="str">
        <f>"BẢNG THANH TOÁN LƯƠNG THÁNG"&amp;" "&amp;TEXT($E$4,"mm")&amp;" / "&amp;TEXT($E$4,"yyyy")</f>
        <v>BẢNG THANH TOÁN LƯƠNG THÁNG 11 / 2012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9" t="s">
        <v>185</v>
      </c>
      <c r="S1" s="280"/>
      <c r="T1" s="28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7"/>
      <c r="C2" s="217"/>
      <c r="D2" s="217"/>
      <c r="E2" s="81"/>
      <c r="F2" s="217"/>
      <c r="G2" s="217"/>
      <c r="H2" s="217"/>
      <c r="I2" s="217"/>
      <c r="J2" s="82"/>
      <c r="K2" s="217"/>
      <c r="L2" s="217"/>
      <c r="M2" s="217"/>
      <c r="N2" s="217"/>
      <c r="O2" s="217"/>
      <c r="P2" s="217"/>
      <c r="Q2" s="217"/>
      <c r="R2" s="217"/>
      <c r="S2" s="217"/>
      <c r="T2" s="59"/>
      <c r="U2" s="80">
        <f>MAX(F10:F23)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7"/>
      <c r="C3" s="217"/>
      <c r="D3" s="217"/>
      <c r="E3" s="81"/>
      <c r="F3" s="217"/>
      <c r="G3" s="217"/>
      <c r="H3" s="217"/>
      <c r="I3" s="217"/>
      <c r="J3" s="82"/>
      <c r="K3" s="217"/>
      <c r="L3" s="217"/>
      <c r="M3" s="217"/>
      <c r="N3" s="217"/>
      <c r="O3" s="217"/>
      <c r="P3" s="217"/>
      <c r="Q3" s="217"/>
      <c r="R3" s="217"/>
      <c r="S3" s="21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-11'!$E$4</f>
        <v>41214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2" t="s">
        <v>19</v>
      </c>
      <c r="B5" s="282" t="s">
        <v>20</v>
      </c>
      <c r="C5" s="232" t="s">
        <v>1</v>
      </c>
      <c r="D5" s="232" t="s">
        <v>2</v>
      </c>
      <c r="E5" s="227" t="s">
        <v>56</v>
      </c>
      <c r="F5" s="270" t="s">
        <v>26</v>
      </c>
      <c r="G5" s="272"/>
      <c r="H5" s="272"/>
      <c r="I5" s="272"/>
      <c r="J5" s="272"/>
      <c r="K5" s="271"/>
      <c r="L5" s="267" t="s">
        <v>57</v>
      </c>
      <c r="M5" s="267" t="s">
        <v>5</v>
      </c>
      <c r="N5" s="232" t="s">
        <v>6</v>
      </c>
      <c r="O5" s="232"/>
      <c r="P5" s="232"/>
      <c r="Q5" s="267" t="s">
        <v>7</v>
      </c>
      <c r="R5" s="267" t="s">
        <v>8</v>
      </c>
      <c r="S5" s="267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3"/>
      <c r="B6" s="283"/>
      <c r="C6" s="232"/>
      <c r="D6" s="232"/>
      <c r="E6" s="227"/>
      <c r="F6" s="270" t="s">
        <v>59</v>
      </c>
      <c r="G6" s="271"/>
      <c r="H6" s="270" t="s">
        <v>158</v>
      </c>
      <c r="I6" s="272"/>
      <c r="J6" s="273" t="s">
        <v>27</v>
      </c>
      <c r="K6" s="267" t="s">
        <v>4</v>
      </c>
      <c r="L6" s="268"/>
      <c r="M6" s="268"/>
      <c r="N6" s="275" t="s">
        <v>12</v>
      </c>
      <c r="O6" s="267" t="s">
        <v>13</v>
      </c>
      <c r="P6" s="267" t="s">
        <v>34</v>
      </c>
      <c r="Q6" s="268"/>
      <c r="R6" s="268"/>
      <c r="S6" s="268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3"/>
      <c r="B7" s="283"/>
      <c r="C7" s="267"/>
      <c r="D7" s="267"/>
      <c r="E7" s="227"/>
      <c r="F7" s="218" t="s">
        <v>40</v>
      </c>
      <c r="G7" s="215" t="s">
        <v>18</v>
      </c>
      <c r="H7" s="218" t="s">
        <v>40</v>
      </c>
      <c r="I7" s="128" t="s">
        <v>18</v>
      </c>
      <c r="J7" s="274"/>
      <c r="K7" s="268"/>
      <c r="L7" s="284"/>
      <c r="M7" s="284"/>
      <c r="N7" s="276"/>
      <c r="O7" s="268"/>
      <c r="P7" s="268"/>
      <c r="Q7" s="268"/>
      <c r="R7" s="268"/>
      <c r="S7" s="268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186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3500000</v>
      </c>
      <c r="F10" s="92">
        <f>VLOOKUP(B10,'CC -11'!$B$8:$AS$27,36,0)</f>
        <v>26</v>
      </c>
      <c r="G10" s="145">
        <f t="shared" ref="G10:G11" si="3">ROUND(E10/$U$2*F10,0)</f>
        <v>3500000</v>
      </c>
      <c r="H10" s="92">
        <f>(VLOOKUP(B10,'CC -11'!$B$8:$AS$27,37,0)+VLOOKUP(B10,'CC -11'!$B$8:$AS$27,38,0))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3500000</v>
      </c>
      <c r="L10" s="90">
        <f t="shared" ref="L10:L11" si="6">+F10*15000</f>
        <v>390000</v>
      </c>
      <c r="M10" s="40">
        <f t="shared" ref="M10:M11" si="7">K10+L10</f>
        <v>3890000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3890000</v>
      </c>
      <c r="R10" s="39">
        <f>VLOOKUP(B10,DS,23,0)</f>
        <v>0</v>
      </c>
      <c r="S10" s="45">
        <f t="shared" ref="S10:S11" si="9">Q10-R10</f>
        <v>3890000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2500000</v>
      </c>
      <c r="F11" s="92">
        <f>VLOOKUP(B11,'CC -11'!$B$8:$AS$27,36,0)</f>
        <v>26</v>
      </c>
      <c r="G11" s="145">
        <f t="shared" si="3"/>
        <v>2500000</v>
      </c>
      <c r="H11" s="92">
        <f>(VLOOKUP(B11,'CC -11'!$B$8:$AS$27,37,0)+VLOOKUP(B11,'CC -11'!$B$8:$AS$27,38,0))</f>
        <v>0</v>
      </c>
      <c r="I11" s="145">
        <f t="shared" si="4"/>
        <v>0</v>
      </c>
      <c r="J11" s="93">
        <f t="shared" si="5"/>
        <v>26</v>
      </c>
      <c r="K11" s="39">
        <f t="shared" si="5"/>
        <v>2500000</v>
      </c>
      <c r="L11" s="90">
        <f t="shared" si="6"/>
        <v>390000</v>
      </c>
      <c r="M11" s="40">
        <f t="shared" si="7"/>
        <v>2890000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2890000</v>
      </c>
      <c r="R11" s="39">
        <f>VLOOKUP(B11,DS,23,0)</f>
        <v>0</v>
      </c>
      <c r="S11" s="45">
        <f t="shared" si="9"/>
        <v>2890000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ref="C12" si="10">VLOOKUP(B12,DS,2,0)</f>
        <v>Nguyễn Thị Thu Sương</v>
      </c>
      <c r="D12" s="116" t="str">
        <f t="shared" ref="D12" si="11">VLOOKUP(B12,DS,3,0)</f>
        <v>Kinh Doanh</v>
      </c>
      <c r="E12" s="90">
        <f t="shared" ref="E12" si="12">VLOOKUP(B12,DS,4,0)</f>
        <v>2200000</v>
      </c>
      <c r="F12" s="92">
        <f>VLOOKUP(B12,'CC -11'!$B$8:$AS$27,36,0)</f>
        <v>26</v>
      </c>
      <c r="G12" s="145">
        <f t="shared" ref="G12" si="13">ROUND(E12/$U$2*F12,0)</f>
        <v>2200000</v>
      </c>
      <c r="H12" s="92">
        <f>(VLOOKUP(B12,'CC -11'!$B$8:$AS$27,37,0)+VLOOKUP(B12,'CC -11'!$B$8:$AS$27,38,0))</f>
        <v>0</v>
      </c>
      <c r="I12" s="145">
        <f t="shared" ref="I12" si="14">ROUND(E12/$U$2*H12,0)</f>
        <v>0</v>
      </c>
      <c r="J12" s="93">
        <f t="shared" ref="J12" si="15">F12+H12</f>
        <v>26</v>
      </c>
      <c r="K12" s="39">
        <f t="shared" ref="K12" si="16">G12+I12</f>
        <v>2200000</v>
      </c>
      <c r="L12" s="90">
        <f t="shared" ref="L12" si="17">+F12*15000</f>
        <v>390000</v>
      </c>
      <c r="M12" s="40">
        <f t="shared" ref="M12" si="18">K12+L12</f>
        <v>2590000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ref="Q12" si="19">M12-SUM(N12:P12)</f>
        <v>2590000</v>
      </c>
      <c r="R12" s="39">
        <f>VLOOKUP(B12,DS,23,0)</f>
        <v>0</v>
      </c>
      <c r="S12" s="45">
        <f t="shared" ref="S12" si="20">Q12-R12</f>
        <v>2590000</v>
      </c>
      <c r="T12" s="211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3"/>
      <c r="B13" s="204"/>
      <c r="C13" s="205"/>
      <c r="D13" s="206"/>
      <c r="E13" s="207"/>
      <c r="F13" s="208"/>
      <c r="G13" s="209"/>
      <c r="H13" s="208"/>
      <c r="I13" s="209"/>
      <c r="J13" s="210"/>
      <c r="K13" s="211"/>
      <c r="L13" s="207"/>
      <c r="M13" s="212"/>
      <c r="N13" s="212"/>
      <c r="O13" s="212"/>
      <c r="P13" s="212"/>
      <c r="Q13" s="211"/>
      <c r="R13" s="211"/>
      <c r="S13" s="213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9" t="s">
        <v>25</v>
      </c>
      <c r="B14" s="269"/>
      <c r="C14" s="269"/>
      <c r="D14" s="269"/>
      <c r="E14" s="140">
        <f>SUM(E9:E13)</f>
        <v>8200000</v>
      </c>
      <c r="F14" s="140"/>
      <c r="G14" s="140">
        <f t="shared" ref="G14:K14" si="21">SUM(G9:G13)</f>
        <v>8200000</v>
      </c>
      <c r="H14" s="140"/>
      <c r="I14" s="140">
        <f t="shared" si="21"/>
        <v>0</v>
      </c>
      <c r="J14" s="140"/>
      <c r="K14" s="140">
        <f t="shared" si="21"/>
        <v>8200000</v>
      </c>
      <c r="L14" s="140">
        <f t="shared" ref="L14" si="22">SUM(L9:L13)</f>
        <v>1170000</v>
      </c>
      <c r="M14" s="140">
        <f t="shared" ref="M14" si="23">SUM(M9:M13)</f>
        <v>9370000</v>
      </c>
      <c r="N14" s="140">
        <f t="shared" ref="N14" si="24">SUM(N9:N13)</f>
        <v>0</v>
      </c>
      <c r="O14" s="140">
        <f t="shared" ref="O14" si="25">SUM(O9:O13)</f>
        <v>0</v>
      </c>
      <c r="P14" s="140">
        <f t="shared" ref="P14" si="26">SUM(P9:P13)</f>
        <v>0</v>
      </c>
      <c r="Q14" s="140">
        <f t="shared" ref="Q14" si="27">SUM(Q9:Q13)</f>
        <v>9370000</v>
      </c>
      <c r="R14" s="140">
        <f t="shared" ref="R14" si="28">SUM(R9:R13)</f>
        <v>0</v>
      </c>
      <c r="S14" s="140">
        <f t="shared" ref="S14" si="29">SUM(S9:S13)</f>
        <v>9370000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156</v>
      </c>
      <c r="B15" s="187" t="s">
        <v>157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30">VLOOKUP(B16,DS,2,0)</f>
        <v>Nguyễn Trường Giang</v>
      </c>
      <c r="D16" s="116" t="str">
        <f t="shared" ref="D16" si="31">VLOOKUP(B16,DS,3,0)</f>
        <v>Thợ in</v>
      </c>
      <c r="E16" s="90">
        <f t="shared" ref="E16" si="32">VLOOKUP(B16,DS,4,0)</f>
        <v>2000000</v>
      </c>
      <c r="F16" s="92">
        <f>VLOOKUP(B16,'CC -11'!$B$8:$AS$27,36,0)</f>
        <v>26</v>
      </c>
      <c r="G16" s="145">
        <f t="shared" ref="G16" si="33">ROUND(E16/$U$2*F16,0)</f>
        <v>2000000</v>
      </c>
      <c r="H16" s="92">
        <f>(VLOOKUP(B16,'CC -11'!$B$8:$AS$27,37,0)+VLOOKUP(B16,'CC -11'!$B$8:$AS$27,38,0))</f>
        <v>0</v>
      </c>
      <c r="I16" s="145">
        <f t="shared" ref="I16" si="34">ROUND(E16/$U$2*H16,0)</f>
        <v>0</v>
      </c>
      <c r="J16" s="146">
        <f t="shared" ref="J16:K16" si="35">F16+H16</f>
        <v>26</v>
      </c>
      <c r="K16" s="39">
        <f t="shared" si="35"/>
        <v>2000000</v>
      </c>
      <c r="L16" s="90">
        <f t="shared" ref="L16" si="36">+F16*15000</f>
        <v>390000</v>
      </c>
      <c r="M16" s="40">
        <f t="shared" ref="M16" si="37">K16+L16</f>
        <v>2390000</v>
      </c>
      <c r="N16" s="40">
        <f>IF(VLOOKUP(B16,DS,9,0)="x",'L - 11'!E16*$N$4,0)</f>
        <v>0</v>
      </c>
      <c r="O16" s="40">
        <f t="shared" ref="O16" si="38">IF(VLOOKUP(B16,DS,9,0)="x",E16*0.015,0)</f>
        <v>0</v>
      </c>
      <c r="P16" s="40">
        <f t="shared" ref="P16" si="39">IF(VLOOKUP(B16,DS,9,0)="x",E16*0.01,0)</f>
        <v>0</v>
      </c>
      <c r="Q16" s="39">
        <f>M16-SUM(N16:P16)</f>
        <v>2390000</v>
      </c>
      <c r="R16" s="39">
        <f t="shared" ref="R16" si="40">VLOOKUP(B16,DS,23,0)</f>
        <v>0</v>
      </c>
      <c r="S16" s="45">
        <f>Q16-R16</f>
        <v>2390000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41">VLOOKUP(B17,DS,2,0)</f>
        <v>Đoàn Hồng Phong</v>
      </c>
      <c r="D17" s="116" t="str">
        <f t="shared" ref="D17:D21" si="42">VLOOKUP(B17,DS,3,0)</f>
        <v>Thợ đóng - xả</v>
      </c>
      <c r="E17" s="90">
        <f t="shared" ref="E17:E21" si="43">VLOOKUP(B17,DS,4,0)</f>
        <v>2000000</v>
      </c>
      <c r="F17" s="92">
        <f>VLOOKUP(B17,'CC -11'!$B$8:$AS$27,36,0)</f>
        <v>26</v>
      </c>
      <c r="G17" s="145">
        <f t="shared" ref="G17:G21" si="44">ROUND(E17/$U$2*F17,0)</f>
        <v>2000000</v>
      </c>
      <c r="H17" s="92">
        <f>(VLOOKUP(B17,'CC -11'!$B$8:$AS$27,37,0)+VLOOKUP(B17,'CC -11'!$B$8:$AS$27,38,0))</f>
        <v>0</v>
      </c>
      <c r="I17" s="145">
        <f t="shared" ref="I17:I21" si="45">ROUND(E17/$U$2*H17,0)</f>
        <v>0</v>
      </c>
      <c r="J17" s="146">
        <f t="shared" ref="J17:J21" si="46">F17+H17</f>
        <v>26</v>
      </c>
      <c r="K17" s="39">
        <f t="shared" ref="K17:K21" si="47">G17+I17</f>
        <v>2000000</v>
      </c>
      <c r="L17" s="90">
        <f t="shared" ref="L17:L21" si="48">+F17*15000</f>
        <v>390000</v>
      </c>
      <c r="M17" s="40">
        <f t="shared" ref="M17:M21" si="49">K17+L17</f>
        <v>2390000</v>
      </c>
      <c r="N17" s="40">
        <f>IF(VLOOKUP(B17,DS,9,0)="x",'L - 11'!E17*$N$4,0)</f>
        <v>0</v>
      </c>
      <c r="O17" s="40">
        <f t="shared" ref="O17:O21" si="50">IF(VLOOKUP(B17,DS,9,0)="x",E17*0.015,0)</f>
        <v>0</v>
      </c>
      <c r="P17" s="40">
        <f t="shared" ref="P17:P21" si="51">IF(VLOOKUP(B17,DS,9,0)="x",E17*0.01,0)</f>
        <v>0</v>
      </c>
      <c r="Q17" s="39">
        <f t="shared" ref="Q17:Q21" si="52">M17-SUM(N17:P17)</f>
        <v>2390000</v>
      </c>
      <c r="R17" s="39">
        <f t="shared" ref="R17:R21" si="53">VLOOKUP(B17,DS,23,0)</f>
        <v>0</v>
      </c>
      <c r="S17" s="45">
        <f t="shared" ref="S17:S21" si="54">Q17-R17</f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41"/>
        <v>Trần Hữu Tình</v>
      </c>
      <c r="D18" s="116" t="str">
        <f t="shared" si="42"/>
        <v>Công nhân</v>
      </c>
      <c r="E18" s="90">
        <f t="shared" si="43"/>
        <v>1800000</v>
      </c>
      <c r="F18" s="92">
        <f>VLOOKUP(B18,'CC -11'!$B$8:$AS$27,36,0)</f>
        <v>26</v>
      </c>
      <c r="G18" s="145">
        <f t="shared" si="44"/>
        <v>1800000</v>
      </c>
      <c r="H18" s="92">
        <f>(VLOOKUP(B18,'CC -11'!$B$8:$AS$27,37,0)+VLOOKUP(B18,'CC -11'!$B$8:$AS$27,38,0))</f>
        <v>0</v>
      </c>
      <c r="I18" s="145">
        <f t="shared" si="45"/>
        <v>0</v>
      </c>
      <c r="J18" s="146">
        <f t="shared" si="46"/>
        <v>26</v>
      </c>
      <c r="K18" s="39">
        <f t="shared" si="47"/>
        <v>1800000</v>
      </c>
      <c r="L18" s="90">
        <f t="shared" si="48"/>
        <v>390000</v>
      </c>
      <c r="M18" s="40">
        <f t="shared" si="49"/>
        <v>2190000</v>
      </c>
      <c r="N18" s="40">
        <f>IF(VLOOKUP(B18,DS,9,0)="x",'L - 11'!E18*$N$4,0)</f>
        <v>0</v>
      </c>
      <c r="O18" s="40">
        <f t="shared" si="50"/>
        <v>0</v>
      </c>
      <c r="P18" s="40">
        <f t="shared" si="51"/>
        <v>0</v>
      </c>
      <c r="Q18" s="39">
        <f t="shared" si="52"/>
        <v>2190000</v>
      </c>
      <c r="R18" s="39">
        <f t="shared" si="53"/>
        <v>0</v>
      </c>
      <c r="S18" s="45">
        <f t="shared" si="54"/>
        <v>2190000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41"/>
        <v>Trương Văn Thành</v>
      </c>
      <c r="D19" s="116" t="str">
        <f t="shared" si="42"/>
        <v>Công nhân</v>
      </c>
      <c r="E19" s="90">
        <f t="shared" si="43"/>
        <v>1800000</v>
      </c>
      <c r="F19" s="92">
        <f>VLOOKUP(B19,'CC -11'!$B$8:$AS$27,36,0)</f>
        <v>26</v>
      </c>
      <c r="G19" s="145">
        <f t="shared" si="44"/>
        <v>1800000</v>
      </c>
      <c r="H19" s="92">
        <f>(VLOOKUP(B19,'CC -11'!$B$8:$AS$27,37,0)+VLOOKUP(B19,'CC -11'!$B$8:$AS$27,38,0))</f>
        <v>0</v>
      </c>
      <c r="I19" s="145">
        <f t="shared" si="45"/>
        <v>0</v>
      </c>
      <c r="J19" s="146">
        <f t="shared" si="46"/>
        <v>26</v>
      </c>
      <c r="K19" s="39">
        <f t="shared" si="47"/>
        <v>1800000</v>
      </c>
      <c r="L19" s="90">
        <f t="shared" si="48"/>
        <v>390000</v>
      </c>
      <c r="M19" s="40">
        <f t="shared" si="49"/>
        <v>2190000</v>
      </c>
      <c r="N19" s="40">
        <f>IF(VLOOKUP(B19,DS,9,0)="x",'L - 11'!E19*$N$4,0)</f>
        <v>0</v>
      </c>
      <c r="O19" s="40">
        <f t="shared" si="50"/>
        <v>0</v>
      </c>
      <c r="P19" s="40">
        <f t="shared" si="51"/>
        <v>0</v>
      </c>
      <c r="Q19" s="39">
        <f t="shared" si="52"/>
        <v>2190000</v>
      </c>
      <c r="R19" s="39">
        <f t="shared" si="53"/>
        <v>0</v>
      </c>
      <c r="S19" s="45">
        <f t="shared" si="54"/>
        <v>2190000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41"/>
        <v>Trần Thị Ngọc Anh</v>
      </c>
      <c r="D20" s="116" t="str">
        <f t="shared" si="42"/>
        <v>Công nhân</v>
      </c>
      <c r="E20" s="90">
        <f t="shared" si="43"/>
        <v>1800000</v>
      </c>
      <c r="F20" s="92">
        <f>VLOOKUP(B20,'CC -11'!$B$8:$AS$27,36,0)</f>
        <v>26</v>
      </c>
      <c r="G20" s="145">
        <f t="shared" si="44"/>
        <v>1800000</v>
      </c>
      <c r="H20" s="92">
        <f>(VLOOKUP(B20,'CC -11'!$B$8:$AS$27,37,0)+VLOOKUP(B20,'CC -11'!$B$8:$AS$27,38,0))</f>
        <v>0</v>
      </c>
      <c r="I20" s="145">
        <f t="shared" si="45"/>
        <v>0</v>
      </c>
      <c r="J20" s="146">
        <f t="shared" si="46"/>
        <v>26</v>
      </c>
      <c r="K20" s="39">
        <f t="shared" si="47"/>
        <v>1800000</v>
      </c>
      <c r="L20" s="90">
        <f t="shared" si="48"/>
        <v>390000</v>
      </c>
      <c r="M20" s="40">
        <f t="shared" si="49"/>
        <v>2190000</v>
      </c>
      <c r="N20" s="40">
        <f>IF(VLOOKUP(B20,DS,9,0)="x",'L - 11'!E20*$N$4,0)</f>
        <v>0</v>
      </c>
      <c r="O20" s="40">
        <f t="shared" si="50"/>
        <v>0</v>
      </c>
      <c r="P20" s="40">
        <f t="shared" si="51"/>
        <v>0</v>
      </c>
      <c r="Q20" s="39">
        <f t="shared" si="52"/>
        <v>2190000</v>
      </c>
      <c r="R20" s="39">
        <f t="shared" si="53"/>
        <v>0</v>
      </c>
      <c r="S20" s="45">
        <f t="shared" si="54"/>
        <v>2190000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41"/>
        <v>Nguyễn Minh Vương</v>
      </c>
      <c r="D21" s="116" t="str">
        <f t="shared" si="42"/>
        <v>Công nhân</v>
      </c>
      <c r="E21" s="90">
        <f t="shared" si="43"/>
        <v>1800000</v>
      </c>
      <c r="F21" s="92">
        <f>VLOOKUP(B21,'CC -11'!$B$8:$AS$27,36,0)</f>
        <v>26</v>
      </c>
      <c r="G21" s="145">
        <f t="shared" si="44"/>
        <v>1800000</v>
      </c>
      <c r="H21" s="92">
        <f>(VLOOKUP(B21,'CC -11'!$B$8:$AS$27,37,0)+VLOOKUP(B21,'CC -11'!$B$8:$AS$27,38,0))</f>
        <v>0</v>
      </c>
      <c r="I21" s="145">
        <f t="shared" si="45"/>
        <v>0</v>
      </c>
      <c r="J21" s="146">
        <f t="shared" si="46"/>
        <v>26</v>
      </c>
      <c r="K21" s="39">
        <f t="shared" si="47"/>
        <v>1800000</v>
      </c>
      <c r="L21" s="90">
        <f t="shared" si="48"/>
        <v>390000</v>
      </c>
      <c r="M21" s="40">
        <f t="shared" si="49"/>
        <v>2190000</v>
      </c>
      <c r="N21" s="40">
        <f>IF(VLOOKUP(B21,DS,9,0)="x",'L - 11'!E21*$N$4,0)</f>
        <v>0</v>
      </c>
      <c r="O21" s="40">
        <f t="shared" si="50"/>
        <v>0</v>
      </c>
      <c r="P21" s="40">
        <f t="shared" si="51"/>
        <v>0</v>
      </c>
      <c r="Q21" s="39">
        <f t="shared" si="52"/>
        <v>2190000</v>
      </c>
      <c r="R21" s="39">
        <f t="shared" si="53"/>
        <v>0</v>
      </c>
      <c r="S21" s="45">
        <f t="shared" si="54"/>
        <v>2190000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5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4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9" t="s">
        <v>25</v>
      </c>
      <c r="B23" s="269"/>
      <c r="C23" s="269"/>
      <c r="D23" s="269"/>
      <c r="E23" s="140">
        <f>SUM(E15:E22)</f>
        <v>11200000</v>
      </c>
      <c r="F23" s="140"/>
      <c r="G23" s="140">
        <f>SUM(G15:G22)</f>
        <v>11200000</v>
      </c>
      <c r="H23" s="140"/>
      <c r="I23" s="140">
        <f>SUM(I15:I22)</f>
        <v>0</v>
      </c>
      <c r="J23" s="140"/>
      <c r="K23" s="140">
        <f t="shared" ref="K23:S23" si="55">SUM(K15:K22)</f>
        <v>11200000</v>
      </c>
      <c r="L23" s="140">
        <f t="shared" si="55"/>
        <v>2340000</v>
      </c>
      <c r="M23" s="140">
        <f t="shared" si="55"/>
        <v>13540000</v>
      </c>
      <c r="N23" s="140">
        <f t="shared" si="55"/>
        <v>0</v>
      </c>
      <c r="O23" s="140">
        <f t="shared" si="55"/>
        <v>0</v>
      </c>
      <c r="P23" s="140">
        <f t="shared" si="55"/>
        <v>0</v>
      </c>
      <c r="Q23" s="140">
        <f t="shared" si="55"/>
        <v>13540000</v>
      </c>
      <c r="R23" s="140">
        <f t="shared" si="55"/>
        <v>0</v>
      </c>
      <c r="S23" s="140">
        <f t="shared" si="55"/>
        <v>13540000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11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7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E5:I6 D23 N5:P6 L5 L26 J6:K7 L7 A29:T62 U35:U62 N22:S22 V29:IK62 J22:L22 A63:IK65330 AF15:IK15 V14:IK14 D14 W10:W13 AF5:IK13 A10:B14 Q10:S13" name="Range1"/>
    <protectedRange password="CC78" sqref="F7:H7" name="Range1_4"/>
    <protectedRange password="CC78" sqref="V26:IK27 S26:T27 N26:Q27 E26:I27" name="Range1_1_1"/>
    <protectedRange password="CC78" sqref="U1 W1:IK3 V4:IK4 B4:T4 R2:S3 B1:Q3 U22:U34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1 AF16:IK21 Q16:S21 A16:B21" name="Range1_5"/>
    <protectedRange password="CC78" sqref="U16:U21 X16:AE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A14:D14"/>
    <mergeCell ref="A23:D23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22" sqref="F22:AJ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4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0" t="s">
        <v>185</v>
      </c>
      <c r="AN1" s="261"/>
      <c r="AO1" s="261"/>
      <c r="AP1" s="261"/>
      <c r="AQ1" s="261"/>
      <c r="AR1" s="261"/>
      <c r="AS1" s="262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6"/>
      <c r="D4" s="155"/>
      <c r="E4" s="64">
        <v>41244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3" t="s">
        <v>28</v>
      </c>
      <c r="B5" s="263" t="s">
        <v>3</v>
      </c>
      <c r="C5" s="263" t="s">
        <v>1</v>
      </c>
      <c r="D5" s="257" t="s">
        <v>29</v>
      </c>
      <c r="E5" s="263" t="s">
        <v>30</v>
      </c>
      <c r="F5" s="118">
        <f>+E4</f>
        <v>41244</v>
      </c>
      <c r="G5" s="118">
        <f t="shared" ref="G5:AJ5" si="0">F5+1</f>
        <v>41245</v>
      </c>
      <c r="H5" s="118">
        <f t="shared" si="0"/>
        <v>41246</v>
      </c>
      <c r="I5" s="118">
        <f t="shared" si="0"/>
        <v>41247</v>
      </c>
      <c r="J5" s="118">
        <f t="shared" si="0"/>
        <v>41248</v>
      </c>
      <c r="K5" s="118">
        <f t="shared" si="0"/>
        <v>41249</v>
      </c>
      <c r="L5" s="118">
        <f t="shared" si="0"/>
        <v>41250</v>
      </c>
      <c r="M5" s="118">
        <f t="shared" si="0"/>
        <v>41251</v>
      </c>
      <c r="N5" s="118">
        <f t="shared" si="0"/>
        <v>41252</v>
      </c>
      <c r="O5" s="118">
        <f t="shared" si="0"/>
        <v>41253</v>
      </c>
      <c r="P5" s="118">
        <f t="shared" si="0"/>
        <v>41254</v>
      </c>
      <c r="Q5" s="118">
        <f t="shared" si="0"/>
        <v>41255</v>
      </c>
      <c r="R5" s="118">
        <f t="shared" si="0"/>
        <v>41256</v>
      </c>
      <c r="S5" s="118">
        <f t="shared" si="0"/>
        <v>41257</v>
      </c>
      <c r="T5" s="118">
        <f t="shared" si="0"/>
        <v>41258</v>
      </c>
      <c r="U5" s="118">
        <f t="shared" si="0"/>
        <v>41259</v>
      </c>
      <c r="V5" s="118">
        <f t="shared" si="0"/>
        <v>41260</v>
      </c>
      <c r="W5" s="118">
        <f t="shared" si="0"/>
        <v>41261</v>
      </c>
      <c r="X5" s="118">
        <f t="shared" si="0"/>
        <v>41262</v>
      </c>
      <c r="Y5" s="118">
        <f t="shared" si="0"/>
        <v>41263</v>
      </c>
      <c r="Z5" s="118">
        <f t="shared" si="0"/>
        <v>41264</v>
      </c>
      <c r="AA5" s="118">
        <f t="shared" si="0"/>
        <v>41265</v>
      </c>
      <c r="AB5" s="118">
        <f t="shared" si="0"/>
        <v>41266</v>
      </c>
      <c r="AC5" s="118">
        <f t="shared" si="0"/>
        <v>41267</v>
      </c>
      <c r="AD5" s="118">
        <f t="shared" si="0"/>
        <v>41268</v>
      </c>
      <c r="AE5" s="118">
        <f t="shared" si="0"/>
        <v>41269</v>
      </c>
      <c r="AF5" s="118">
        <f t="shared" si="0"/>
        <v>41270</v>
      </c>
      <c r="AG5" s="118">
        <f t="shared" si="0"/>
        <v>41271</v>
      </c>
      <c r="AH5" s="118">
        <f>AG5+1</f>
        <v>41272</v>
      </c>
      <c r="AI5" s="118">
        <f t="shared" si="0"/>
        <v>41273</v>
      </c>
      <c r="AJ5" s="118">
        <f t="shared" si="0"/>
        <v>41274</v>
      </c>
      <c r="AK5" s="264" t="s">
        <v>15</v>
      </c>
      <c r="AL5" s="265"/>
      <c r="AM5" s="266"/>
      <c r="AN5" s="255" t="s">
        <v>45</v>
      </c>
      <c r="AO5" s="255" t="s">
        <v>41</v>
      </c>
      <c r="AP5" s="255" t="s">
        <v>42</v>
      </c>
      <c r="AQ5" s="255" t="s">
        <v>43</v>
      </c>
      <c r="AR5" s="255" t="s">
        <v>44</v>
      </c>
      <c r="AS5" s="257" t="s">
        <v>0</v>
      </c>
      <c r="AT5" s="25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8"/>
      <c r="B6" s="258"/>
      <c r="C6" s="258"/>
      <c r="D6" s="258"/>
      <c r="E6" s="258"/>
      <c r="F6" s="174" t="str">
        <f>CHOOSE(WEEKDAY(F5),"C.Nhật","T.Hai","T.Ba","T.Tư","T.Năm","T.Sáu","T.Bảy")</f>
        <v>T.Bảy</v>
      </c>
      <c r="G6" s="174" t="str">
        <f t="shared" ref="G6:AJ6" si="1">CHOOSE(WEEKDAY(G5),"C.Nhật","T.Hai","T.Ba","T.Tư","T.Năm","T.Sáu","T.Bảy")</f>
        <v>C.Nhật</v>
      </c>
      <c r="H6" s="174" t="str">
        <f t="shared" si="1"/>
        <v>T.Hai</v>
      </c>
      <c r="I6" s="174" t="str">
        <f t="shared" si="1"/>
        <v>T.Ba</v>
      </c>
      <c r="J6" s="174" t="str">
        <f t="shared" si="1"/>
        <v>T.Tư</v>
      </c>
      <c r="K6" s="174" t="str">
        <f t="shared" si="1"/>
        <v>T.Năm</v>
      </c>
      <c r="L6" s="174" t="str">
        <f t="shared" si="1"/>
        <v>T.Sáu</v>
      </c>
      <c r="M6" s="174" t="str">
        <f t="shared" si="1"/>
        <v>T.Bảy</v>
      </c>
      <c r="N6" s="174" t="str">
        <f t="shared" si="1"/>
        <v>C.Nhật</v>
      </c>
      <c r="O6" s="174" t="str">
        <f t="shared" si="1"/>
        <v>T.Hai</v>
      </c>
      <c r="P6" s="174" t="str">
        <f t="shared" si="1"/>
        <v>T.Ba</v>
      </c>
      <c r="Q6" s="174" t="str">
        <f t="shared" si="1"/>
        <v>T.Tư</v>
      </c>
      <c r="R6" s="174" t="str">
        <f t="shared" si="1"/>
        <v>T.Năm</v>
      </c>
      <c r="S6" s="174" t="str">
        <f t="shared" si="1"/>
        <v>T.Sáu</v>
      </c>
      <c r="T6" s="174" t="str">
        <f t="shared" si="1"/>
        <v>T.Bảy</v>
      </c>
      <c r="U6" s="174" t="str">
        <f t="shared" si="1"/>
        <v>C.Nhật</v>
      </c>
      <c r="V6" s="174" t="str">
        <f t="shared" si="1"/>
        <v>T.Hai</v>
      </c>
      <c r="W6" s="174" t="str">
        <f t="shared" si="1"/>
        <v>T.Ba</v>
      </c>
      <c r="X6" s="174" t="str">
        <f t="shared" si="1"/>
        <v>T.Tư</v>
      </c>
      <c r="Y6" s="174" t="str">
        <f t="shared" si="1"/>
        <v>T.Năm</v>
      </c>
      <c r="Z6" s="174" t="str">
        <f t="shared" si="1"/>
        <v>T.Sáu</v>
      </c>
      <c r="AA6" s="174" t="str">
        <f t="shared" si="1"/>
        <v>T.Bảy</v>
      </c>
      <c r="AB6" s="174" t="str">
        <f t="shared" si="1"/>
        <v>C.Nhật</v>
      </c>
      <c r="AC6" s="174" t="str">
        <f t="shared" si="1"/>
        <v>T.Hai</v>
      </c>
      <c r="AD6" s="174" t="str">
        <f t="shared" si="1"/>
        <v>T.Ba</v>
      </c>
      <c r="AE6" s="174" t="str">
        <f t="shared" si="1"/>
        <v>T.Tư</v>
      </c>
      <c r="AF6" s="174" t="str">
        <f t="shared" si="1"/>
        <v>T.Năm</v>
      </c>
      <c r="AG6" s="174" t="str">
        <f t="shared" si="1"/>
        <v>T.Sáu</v>
      </c>
      <c r="AH6" s="174" t="str">
        <f t="shared" si="1"/>
        <v>T.Bảy</v>
      </c>
      <c r="AI6" s="174" t="str">
        <f t="shared" si="1"/>
        <v>C.Nhật</v>
      </c>
      <c r="AJ6" s="174" t="str">
        <f t="shared" si="1"/>
        <v>T.Hai</v>
      </c>
      <c r="AK6" s="175" t="s">
        <v>16</v>
      </c>
      <c r="AL6" s="175" t="s">
        <v>31</v>
      </c>
      <c r="AM6" s="176" t="s">
        <v>17</v>
      </c>
      <c r="AN6" s="256"/>
      <c r="AO6" s="256"/>
      <c r="AP6" s="256"/>
      <c r="AQ6" s="256"/>
      <c r="AR6" s="256"/>
      <c r="AS6" s="258"/>
      <c r="AT6" s="25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7">
        <v>1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  <c r="L7" s="177">
        <v>11</v>
      </c>
      <c r="M7" s="177">
        <v>12</v>
      </c>
      <c r="N7" s="177">
        <v>13</v>
      </c>
      <c r="O7" s="177">
        <v>14</v>
      </c>
      <c r="P7" s="177">
        <v>15</v>
      </c>
      <c r="Q7" s="177">
        <v>16</v>
      </c>
      <c r="R7" s="177">
        <v>17</v>
      </c>
      <c r="S7" s="177">
        <v>18</v>
      </c>
      <c r="T7" s="177">
        <v>19</v>
      </c>
      <c r="U7" s="177">
        <v>20</v>
      </c>
      <c r="V7" s="177">
        <v>21</v>
      </c>
      <c r="W7" s="177">
        <v>22</v>
      </c>
      <c r="X7" s="177">
        <v>23</v>
      </c>
      <c r="Y7" s="177">
        <v>24</v>
      </c>
      <c r="Z7" s="177">
        <v>25</v>
      </c>
      <c r="AA7" s="177">
        <v>26</v>
      </c>
      <c r="AB7" s="177">
        <v>27</v>
      </c>
      <c r="AC7" s="177">
        <v>28</v>
      </c>
      <c r="AD7" s="177">
        <v>29</v>
      </c>
      <c r="AE7" s="177">
        <v>30</v>
      </c>
      <c r="AF7" s="177">
        <v>31</v>
      </c>
      <c r="AG7" s="177">
        <v>32</v>
      </c>
      <c r="AH7" s="177">
        <v>33</v>
      </c>
      <c r="AI7" s="177">
        <v>34</v>
      </c>
      <c r="AJ7" s="177">
        <v>35</v>
      </c>
      <c r="AK7" s="177">
        <v>36</v>
      </c>
      <c r="AL7" s="177">
        <v>37</v>
      </c>
      <c r="AM7" s="177">
        <v>38</v>
      </c>
      <c r="AN7" s="177">
        <v>39</v>
      </c>
      <c r="AO7" s="177">
        <v>40</v>
      </c>
      <c r="AP7" s="177">
        <v>41</v>
      </c>
      <c r="AQ7" s="177">
        <v>42</v>
      </c>
      <c r="AR7" s="177">
        <v>43</v>
      </c>
      <c r="AS7" s="177">
        <v>44</v>
      </c>
      <c r="AT7" s="21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0" customFormat="1" ht="21" customHeight="1">
      <c r="A8" s="178" t="s">
        <v>155</v>
      </c>
      <c r="B8" s="181" t="s">
        <v>186</v>
      </c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3"/>
      <c r="AT8" s="179"/>
    </row>
    <row r="9" spans="1:91" s="67" customFormat="1" ht="18" customHeight="1">
      <c r="A9" s="247">
        <v>1</v>
      </c>
      <c r="B9" s="247" t="s">
        <v>161</v>
      </c>
      <c r="C9" s="249" t="str">
        <f>VLOOKUP(B9,DS,2,0)</f>
        <v>Lê Thị Dung</v>
      </c>
      <c r="D9" s="251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>
        <v>8</v>
      </c>
      <c r="AK9" s="253">
        <f>((SUM(F9:AJ9))/8)-(SUMIF($F$6:$AJ$6,"C.Nhật",F9:AJ9)/8)</f>
        <v>26</v>
      </c>
      <c r="AL9" s="253">
        <f>SUM(F10:AJ10)/8*1.5</f>
        <v>0</v>
      </c>
      <c r="AM9" s="241">
        <f>SUMIF($F$6:$AJ$6,"C.Nhật",$F9:$AJ10)/8*2</f>
        <v>0</v>
      </c>
      <c r="AN9" s="243">
        <f>SUM(AK9:AM10)</f>
        <v>26</v>
      </c>
      <c r="AO9" s="245">
        <v>0</v>
      </c>
      <c r="AP9" s="243"/>
      <c r="AQ9" s="243"/>
      <c r="AR9" s="243"/>
      <c r="AS9" s="239"/>
      <c r="AT9" s="21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8"/>
      <c r="B10" s="248"/>
      <c r="C10" s="250"/>
      <c r="D10" s="252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4"/>
      <c r="AL10" s="254"/>
      <c r="AM10" s="242"/>
      <c r="AN10" s="244"/>
      <c r="AO10" s="246"/>
      <c r="AP10" s="244"/>
      <c r="AQ10" s="244"/>
      <c r="AR10" s="244"/>
      <c r="AS10" s="240"/>
      <c r="AT10" s="21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7">
        <v>2</v>
      </c>
      <c r="B11" s="247" t="s">
        <v>162</v>
      </c>
      <c r="C11" s="249" t="str">
        <f>VLOOKUP(B11,DS,2,0)</f>
        <v>Phan Văn Hiền</v>
      </c>
      <c r="D11" s="251" t="str">
        <f>VLOOKUP(B11,DS,3,0)</f>
        <v>Quản Đốc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>
        <v>8</v>
      </c>
      <c r="AK11" s="253">
        <f t="shared" ref="AK11" si="2">((SUM(F11:AJ11))/8)-(SUMIF($F$6:$AJ$6,"C.Nhật",F11:AJ11)/8)</f>
        <v>26</v>
      </c>
      <c r="AL11" s="253">
        <f t="shared" ref="AL11" si="3">SUM(F12:AJ12)/8*1.5</f>
        <v>0</v>
      </c>
      <c r="AM11" s="241">
        <f t="shared" ref="AM11:AM13" si="4">SUMIF($F$6:$AJ$6,"C.Nhật",$F11:$AJ12)/8*2</f>
        <v>0</v>
      </c>
      <c r="AN11" s="243">
        <f t="shared" ref="AN11" si="5">SUM(AK11:AM12)</f>
        <v>26</v>
      </c>
      <c r="AO11" s="245">
        <v>0</v>
      </c>
      <c r="AP11" s="243"/>
      <c r="AQ11" s="243"/>
      <c r="AR11" s="243"/>
      <c r="AS11" s="239"/>
      <c r="AT11" s="21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8"/>
      <c r="B12" s="248"/>
      <c r="C12" s="250"/>
      <c r="D12" s="252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4"/>
      <c r="AL12" s="254"/>
      <c r="AM12" s="242"/>
      <c r="AN12" s="244"/>
      <c r="AO12" s="246"/>
      <c r="AP12" s="244"/>
      <c r="AQ12" s="244"/>
      <c r="AR12" s="244"/>
      <c r="AS12" s="240"/>
      <c r="AT12" s="21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7">
        <v>3</v>
      </c>
      <c r="B13" s="247" t="s">
        <v>183</v>
      </c>
      <c r="C13" s="249" t="str">
        <f>VLOOKUP(B13,DS,2,0)</f>
        <v>Nguyễn Thị Thu Sương</v>
      </c>
      <c r="D13" s="251" t="str">
        <f>VLOOKUP(B13,DS,3,0)</f>
        <v>Kinh Doanh</v>
      </c>
      <c r="E13" s="68" t="s">
        <v>32</v>
      </c>
      <c r="F13" s="143">
        <v>8</v>
      </c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/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/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/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/>
      <c r="AJ13" s="143">
        <v>8</v>
      </c>
      <c r="AK13" s="253">
        <f t="shared" ref="AK13" si="6">((SUM(F13:AJ13))/8)-(SUMIF($F$6:$AJ$6,"C.Nhật",F13:AJ13)/8)</f>
        <v>26</v>
      </c>
      <c r="AL13" s="253">
        <f t="shared" ref="AL13" si="7">SUM(F14:AJ14)/8*1.5</f>
        <v>0</v>
      </c>
      <c r="AM13" s="241">
        <f t="shared" si="4"/>
        <v>0</v>
      </c>
      <c r="AN13" s="243">
        <f t="shared" ref="AN13" si="8">SUM(AK13:AM14)</f>
        <v>26</v>
      </c>
      <c r="AO13" s="245">
        <v>0</v>
      </c>
      <c r="AP13" s="243"/>
      <c r="AQ13" s="243"/>
      <c r="AR13" s="243"/>
      <c r="AS13" s="239"/>
      <c r="AT13" s="219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8"/>
      <c r="B14" s="248"/>
      <c r="C14" s="250"/>
      <c r="D14" s="252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54"/>
      <c r="AL14" s="254"/>
      <c r="AM14" s="242"/>
      <c r="AN14" s="244"/>
      <c r="AO14" s="246"/>
      <c r="AP14" s="244"/>
      <c r="AQ14" s="244"/>
      <c r="AR14" s="244"/>
      <c r="AS14" s="240"/>
      <c r="AT14" s="219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0" customFormat="1" ht="21" customHeight="1">
      <c r="A15" s="178" t="s">
        <v>156</v>
      </c>
      <c r="B15" s="181" t="s">
        <v>160</v>
      </c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3"/>
      <c r="AT15" s="179"/>
    </row>
    <row r="16" spans="1:91" s="67" customFormat="1" ht="18" customHeight="1">
      <c r="A16" s="247">
        <v>1</v>
      </c>
      <c r="B16" s="247" t="s">
        <v>163</v>
      </c>
      <c r="C16" s="249" t="str">
        <f>VLOOKUP(B16,DS,2,0)</f>
        <v>Nguyễn Trường Giang</v>
      </c>
      <c r="D16" s="251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>
        <v>8</v>
      </c>
      <c r="AK16" s="253">
        <f t="shared" ref="AK16" si="9">((SUM(F16:AJ16))/8)-(SUMIF($F$6:$AJ$6,"C.Nhật",F16:AJ16)/8)</f>
        <v>26</v>
      </c>
      <c r="AL16" s="253">
        <f t="shared" ref="AL16" si="10">SUM(F17:AJ17)/8*1.5</f>
        <v>0</v>
      </c>
      <c r="AM16" s="241">
        <f>SUMIF($F$6:$AJ$6,"C.Nhật",$F16:$AJ17)/8*2</f>
        <v>0</v>
      </c>
      <c r="AN16" s="243">
        <f>SUM(AK16:AM17)</f>
        <v>26</v>
      </c>
      <c r="AO16" s="245">
        <v>0</v>
      </c>
      <c r="AP16" s="243"/>
      <c r="AQ16" s="243"/>
      <c r="AR16" s="243"/>
      <c r="AS16" s="239"/>
      <c r="AT16" s="22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8"/>
      <c r="B17" s="248"/>
      <c r="C17" s="250"/>
      <c r="D17" s="252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4"/>
      <c r="AL17" s="254"/>
      <c r="AM17" s="242"/>
      <c r="AN17" s="244"/>
      <c r="AO17" s="246"/>
      <c r="AP17" s="244"/>
      <c r="AQ17" s="244"/>
      <c r="AR17" s="244"/>
      <c r="AS17" s="240"/>
      <c r="AT17" s="22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7">
        <v>2</v>
      </c>
      <c r="B18" s="247" t="s">
        <v>164</v>
      </c>
      <c r="C18" s="249" t="str">
        <f>VLOOKUP(B18,DS,2,0)</f>
        <v>Đoàn Hồng Phong</v>
      </c>
      <c r="D18" s="251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>
        <v>8</v>
      </c>
      <c r="AK18" s="253">
        <f t="shared" ref="AK18" si="11">((SUM(F18:AJ18))/8)-(SUMIF($F$6:$AJ$6,"C.Nhật",F18:AJ18)/8)</f>
        <v>26</v>
      </c>
      <c r="AL18" s="253">
        <f t="shared" ref="AL18" si="12">SUM(F19:AJ19)/8*1.5</f>
        <v>0</v>
      </c>
      <c r="AM18" s="241">
        <f>SUMIF($F$6:$AJ$6,"C.Nhật",$F18:$AJ19)/8*2</f>
        <v>0</v>
      </c>
      <c r="AN18" s="243">
        <f t="shared" ref="AN18" si="13">SUM(AK18:AM19)</f>
        <v>26</v>
      </c>
      <c r="AO18" s="245">
        <v>0</v>
      </c>
      <c r="AP18" s="243"/>
      <c r="AQ18" s="243"/>
      <c r="AR18" s="243"/>
      <c r="AS18" s="239"/>
      <c r="AT18" s="22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8"/>
      <c r="B19" s="248"/>
      <c r="C19" s="250"/>
      <c r="D19" s="252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4"/>
      <c r="AL19" s="254"/>
      <c r="AM19" s="242"/>
      <c r="AN19" s="244"/>
      <c r="AO19" s="246"/>
      <c r="AP19" s="244"/>
      <c r="AQ19" s="244"/>
      <c r="AR19" s="244"/>
      <c r="AS19" s="240"/>
      <c r="AT19" s="22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7">
        <v>3</v>
      </c>
      <c r="B20" s="247" t="s">
        <v>165</v>
      </c>
      <c r="C20" s="249" t="str">
        <f>VLOOKUP(B20,DS,2,0)</f>
        <v>Trần Hữu Tình</v>
      </c>
      <c r="D20" s="251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>
        <v>8</v>
      </c>
      <c r="AK20" s="253">
        <f t="shared" ref="AK20" si="14">((SUM(F20:AJ20))/8)-(SUMIF($F$6:$AJ$6,"C.Nhật",F20:AJ20)/8)</f>
        <v>26</v>
      </c>
      <c r="AL20" s="253">
        <f t="shared" ref="AL20" si="15">SUM(F21:AJ21)/8*1.5</f>
        <v>0</v>
      </c>
      <c r="AM20" s="241">
        <f>SUMIF($F$6:$AJ$6,"C.Nhật",$F20:$AJ21)/8*2</f>
        <v>0</v>
      </c>
      <c r="AN20" s="243">
        <f t="shared" ref="AN20" si="16">SUM(AK20:AM21)</f>
        <v>26</v>
      </c>
      <c r="AO20" s="245">
        <v>0</v>
      </c>
      <c r="AP20" s="243"/>
      <c r="AQ20" s="243"/>
      <c r="AR20" s="243"/>
      <c r="AS20" s="239"/>
      <c r="AT20" s="22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8"/>
      <c r="B21" s="248"/>
      <c r="C21" s="250"/>
      <c r="D21" s="252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4"/>
      <c r="AL21" s="254"/>
      <c r="AM21" s="242"/>
      <c r="AN21" s="244"/>
      <c r="AO21" s="246"/>
      <c r="AP21" s="244"/>
      <c r="AQ21" s="244"/>
      <c r="AR21" s="244"/>
      <c r="AS21" s="240"/>
      <c r="AT21" s="22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7">
        <v>4</v>
      </c>
      <c r="B22" s="247" t="s">
        <v>166</v>
      </c>
      <c r="C22" s="249" t="str">
        <f>VLOOKUP(B22,DS,2,0)</f>
        <v>Trương Văn Thành</v>
      </c>
      <c r="D22" s="251" t="str">
        <f>VLOOKUP(B22,DS,3,0)</f>
        <v>Công nhân</v>
      </c>
      <c r="E22" s="68" t="s">
        <v>32</v>
      </c>
      <c r="F22" s="143">
        <v>8</v>
      </c>
      <c r="G22" s="143"/>
      <c r="H22" s="143">
        <v>8</v>
      </c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/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/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/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/>
      <c r="AJ22" s="143">
        <v>8</v>
      </c>
      <c r="AK22" s="253">
        <f t="shared" ref="AK22" si="17">((SUM(F22:AJ22))/8)-(SUMIF($F$6:$AJ$6,"C.Nhật",F22:AJ22)/8)</f>
        <v>26</v>
      </c>
      <c r="AL22" s="253">
        <f t="shared" ref="AL22" si="18">SUM(F23:AJ23)/8*1.5</f>
        <v>0</v>
      </c>
      <c r="AM22" s="241">
        <f>SUMIF($F$6:$AJ$6,"C.Nhật",$F22:$AJ23)/8*2</f>
        <v>0</v>
      </c>
      <c r="AN22" s="243">
        <f>SUM(AK22:AM23)</f>
        <v>26</v>
      </c>
      <c r="AO22" s="245">
        <v>0</v>
      </c>
      <c r="AP22" s="243"/>
      <c r="AQ22" s="243"/>
      <c r="AR22" s="243"/>
      <c r="AS22" s="239"/>
      <c r="AT22" s="21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8"/>
      <c r="B23" s="248"/>
      <c r="C23" s="250"/>
      <c r="D23" s="252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4"/>
      <c r="AL23" s="254"/>
      <c r="AM23" s="242"/>
      <c r="AN23" s="244"/>
      <c r="AO23" s="246"/>
      <c r="AP23" s="244"/>
      <c r="AQ23" s="244"/>
      <c r="AR23" s="244"/>
      <c r="AS23" s="240"/>
      <c r="AT23" s="21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47">
        <v>5</v>
      </c>
      <c r="B24" s="247" t="s">
        <v>167</v>
      </c>
      <c r="C24" s="249" t="str">
        <f>VLOOKUP(B24,DS,2,0)</f>
        <v>Trần Thị Ngọc Anh</v>
      </c>
      <c r="D24" s="251" t="str">
        <f>VLOOKUP(B24,DS,3,0)</f>
        <v>Công nhân</v>
      </c>
      <c r="E24" s="68" t="s">
        <v>32</v>
      </c>
      <c r="F24" s="143">
        <v>8</v>
      </c>
      <c r="G24" s="143"/>
      <c r="H24" s="143">
        <v>8</v>
      </c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/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/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/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/>
      <c r="AJ24" s="143">
        <v>8</v>
      </c>
      <c r="AK24" s="253">
        <f t="shared" ref="AK24" si="19">((SUM(F24:AJ24))/8)-(SUMIF($F$6:$AJ$6,"C.Nhật",F24:AJ24)/8)</f>
        <v>26</v>
      </c>
      <c r="AL24" s="253">
        <f t="shared" ref="AL24" si="20">SUM(F25:AJ25)/8*1.5</f>
        <v>0</v>
      </c>
      <c r="AM24" s="241">
        <f>SUMIF($F$6:$AJ$6,"C.Nhật",$F24:$AJ25)/8*2</f>
        <v>0</v>
      </c>
      <c r="AN24" s="243">
        <f t="shared" ref="AN24" si="21">SUM(AK24:AM25)</f>
        <v>26</v>
      </c>
      <c r="AO24" s="245">
        <v>0</v>
      </c>
      <c r="AP24" s="243"/>
      <c r="AQ24" s="243"/>
      <c r="AR24" s="243"/>
      <c r="AS24" s="239"/>
      <c r="AT24" s="21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48"/>
      <c r="B25" s="248"/>
      <c r="C25" s="250"/>
      <c r="D25" s="252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54"/>
      <c r="AL25" s="254"/>
      <c r="AM25" s="242"/>
      <c r="AN25" s="244"/>
      <c r="AO25" s="246"/>
      <c r="AP25" s="244"/>
      <c r="AQ25" s="244"/>
      <c r="AR25" s="244"/>
      <c r="AS25" s="240"/>
      <c r="AT25" s="21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47">
        <v>6</v>
      </c>
      <c r="B26" s="247" t="s">
        <v>168</v>
      </c>
      <c r="C26" s="249" t="str">
        <f>VLOOKUP(B26,DS,2,0)</f>
        <v>Nguyễn Minh Vương</v>
      </c>
      <c r="D26" s="251" t="str">
        <f>VLOOKUP(B26,DS,3,0)</f>
        <v>Công nhân</v>
      </c>
      <c r="E26" s="68" t="s">
        <v>32</v>
      </c>
      <c r="F26" s="143">
        <v>8</v>
      </c>
      <c r="G26" s="143"/>
      <c r="H26" s="143">
        <v>8</v>
      </c>
      <c r="I26" s="143">
        <v>8</v>
      </c>
      <c r="J26" s="143">
        <v>8</v>
      </c>
      <c r="K26" s="143">
        <v>8</v>
      </c>
      <c r="L26" s="143">
        <v>8</v>
      </c>
      <c r="M26" s="143">
        <v>8</v>
      </c>
      <c r="N26" s="143"/>
      <c r="O26" s="143">
        <v>8</v>
      </c>
      <c r="P26" s="143">
        <v>8</v>
      </c>
      <c r="Q26" s="143">
        <v>8</v>
      </c>
      <c r="R26" s="143">
        <v>8</v>
      </c>
      <c r="S26" s="143">
        <v>8</v>
      </c>
      <c r="T26" s="143">
        <v>8</v>
      </c>
      <c r="U26" s="143"/>
      <c r="V26" s="143">
        <v>8</v>
      </c>
      <c r="W26" s="143">
        <v>8</v>
      </c>
      <c r="X26" s="143">
        <v>8</v>
      </c>
      <c r="Y26" s="143">
        <v>8</v>
      </c>
      <c r="Z26" s="143">
        <v>8</v>
      </c>
      <c r="AA26" s="143">
        <v>8</v>
      </c>
      <c r="AB26" s="143"/>
      <c r="AC26" s="143">
        <v>8</v>
      </c>
      <c r="AD26" s="143">
        <v>8</v>
      </c>
      <c r="AE26" s="143">
        <v>8</v>
      </c>
      <c r="AF26" s="143">
        <v>8</v>
      </c>
      <c r="AG26" s="143">
        <v>8</v>
      </c>
      <c r="AH26" s="143">
        <v>8</v>
      </c>
      <c r="AI26" s="143"/>
      <c r="AJ26" s="143">
        <v>8</v>
      </c>
      <c r="AK26" s="253">
        <f t="shared" ref="AK26" si="22">((SUM(F26:AJ26))/8)-(SUMIF($F$6:$AJ$6,"C.Nhật",F26:AJ26)/8)</f>
        <v>26</v>
      </c>
      <c r="AL26" s="253">
        <f t="shared" ref="AL26" si="23">SUM(F27:AJ27)/8*1.5</f>
        <v>0</v>
      </c>
      <c r="AM26" s="241">
        <f>SUMIF($F$6:$AJ$6,"C.Nhật",$F26:$AJ27)/8*2</f>
        <v>0</v>
      </c>
      <c r="AN26" s="243">
        <f t="shared" ref="AN26" si="24">SUM(AK26:AM27)</f>
        <v>26</v>
      </c>
      <c r="AO26" s="245">
        <v>0</v>
      </c>
      <c r="AP26" s="243"/>
      <c r="AQ26" s="243"/>
      <c r="AR26" s="243"/>
      <c r="AS26" s="239"/>
      <c r="AT26" s="21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48"/>
      <c r="B27" s="248"/>
      <c r="C27" s="250"/>
      <c r="D27" s="252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54"/>
      <c r="AL27" s="254"/>
      <c r="AM27" s="242"/>
      <c r="AN27" s="244"/>
      <c r="AO27" s="246"/>
      <c r="AP27" s="244"/>
      <c r="AQ27" s="244"/>
      <c r="AR27" s="244"/>
      <c r="AS27" s="240"/>
      <c r="AT27" s="21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91" s="73" customFormat="1" ht="12.75">
      <c r="A35" s="2"/>
      <c r="B35" s="2" t="s">
        <v>0</v>
      </c>
      <c r="C35" s="2"/>
      <c r="D35" s="214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91" s="73" customFormat="1" ht="12.75">
      <c r="A36" s="2"/>
      <c r="B36" s="2"/>
      <c r="C36" s="2" t="s">
        <v>46</v>
      </c>
      <c r="D36" s="214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14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124"/>
      <c r="AK39" s="2"/>
      <c r="AL39" s="2"/>
      <c r="AM39" s="10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14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124"/>
      <c r="AK40" s="2"/>
      <c r="AL40" s="2"/>
      <c r="AM40" s="10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14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4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4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4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R26:AR27"/>
    <mergeCell ref="AS26:AS27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M26:AM27"/>
    <mergeCell ref="AN26:AN27"/>
    <mergeCell ref="AO26:AO27"/>
    <mergeCell ref="AP26:AP27"/>
    <mergeCell ref="AQ26:AQ27"/>
    <mergeCell ref="A26:A27"/>
    <mergeCell ref="B26:B27"/>
    <mergeCell ref="C26:C27"/>
    <mergeCell ref="D26:D27"/>
    <mergeCell ref="AK26:AK27"/>
    <mergeCell ref="AL26:AL27"/>
    <mergeCell ref="AR22:AR23"/>
    <mergeCell ref="AS22:AS23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O22:AO23"/>
    <mergeCell ref="A22:A23"/>
    <mergeCell ref="B22:B23"/>
    <mergeCell ref="AS24:AS25"/>
    <mergeCell ref="AM24:AM25"/>
    <mergeCell ref="AN24:AN25"/>
    <mergeCell ref="AO24:AO25"/>
    <mergeCell ref="AP24:AP25"/>
    <mergeCell ref="AQ24:AQ25"/>
    <mergeCell ref="AR24:AR25"/>
    <mergeCell ref="AL11:AL12"/>
    <mergeCell ref="AM11:AM12"/>
    <mergeCell ref="AN11:AN12"/>
    <mergeCell ref="AO11:AO12"/>
    <mergeCell ref="C22:C23"/>
    <mergeCell ref="D22:D23"/>
    <mergeCell ref="AK22:AK23"/>
    <mergeCell ref="AP11:AP12"/>
    <mergeCell ref="AQ11:AQ12"/>
    <mergeCell ref="AL16:AL17"/>
    <mergeCell ref="AM16:AM17"/>
    <mergeCell ref="AN16:AN17"/>
    <mergeCell ref="AO16:AO17"/>
    <mergeCell ref="AP16:AP17"/>
    <mergeCell ref="AQ16:AQ17"/>
    <mergeCell ref="AL20:AL21"/>
    <mergeCell ref="AM20:AM21"/>
    <mergeCell ref="AN20:AN21"/>
    <mergeCell ref="AO20:AO21"/>
    <mergeCell ref="AP20:AP21"/>
    <mergeCell ref="AP22:AP23"/>
    <mergeCell ref="AQ22:AQ2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B16:B17"/>
    <mergeCell ref="C16:C17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R11:AR12"/>
    <mergeCell ref="AS11:AS12"/>
    <mergeCell ref="AQ20:AQ21"/>
    <mergeCell ref="AR20:AR21"/>
    <mergeCell ref="AS20:AS21"/>
    <mergeCell ref="A20:A21"/>
    <mergeCell ref="B20:B21"/>
    <mergeCell ref="C20:C21"/>
    <mergeCell ref="D20:D21"/>
    <mergeCell ref="AK20:AK21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16:A17"/>
  </mergeCells>
  <conditionalFormatting sqref="F5:AJ6 F9:AJ14">
    <cfRule type="expression" dxfId="5" priority="28" stopIfTrue="1">
      <formula>IF(WEEKDAY(F$5)=1,TRUE,FALSE)</formula>
    </cfRule>
  </conditionalFormatting>
  <conditionalFormatting sqref="F9:AJ14">
    <cfRule type="expression" dxfId="4" priority="27" stopIfTrue="1">
      <formula>IF(WEEKDAY(F$5)=1,TRUE,FALSE)</formula>
    </cfRule>
  </conditionalFormatting>
  <conditionalFormatting sqref="F16:AJ21">
    <cfRule type="expression" dxfId="3" priority="4" stopIfTrue="1">
      <formula>IF(WEEKDAY(F$5)=1,TRUE,FALSE)</formula>
    </cfRule>
  </conditionalFormatting>
  <conditionalFormatting sqref="F16:AJ21">
    <cfRule type="expression" dxfId="2" priority="3" stopIfTrue="1">
      <formula>IF(WEEKDAY(F$5)=1,TRUE,FALSE)</formula>
    </cfRule>
  </conditionalFormatting>
  <conditionalFormatting sqref="F22:AJ27">
    <cfRule type="expression" dxfId="1" priority="2" stopIfTrue="1">
      <formula>IF(WEEKDAY(F$5)=1,TRUE,FALSE)</formula>
    </cfRule>
  </conditionalFormatting>
  <conditionalFormatting sqref="F22:AJ27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7"/>
      <c r="C1" s="217"/>
      <c r="D1" s="277" t="str">
        <f>"BẢNG THANH TOÁN LƯƠNG THÁNG"&amp;" "&amp;TEXT($E$4,"mm")&amp;" / "&amp;TEXT($E$4,"yyyy")</f>
        <v>BẢNG THANH TOÁN LƯƠNG THÁNG 12 / 2012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8"/>
      <c r="R1" s="279" t="s">
        <v>185</v>
      </c>
      <c r="S1" s="280"/>
      <c r="T1" s="28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7"/>
      <c r="C2" s="217"/>
      <c r="D2" s="217"/>
      <c r="E2" s="81"/>
      <c r="F2" s="217"/>
      <c r="G2" s="217"/>
      <c r="H2" s="217"/>
      <c r="I2" s="217"/>
      <c r="J2" s="82"/>
      <c r="K2" s="217"/>
      <c r="L2" s="217"/>
      <c r="M2" s="217"/>
      <c r="N2" s="217"/>
      <c r="O2" s="217"/>
      <c r="P2" s="217"/>
      <c r="Q2" s="217"/>
      <c r="R2" s="217"/>
      <c r="S2" s="217"/>
      <c r="T2" s="59"/>
      <c r="U2" s="80">
        <f>MAX(F10:F23)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7"/>
      <c r="C3" s="217"/>
      <c r="D3" s="217"/>
      <c r="E3" s="81"/>
      <c r="F3" s="217"/>
      <c r="G3" s="217"/>
      <c r="H3" s="217"/>
      <c r="I3" s="217"/>
      <c r="J3" s="82"/>
      <c r="K3" s="217"/>
      <c r="L3" s="217"/>
      <c r="M3" s="217"/>
      <c r="N3" s="217"/>
      <c r="O3" s="217"/>
      <c r="P3" s="217"/>
      <c r="Q3" s="217"/>
      <c r="R3" s="217"/>
      <c r="S3" s="21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89">
        <f>'CC -12'!$E$4</f>
        <v>41244</v>
      </c>
      <c r="F4" s="104"/>
      <c r="G4" s="104"/>
      <c r="H4" s="104"/>
      <c r="I4" s="104"/>
      <c r="J4" s="104"/>
      <c r="K4" s="104"/>
      <c r="L4" s="104"/>
      <c r="M4" s="104"/>
      <c r="N4" s="162">
        <v>0.08</v>
      </c>
      <c r="O4" s="162">
        <v>1.4999999999999999E-2</v>
      </c>
      <c r="P4" s="16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2" t="s">
        <v>19</v>
      </c>
      <c r="B5" s="282" t="s">
        <v>20</v>
      </c>
      <c r="C5" s="232" t="s">
        <v>1</v>
      </c>
      <c r="D5" s="232" t="s">
        <v>2</v>
      </c>
      <c r="E5" s="227" t="s">
        <v>56</v>
      </c>
      <c r="F5" s="270" t="s">
        <v>26</v>
      </c>
      <c r="G5" s="272"/>
      <c r="H5" s="272"/>
      <c r="I5" s="272"/>
      <c r="J5" s="272"/>
      <c r="K5" s="271"/>
      <c r="L5" s="267" t="s">
        <v>57</v>
      </c>
      <c r="M5" s="267" t="s">
        <v>5</v>
      </c>
      <c r="N5" s="232" t="s">
        <v>6</v>
      </c>
      <c r="O5" s="232"/>
      <c r="P5" s="232"/>
      <c r="Q5" s="267" t="s">
        <v>7</v>
      </c>
      <c r="R5" s="267" t="s">
        <v>8</v>
      </c>
      <c r="S5" s="267" t="s">
        <v>9</v>
      </c>
      <c r="T5" s="22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3"/>
      <c r="B6" s="283"/>
      <c r="C6" s="232"/>
      <c r="D6" s="232"/>
      <c r="E6" s="227"/>
      <c r="F6" s="270" t="s">
        <v>59</v>
      </c>
      <c r="G6" s="271"/>
      <c r="H6" s="270" t="s">
        <v>158</v>
      </c>
      <c r="I6" s="272"/>
      <c r="J6" s="273" t="s">
        <v>27</v>
      </c>
      <c r="K6" s="267" t="s">
        <v>4</v>
      </c>
      <c r="L6" s="268"/>
      <c r="M6" s="268"/>
      <c r="N6" s="275" t="s">
        <v>12</v>
      </c>
      <c r="O6" s="267" t="s">
        <v>13</v>
      </c>
      <c r="P6" s="267" t="s">
        <v>34</v>
      </c>
      <c r="Q6" s="268"/>
      <c r="R6" s="268"/>
      <c r="S6" s="268"/>
      <c r="T6" s="22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3"/>
      <c r="B7" s="283"/>
      <c r="C7" s="267"/>
      <c r="D7" s="267"/>
      <c r="E7" s="227"/>
      <c r="F7" s="218" t="s">
        <v>40</v>
      </c>
      <c r="G7" s="215" t="s">
        <v>18</v>
      </c>
      <c r="H7" s="218" t="s">
        <v>40</v>
      </c>
      <c r="I7" s="128" t="s">
        <v>18</v>
      </c>
      <c r="J7" s="274"/>
      <c r="K7" s="268"/>
      <c r="L7" s="284"/>
      <c r="M7" s="284"/>
      <c r="N7" s="276"/>
      <c r="O7" s="268"/>
      <c r="P7" s="268"/>
      <c r="Q7" s="268"/>
      <c r="R7" s="268"/>
      <c r="S7" s="268"/>
      <c r="T7" s="22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8" t="s">
        <v>155</v>
      </c>
      <c r="B9" s="187" t="s">
        <v>186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3500000</v>
      </c>
      <c r="F10" s="92">
        <f>VLOOKUP(B10,'CC -12'!$B$8:$AS$27,36,0)</f>
        <v>26</v>
      </c>
      <c r="G10" s="145">
        <f t="shared" ref="G10:G11" si="3">ROUND(E10/$U$2*F10,0)</f>
        <v>3500000</v>
      </c>
      <c r="H10" s="92">
        <f>(VLOOKUP(B10,'CC -12'!$B$8:$AS$27,37,0)+VLOOKUP(B10,'CC -12'!$B$8:$AS$27,38,0))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3500000</v>
      </c>
      <c r="L10" s="90">
        <f t="shared" ref="L10:L11" si="6">+F10*15000</f>
        <v>390000</v>
      </c>
      <c r="M10" s="40">
        <f t="shared" ref="M10:M11" si="7">K10+L10</f>
        <v>3890000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3890000</v>
      </c>
      <c r="R10" s="39">
        <f>VLOOKUP(B10,DS,23,0)</f>
        <v>0</v>
      </c>
      <c r="S10" s="45">
        <f t="shared" ref="S10:S11" si="9">Q10-R10</f>
        <v>3890000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2500000</v>
      </c>
      <c r="F11" s="92">
        <f>VLOOKUP(B11,'CC -12'!$B$8:$AS$27,36,0)</f>
        <v>26</v>
      </c>
      <c r="G11" s="145">
        <f t="shared" si="3"/>
        <v>2500000</v>
      </c>
      <c r="H11" s="92">
        <f>(VLOOKUP(B11,'CC -12'!$B$8:$AS$27,37,0)+VLOOKUP(B11,'CC -12'!$B$8:$AS$27,38,0))</f>
        <v>0</v>
      </c>
      <c r="I11" s="145">
        <f t="shared" si="4"/>
        <v>0</v>
      </c>
      <c r="J11" s="93">
        <f t="shared" si="5"/>
        <v>26</v>
      </c>
      <c r="K11" s="39">
        <f t="shared" si="5"/>
        <v>2500000</v>
      </c>
      <c r="L11" s="90">
        <f t="shared" si="6"/>
        <v>390000</v>
      </c>
      <c r="M11" s="40">
        <f t="shared" si="7"/>
        <v>2890000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2890000</v>
      </c>
      <c r="R11" s="39">
        <f>VLOOKUP(B11,DS,23,0)</f>
        <v>0</v>
      </c>
      <c r="S11" s="45">
        <f t="shared" si="9"/>
        <v>2890000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ref="C12" si="10">VLOOKUP(B12,DS,2,0)</f>
        <v>Nguyễn Thị Thu Sương</v>
      </c>
      <c r="D12" s="116" t="str">
        <f t="shared" ref="D12" si="11">VLOOKUP(B12,DS,3,0)</f>
        <v>Kinh Doanh</v>
      </c>
      <c r="E12" s="90">
        <f t="shared" ref="E12" si="12">VLOOKUP(B12,DS,4,0)</f>
        <v>2200000</v>
      </c>
      <c r="F12" s="92">
        <f>VLOOKUP(B12,'CC -12'!$B$8:$AS$27,36,0)</f>
        <v>26</v>
      </c>
      <c r="G12" s="145">
        <f t="shared" ref="G12" si="13">ROUND(E12/$U$2*F12,0)</f>
        <v>2200000</v>
      </c>
      <c r="H12" s="92">
        <f>(VLOOKUP(B12,'CC -12'!$B$8:$AS$27,37,0)+VLOOKUP(B12,'CC -12'!$B$8:$AS$27,38,0))</f>
        <v>0</v>
      </c>
      <c r="I12" s="145">
        <f t="shared" ref="I12" si="14">ROUND(E12/$U$2*H12,0)</f>
        <v>0</v>
      </c>
      <c r="J12" s="93">
        <f t="shared" ref="J12" si="15">F12+H12</f>
        <v>26</v>
      </c>
      <c r="K12" s="39">
        <f t="shared" ref="K12" si="16">G12+I12</f>
        <v>2200000</v>
      </c>
      <c r="L12" s="90">
        <f>300000</f>
        <v>300000</v>
      </c>
      <c r="M12" s="40">
        <f t="shared" ref="M12" si="17">K12+L12</f>
        <v>2500000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ref="Q12" si="18">M12-SUM(N12:P12)</f>
        <v>2500000</v>
      </c>
      <c r="R12" s="39">
        <f>VLOOKUP(B12,DS,23,0)</f>
        <v>0</v>
      </c>
      <c r="S12" s="45">
        <f t="shared" ref="S12" si="19">Q12-R12</f>
        <v>2500000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3"/>
      <c r="B13" s="204"/>
      <c r="C13" s="205"/>
      <c r="D13" s="206"/>
      <c r="E13" s="207"/>
      <c r="F13" s="208"/>
      <c r="G13" s="209"/>
      <c r="H13" s="208"/>
      <c r="I13" s="209"/>
      <c r="J13" s="210"/>
      <c r="K13" s="211"/>
      <c r="L13" s="207"/>
      <c r="M13" s="212"/>
      <c r="N13" s="212"/>
      <c r="O13" s="212"/>
      <c r="P13" s="212"/>
      <c r="Q13" s="211"/>
      <c r="R13" s="211"/>
      <c r="S13" s="213"/>
      <c r="T13" s="211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9" t="s">
        <v>25</v>
      </c>
      <c r="B14" s="269"/>
      <c r="C14" s="269"/>
      <c r="D14" s="269"/>
      <c r="E14" s="140">
        <f>SUM(E9:E13)</f>
        <v>8200000</v>
      </c>
      <c r="F14" s="140"/>
      <c r="G14" s="140">
        <f t="shared" ref="G14:S14" si="20">SUM(G9:G13)</f>
        <v>8200000</v>
      </c>
      <c r="H14" s="140"/>
      <c r="I14" s="140">
        <f t="shared" si="20"/>
        <v>0</v>
      </c>
      <c r="J14" s="140"/>
      <c r="K14" s="140">
        <f t="shared" si="20"/>
        <v>8200000</v>
      </c>
      <c r="L14" s="140">
        <f t="shared" si="20"/>
        <v>1080000</v>
      </c>
      <c r="M14" s="140">
        <f t="shared" si="20"/>
        <v>9280000</v>
      </c>
      <c r="N14" s="140">
        <f t="shared" si="20"/>
        <v>0</v>
      </c>
      <c r="O14" s="140">
        <f t="shared" si="20"/>
        <v>0</v>
      </c>
      <c r="P14" s="140">
        <f t="shared" si="20"/>
        <v>0</v>
      </c>
      <c r="Q14" s="140">
        <f t="shared" si="20"/>
        <v>9280000</v>
      </c>
      <c r="R14" s="140">
        <f t="shared" si="20"/>
        <v>0</v>
      </c>
      <c r="S14" s="140">
        <f t="shared" si="20"/>
        <v>9280000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8" t="s">
        <v>156</v>
      </c>
      <c r="B15" s="187" t="s">
        <v>157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21">VLOOKUP(B16,DS,2,0)</f>
        <v>Nguyễn Trường Giang</v>
      </c>
      <c r="D16" s="116" t="str">
        <f t="shared" ref="D16" si="22">VLOOKUP(B16,DS,3,0)</f>
        <v>Thợ in</v>
      </c>
      <c r="E16" s="90">
        <f t="shared" ref="E16" si="23">VLOOKUP(B16,DS,4,0)</f>
        <v>2000000</v>
      </c>
      <c r="F16" s="92">
        <f>VLOOKUP(B16,'CC -12'!$B$8:$AS$27,36,0)</f>
        <v>26</v>
      </c>
      <c r="G16" s="145">
        <f t="shared" ref="G16" si="24">ROUND(E16/$U$2*F16,0)</f>
        <v>2000000</v>
      </c>
      <c r="H16" s="92">
        <f>(VLOOKUP(B16,'CC -12'!$B$8:$AS$27,37,0)+VLOOKUP(B16,'CC -12'!$B$8:$AS$27,38,0))</f>
        <v>0</v>
      </c>
      <c r="I16" s="145">
        <f t="shared" ref="I16" si="25">ROUND(E16/$U$2*H16,0)</f>
        <v>0</v>
      </c>
      <c r="J16" s="146">
        <f t="shared" ref="J16:K16" si="26">F16+H16</f>
        <v>26</v>
      </c>
      <c r="K16" s="39">
        <f t="shared" si="26"/>
        <v>2000000</v>
      </c>
      <c r="L16" s="90">
        <f t="shared" ref="L16" si="27">+F16*15000</f>
        <v>390000</v>
      </c>
      <c r="M16" s="40">
        <f t="shared" ref="M16" si="28">K16+L16</f>
        <v>2390000</v>
      </c>
      <c r="N16" s="40">
        <f>IF(VLOOKUP(B16,DS,9,0)="x",'L - 12'!E16*$N$4,0)</f>
        <v>0</v>
      </c>
      <c r="O16" s="40">
        <f t="shared" ref="O16" si="29">IF(VLOOKUP(B16,DS,9,0)="x",E16*0.015,0)</f>
        <v>0</v>
      </c>
      <c r="P16" s="40">
        <f t="shared" ref="P16" si="30">IF(VLOOKUP(B16,DS,9,0)="x",E16*0.01,0)</f>
        <v>0</v>
      </c>
      <c r="Q16" s="39">
        <f>M16-SUM(N16:P16)</f>
        <v>2390000</v>
      </c>
      <c r="R16" s="39">
        <f t="shared" ref="R16" si="31">VLOOKUP(B16,DS,23,0)</f>
        <v>0</v>
      </c>
      <c r="S16" s="45">
        <f>Q16-R16</f>
        <v>2390000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32">VLOOKUP(B17,DS,2,0)</f>
        <v>Đoàn Hồng Phong</v>
      </c>
      <c r="D17" s="116" t="str">
        <f t="shared" ref="D17:D21" si="33">VLOOKUP(B17,DS,3,0)</f>
        <v>Thợ đóng - xả</v>
      </c>
      <c r="E17" s="90">
        <f t="shared" ref="E17:E21" si="34">VLOOKUP(B17,DS,4,0)</f>
        <v>2000000</v>
      </c>
      <c r="F17" s="92">
        <f>VLOOKUP(B17,'CC -12'!$B$8:$AS$27,36,0)</f>
        <v>26</v>
      </c>
      <c r="G17" s="145">
        <f t="shared" ref="G17:G21" si="35">ROUND(E17/$U$2*F17,0)</f>
        <v>2000000</v>
      </c>
      <c r="H17" s="92">
        <f>(VLOOKUP(B17,'CC -12'!$B$8:$AS$27,37,0)+VLOOKUP(B17,'CC -12'!$B$8:$AS$27,38,0))</f>
        <v>0</v>
      </c>
      <c r="I17" s="145">
        <f t="shared" ref="I17:I21" si="36">ROUND(E17/$U$2*H17,0)</f>
        <v>0</v>
      </c>
      <c r="J17" s="146">
        <f t="shared" ref="J17:J21" si="37">F17+H17</f>
        <v>26</v>
      </c>
      <c r="K17" s="39">
        <f t="shared" ref="K17:K21" si="38">G17+I17</f>
        <v>2000000</v>
      </c>
      <c r="L17" s="90">
        <f t="shared" ref="L17:L21" si="39">+F17*15000</f>
        <v>390000</v>
      </c>
      <c r="M17" s="40">
        <f t="shared" ref="M17:M21" si="40">K17+L17</f>
        <v>2390000</v>
      </c>
      <c r="N17" s="40">
        <f>IF(VLOOKUP(B17,DS,9,0)="x",'L - 12'!E17*$N$4,0)</f>
        <v>0</v>
      </c>
      <c r="O17" s="40">
        <f t="shared" ref="O17:O21" si="41">IF(VLOOKUP(B17,DS,9,0)="x",E17*0.015,0)</f>
        <v>0</v>
      </c>
      <c r="P17" s="40">
        <f t="shared" ref="P17:P21" si="42">IF(VLOOKUP(B17,DS,9,0)="x",E17*0.01,0)</f>
        <v>0</v>
      </c>
      <c r="Q17" s="39">
        <f t="shared" ref="Q17:Q21" si="43">M17-SUM(N17:P17)</f>
        <v>2390000</v>
      </c>
      <c r="R17" s="39">
        <f t="shared" ref="R17:R21" si="44">VLOOKUP(B17,DS,23,0)</f>
        <v>0</v>
      </c>
      <c r="S17" s="45">
        <f t="shared" ref="S17:S21" si="45">Q17-R17</f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32"/>
        <v>Trần Hữu Tình</v>
      </c>
      <c r="D18" s="116" t="str">
        <f t="shared" si="33"/>
        <v>Công nhân</v>
      </c>
      <c r="E18" s="90">
        <f t="shared" si="34"/>
        <v>1800000</v>
      </c>
      <c r="F18" s="92">
        <f>VLOOKUP(B18,'CC -12'!$B$8:$AS$27,36,0)</f>
        <v>26</v>
      </c>
      <c r="G18" s="145">
        <f t="shared" si="35"/>
        <v>1800000</v>
      </c>
      <c r="H18" s="92">
        <f>(VLOOKUP(B18,'CC -12'!$B$8:$AS$27,37,0)+VLOOKUP(B18,'CC -12'!$B$8:$AS$27,38,0))</f>
        <v>0</v>
      </c>
      <c r="I18" s="145">
        <f t="shared" si="36"/>
        <v>0</v>
      </c>
      <c r="J18" s="146">
        <f t="shared" si="37"/>
        <v>26</v>
      </c>
      <c r="K18" s="39">
        <f t="shared" si="38"/>
        <v>1800000</v>
      </c>
      <c r="L18" s="90">
        <f t="shared" si="39"/>
        <v>390000</v>
      </c>
      <c r="M18" s="40">
        <f t="shared" si="40"/>
        <v>2190000</v>
      </c>
      <c r="N18" s="40">
        <f>IF(VLOOKUP(B18,DS,9,0)="x",'L - 12'!E18*$N$4,0)</f>
        <v>0</v>
      </c>
      <c r="O18" s="40">
        <f t="shared" si="41"/>
        <v>0</v>
      </c>
      <c r="P18" s="40">
        <f t="shared" si="42"/>
        <v>0</v>
      </c>
      <c r="Q18" s="39">
        <f t="shared" si="43"/>
        <v>2190000</v>
      </c>
      <c r="R18" s="39">
        <f t="shared" si="44"/>
        <v>0</v>
      </c>
      <c r="S18" s="45">
        <f t="shared" si="45"/>
        <v>2190000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32"/>
        <v>Trương Văn Thành</v>
      </c>
      <c r="D19" s="116" t="str">
        <f t="shared" si="33"/>
        <v>Công nhân</v>
      </c>
      <c r="E19" s="90">
        <f t="shared" si="34"/>
        <v>1800000</v>
      </c>
      <c r="F19" s="92">
        <f>VLOOKUP(B19,'CC -12'!$B$8:$AS$27,36,0)</f>
        <v>26</v>
      </c>
      <c r="G19" s="145">
        <f t="shared" si="35"/>
        <v>1800000</v>
      </c>
      <c r="H19" s="92">
        <f>(VLOOKUP(B19,'CC -12'!$B$8:$AS$27,37,0)+VLOOKUP(B19,'CC -12'!$B$8:$AS$27,38,0))</f>
        <v>0</v>
      </c>
      <c r="I19" s="145">
        <f t="shared" si="36"/>
        <v>0</v>
      </c>
      <c r="J19" s="146">
        <f t="shared" si="37"/>
        <v>26</v>
      </c>
      <c r="K19" s="39">
        <f t="shared" si="38"/>
        <v>1800000</v>
      </c>
      <c r="L19" s="90">
        <f t="shared" si="39"/>
        <v>390000</v>
      </c>
      <c r="M19" s="40">
        <f t="shared" si="40"/>
        <v>2190000</v>
      </c>
      <c r="N19" s="40">
        <f>IF(VLOOKUP(B19,DS,9,0)="x",'L - 12'!E19*$N$4,0)</f>
        <v>0</v>
      </c>
      <c r="O19" s="40">
        <f t="shared" si="41"/>
        <v>0</v>
      </c>
      <c r="P19" s="40">
        <f t="shared" si="42"/>
        <v>0</v>
      </c>
      <c r="Q19" s="39">
        <f t="shared" si="43"/>
        <v>2190000</v>
      </c>
      <c r="R19" s="39">
        <f t="shared" si="44"/>
        <v>0</v>
      </c>
      <c r="S19" s="45">
        <f t="shared" si="45"/>
        <v>2190000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32"/>
        <v>Trần Thị Ngọc Anh</v>
      </c>
      <c r="D20" s="116" t="str">
        <f t="shared" si="33"/>
        <v>Công nhân</v>
      </c>
      <c r="E20" s="90">
        <f t="shared" si="34"/>
        <v>1800000</v>
      </c>
      <c r="F20" s="92">
        <f>VLOOKUP(B20,'CC -12'!$B$8:$AS$27,36,0)</f>
        <v>26</v>
      </c>
      <c r="G20" s="145">
        <f t="shared" si="35"/>
        <v>1800000</v>
      </c>
      <c r="H20" s="92">
        <f>(VLOOKUP(B20,'CC -12'!$B$8:$AS$27,37,0)+VLOOKUP(B20,'CC -12'!$B$8:$AS$27,38,0))</f>
        <v>0</v>
      </c>
      <c r="I20" s="145">
        <f t="shared" si="36"/>
        <v>0</v>
      </c>
      <c r="J20" s="146">
        <f t="shared" si="37"/>
        <v>26</v>
      </c>
      <c r="K20" s="39">
        <f t="shared" si="38"/>
        <v>1800000</v>
      </c>
      <c r="L20" s="90">
        <f t="shared" si="39"/>
        <v>390000</v>
      </c>
      <c r="M20" s="40">
        <f t="shared" si="40"/>
        <v>2190000</v>
      </c>
      <c r="N20" s="40">
        <f>IF(VLOOKUP(B20,DS,9,0)="x",'L - 12'!E20*$N$4,0)</f>
        <v>0</v>
      </c>
      <c r="O20" s="40">
        <f t="shared" si="41"/>
        <v>0</v>
      </c>
      <c r="P20" s="40">
        <f t="shared" si="42"/>
        <v>0</v>
      </c>
      <c r="Q20" s="39">
        <f t="shared" si="43"/>
        <v>2190000</v>
      </c>
      <c r="R20" s="39">
        <f t="shared" si="44"/>
        <v>0</v>
      </c>
      <c r="S20" s="45">
        <f t="shared" si="45"/>
        <v>2190000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32"/>
        <v>Nguyễn Minh Vương</v>
      </c>
      <c r="D21" s="116" t="str">
        <f t="shared" si="33"/>
        <v>Công nhân</v>
      </c>
      <c r="E21" s="90">
        <f t="shared" si="34"/>
        <v>1800000</v>
      </c>
      <c r="F21" s="92">
        <f>VLOOKUP(B21,'CC -12'!$B$8:$AS$27,36,0)</f>
        <v>26</v>
      </c>
      <c r="G21" s="145">
        <f t="shared" si="35"/>
        <v>1800000</v>
      </c>
      <c r="H21" s="92">
        <f>(VLOOKUP(B21,'CC -12'!$B$8:$AS$27,37,0)+VLOOKUP(B21,'CC -12'!$B$8:$AS$27,38,0))</f>
        <v>0</v>
      </c>
      <c r="I21" s="145">
        <f t="shared" si="36"/>
        <v>0</v>
      </c>
      <c r="J21" s="146">
        <f t="shared" si="37"/>
        <v>26</v>
      </c>
      <c r="K21" s="39">
        <f t="shared" si="38"/>
        <v>1800000</v>
      </c>
      <c r="L21" s="90">
        <f t="shared" si="39"/>
        <v>390000</v>
      </c>
      <c r="M21" s="40">
        <f t="shared" si="40"/>
        <v>2190000</v>
      </c>
      <c r="N21" s="40">
        <f>IF(VLOOKUP(B21,DS,9,0)="x",'L - 12'!E21*$N$4,0)</f>
        <v>0</v>
      </c>
      <c r="O21" s="40">
        <f t="shared" si="41"/>
        <v>0</v>
      </c>
      <c r="P21" s="40">
        <f t="shared" si="42"/>
        <v>0</v>
      </c>
      <c r="Q21" s="39">
        <f t="shared" si="43"/>
        <v>2190000</v>
      </c>
      <c r="R21" s="39">
        <f t="shared" si="44"/>
        <v>0</v>
      </c>
      <c r="S21" s="45">
        <f t="shared" si="45"/>
        <v>2190000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5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4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69" t="s">
        <v>25</v>
      </c>
      <c r="B23" s="269"/>
      <c r="C23" s="269"/>
      <c r="D23" s="269"/>
      <c r="E23" s="140">
        <f>SUM(E15:E22)</f>
        <v>11200000</v>
      </c>
      <c r="F23" s="140"/>
      <c r="G23" s="140">
        <f>SUM(G15:G22)</f>
        <v>11200000</v>
      </c>
      <c r="H23" s="140"/>
      <c r="I23" s="140">
        <f>SUM(I15:I22)</f>
        <v>0</v>
      </c>
      <c r="J23" s="140"/>
      <c r="K23" s="140">
        <f t="shared" ref="K23:S23" si="46">SUM(K15:K22)</f>
        <v>11200000</v>
      </c>
      <c r="L23" s="140">
        <f t="shared" si="46"/>
        <v>2340000</v>
      </c>
      <c r="M23" s="140">
        <f t="shared" si="46"/>
        <v>13540000</v>
      </c>
      <c r="N23" s="140">
        <f t="shared" si="46"/>
        <v>0</v>
      </c>
      <c r="O23" s="140">
        <f t="shared" si="46"/>
        <v>0</v>
      </c>
      <c r="P23" s="140">
        <f t="shared" si="46"/>
        <v>0</v>
      </c>
      <c r="Q23" s="140">
        <f t="shared" si="46"/>
        <v>13540000</v>
      </c>
      <c r="R23" s="140">
        <f t="shared" si="46"/>
        <v>0</v>
      </c>
      <c r="S23" s="140">
        <f t="shared" si="46"/>
        <v>13540000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12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7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E5:I6 D23 N5:P6 L5 L26 J6:K7 L7 A29:T62 U35:U62 N22:S22 V29:IK62 J22:L22 A63:IK65330 AF15:IK15 V14:IK14 D14 W10:W13 AF5:IK13 A10:B14 Q10:S13" name="Range1"/>
    <protectedRange password="CC78" sqref="F7:H7" name="Range1_4"/>
    <protectedRange password="CC78" sqref="V26:IK27 S26:T27 N26:Q27 E26:I27" name="Range1_1_1"/>
    <protectedRange password="CC78" sqref="U1 W1:IK3 V4:IK4 B4:T4 R2:S3 B1:Q3 U22:U34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A14:D14"/>
    <mergeCell ref="A23:D23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2016-11-14T06:22:45Z</dcterms:modified>
</cp:coreProperties>
</file>